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7.xml.rels" ContentType="application/vnd.openxmlformats-package.relationships+xml"/>
  <Override PartName="/xl/worksheets/_rels/sheet8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11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_01212000" sheetId="1" state="visible" r:id="rId3"/>
    <sheet name="Super Peak Curve" sheetId="2" state="visible" r:id="rId4"/>
    <sheet name="Super Peak Curve Simulation" sheetId="3" state="visible" r:id="rId5"/>
    <sheet name="Fuel Curve" sheetId="4" state="visible" r:id="rId6"/>
    <sheet name="Fuel Curve Graph" sheetId="5" state="visible" r:id="rId7"/>
    <sheet name="Power Curve Graph" sheetId="6" state="visible" r:id="rId8"/>
    <sheet name="Curve Analysis - Base Case" sheetId="7" state="visible" r:id="rId9"/>
    <sheet name="Deal Depiction" sheetId="8" state="visible" r:id="rId10"/>
    <sheet name="Credit Reserve Simulation" sheetId="9" state="visible" r:id="rId11"/>
    <sheet name="Curve Comparison" sheetId="10" state="visible" r:id="rId12"/>
    <sheet name="Company Volumes" sheetId="11" state="visible" r:id="rId13"/>
    <sheet name="Company Power Prices" sheetId="12" state="visible" r:id="rId14"/>
    <sheet name="Company Gas Prices" sheetId="13" state="visible" r:id="rId15"/>
    <sheet name="Inflation" sheetId="14" state="visible" r:id="rId16"/>
    <sheet name="PJM Curve Simulation" sheetId="15" state="visible" r:id="rId17"/>
    <sheet name="Fuel Curve Simulation" sheetId="16" state="visible" r:id="rId18"/>
    <sheet name="Revenues &amp; Expenses" sheetId="17" state="visible" r:id="rId19"/>
    <sheet name="Financial Statements" sheetId="18" state="visible" r:id="rId20"/>
    <sheet name="Debt Amortization" sheetId="19" state="visible" r:id="rId21"/>
    <sheet name="IS Comparison" sheetId="20" state="visible" r:id="rId22"/>
  </sheets>
  <definedNames>
    <definedName function="false" hidden="false" localSheetId="10" name="_xlnm.Print_Area" vbProcedure="false">'Company Volumes'!$B$2:$V$17</definedName>
    <definedName function="false" hidden="false" localSheetId="6" name="_xlnm.Print_Area" vbProcedure="false">'Curve Analysis - Base Case'!$AB$2:$AS$40</definedName>
    <definedName function="false" hidden="false" localSheetId="7" name="_xlnm.Print_Area" vbProcedure="false">'Deal Depiction'!$B$2:$R$56</definedName>
    <definedName function="false" hidden="false" localSheetId="18" name="_xlnm.Print_Area" vbProcedure="false">'Debt Amortization'!$G$5:$AB$16</definedName>
    <definedName function="false" hidden="false" localSheetId="17" name="_xlnm.Print_Area" vbProcedure="false">'Financial Statements'!$B$7:$W$44</definedName>
    <definedName function="false" hidden="false" localSheetId="19" name="_xlnm.Print_Area" vbProcedure="false">'IS Comparison'!$B$4:$X$70</definedName>
    <definedName function="false" hidden="false" localSheetId="1" name="_xlnm.Print_Area" vbProcedure="false">'Super Peak Curve'!$AZ$1:$BL$29</definedName>
    <definedName function="false" hidden="false" localSheetId="2" name="_xlnm.Print_Area" vbProcedure="false">'Super Peak Curve Simulation'!$B$2:$N$14</definedName>
    <definedName function="false" hidden="false" name="BasisDate" vbProcedure="false">#REF!</definedName>
    <definedName function="false" hidden="false" name="BasisNumber" vbProcedure="false">#REF!</definedName>
    <definedName function="false" hidden="false" name="ExpirationDatesTable" vbProcedure="false">#REF!</definedName>
    <definedName function="false" hidden="false" name="Price" vbProcedure="false">#REF!</definedName>
    <definedName function="false" hidden="false" name="PriceCurveDate" vbProcedure="false">#REF!</definedName>
    <definedName function="false" hidden="false" name="PriceDate" vbProcedure="false">#REF!</definedName>
    <definedName function="false" hidden="false" name="Prompt" vbProcedure="false">#REF!</definedName>
    <definedName function="false" hidden="false" name="RegionIndex" vbProcedure="false">#REF!</definedName>
    <definedName function="false" hidden="false" name="RegionNumber" vbProcedure="false">#REF!</definedName>
    <definedName function="false" hidden="false" localSheetId="2" name="ZA0" vbProcedure="false">"Crystal Ball Data : Ver. 4.0.7"</definedName>
    <definedName function="false" hidden="false" localSheetId="2" name="ZA0A" vbProcedure="false">0+323</definedName>
    <definedName function="false" hidden="false" localSheetId="2" name="ZA0C" vbProcedure="false">0+0</definedName>
    <definedName function="false" hidden="false" localSheetId="2" name="ZA0D" vbProcedure="false">0+0</definedName>
    <definedName function="false" hidden="false" localSheetId="2" name="ZA0F" vbProcedure="false">0+325</definedName>
    <definedName function="false" hidden="false" localSheetId="2" name="ZA0T" vbProcedure="false">30279689+0</definedName>
    <definedName function="false" hidden="false" localSheetId="6" name="ZA0" vbProcedure="false">"Crystal Ball Data : Ver. 4.0.7"</definedName>
    <definedName function="false" hidden="false" localSheetId="6" name="ZA0A" vbProcedure="false">0+0</definedName>
    <definedName function="false" hidden="false" localSheetId="6" name="ZA0C" vbProcedure="false">0+0</definedName>
    <definedName function="false" hidden="false" localSheetId="6" name="ZA0D" vbProcedure="false">0+0</definedName>
    <definedName function="false" hidden="false" localSheetId="6" name="ZA0F" vbProcedure="false">5+625</definedName>
    <definedName function="false" hidden="false" localSheetId="6" name="ZA0T" vbProcedure="false">86335894+0</definedName>
    <definedName function="false" hidden="false" localSheetId="6" name="ZF125" vbProcedure="false">'Curve Analysis - Base Case'!$I$1+"# of Times PJM &gt; Strike"+""+261+261+5051+63+190+425+799+4+3+"-"+"+"+2.6+50+2</definedName>
    <definedName function="false" hidden="false" localSheetId="6" name="ZF126" vbProcedure="false">'Curve Analysis - Base Case'!$Q$3+"Default %"+""+261+261+955+440+157+734+616+4+3+"-"+"+"+2.6+50+2</definedName>
    <definedName function="false" hidden="false" localSheetId="6" name="ZF128" vbProcedure="false">'Curve Analysis - Base Case'!$C$1+"Mid-Market Price of Power (PJM)"+""+553+553+955+404+154+698+613+4+3+"-"+"+"+2.6+50+18</definedName>
    <definedName function="false" hidden="false" localSheetId="6" name="ZF129" vbProcedure="false">'Curve Analysis - Base Case'!$D$1+"Mid-Market Price of Strike Price"+""+801+801+5051+131+223+493+832+4+3+"-"+"+"+2.6+50+18</definedName>
    <definedName function="false" hidden="false" localSheetId="6" name="ZF130" vbProcedure="false">'Curve Analysis - Base Case'!$K$1+"PV MWh"+""+33+33+955+435+131+729+590+4+3+"-"+"+"+2.6+50+18</definedName>
    <definedName function="false" hidden="false" localSheetId="8" name="ZA0" vbProcedure="false">"Crystal Ball Data : Ver. 4.0.7"</definedName>
    <definedName function="false" hidden="false" localSheetId="8" name="ZA0A" vbProcedure="false">0+0</definedName>
    <definedName function="false" hidden="false" localSheetId="8" name="ZA0C" vbProcedure="false">0+0</definedName>
    <definedName function="false" hidden="false" localSheetId="8" name="ZA0D" vbProcedure="false">0+0</definedName>
    <definedName function="false" hidden="false" localSheetId="8" name="ZA0F" vbProcedure="false">2+9440</definedName>
    <definedName function="false" hidden="false" localSheetId="8" name="ZA0T" vbProcedure="false">30035839+0</definedName>
    <definedName function="false" hidden="false" localSheetId="8" name="ZF9439" vbProcedure="false">'Credit Reserve Simulation'!$D$2+"Credit Reserve Buy"+""+41+41+955+386+462+680+921+4+3+"-"+"+"+2.6+50+2</definedName>
    <definedName function="false" hidden="false" localSheetId="8" name="ZF9440" vbProcedure="false">'Credit Reserve Simulation'!$E$2+"Credit Reserve Sell"+""+41+41+955+385+94+679+553+4+3+"-"+"+"+2.6+50+2</definedName>
    <definedName function="false" hidden="false" localSheetId="9" name="ZA0" vbProcedure="false">"Crystal Ball Data : Ver. 4.0.7"</definedName>
    <definedName function="false" hidden="false" localSheetId="9" name="ZA0A" vbProcedure="false">0+0</definedName>
    <definedName function="false" hidden="false" localSheetId="9" name="ZA0C" vbProcedure="false">0+0</definedName>
    <definedName function="false" hidden="false" localSheetId="9" name="ZA0D" vbProcedure="false">0+0</definedName>
    <definedName function="false" hidden="false" localSheetId="9" name="ZA0F" vbProcedure="false">0+125</definedName>
    <definedName function="false" hidden="false" localSheetId="9" name="ZA0T" vbProcedure="false">13461096+0</definedName>
    <definedName function="false" hidden="false" localSheetId="14" name="ZA0" vbProcedure="false">"Crystal Ball Data : Ver. 4.0.7"</definedName>
    <definedName function="false" hidden="false" localSheetId="14" name="ZA0A" vbProcedure="false">1+102</definedName>
    <definedName function="false" hidden="false" localSheetId="14" name="ZA0C" vbProcedure="false">0+0</definedName>
    <definedName function="false" hidden="false" localSheetId="14" name="ZA0D" vbProcedure="false">0+0</definedName>
    <definedName function="false" hidden="false" localSheetId="14" name="ZA0F" vbProcedure="false">0+0</definedName>
    <definedName function="false" hidden="false" localSheetId="14" name="ZA0T" vbProcedure="false">86295155+0</definedName>
    <definedName function="false" hidden="false" localSheetId="14" name="ZA102" vbProcedure="false">'PJM Curve Simulation'!$I$2+"aRandom Variable"+545+0+1</definedName>
    <definedName function="false" hidden="false" localSheetId="15" name="ZA0" vbProcedure="false">"Crystal Ball Data : Ver. 4.0.7"</definedName>
    <definedName function="false" hidden="false" localSheetId="15" name="ZA0A" vbProcedure="false">1+102</definedName>
    <definedName function="false" hidden="false" localSheetId="15" name="ZA0C" vbProcedure="false">0+0</definedName>
    <definedName function="false" hidden="false" localSheetId="15" name="ZA0D" vbProcedure="false">0+0</definedName>
    <definedName function="false" hidden="false" localSheetId="15" name="ZA0F" vbProcedure="false">0+0</definedName>
    <definedName function="false" hidden="false" localSheetId="15" name="ZA0T" vbProcedure="false">86309416+0</definedName>
    <definedName function="false" hidden="false" localSheetId="15" name="ZA102" vbProcedure="false">'Fuel Curve Simulation'!$I$2+"aRandom Variable"+545+0+1</definedName>
    <definedName function="false" hidden="false" localSheetId="19" name="ZA0" vbProcedure="false">"Crystal Ball Data : Ver. 4.0.7"</definedName>
    <definedName function="false" hidden="false" localSheetId="19" name="ZA0A" vbProcedure="false">0+0</definedName>
    <definedName function="false" hidden="false" localSheetId="19" name="ZA0C" vbProcedure="false">0+0</definedName>
    <definedName function="false" hidden="false" localSheetId="19" name="ZA0D" vbProcedure="false">0+0</definedName>
    <definedName function="false" hidden="false" localSheetId="19" name="ZA0F" vbProcedure="false">0+141</definedName>
    <definedName function="false" hidden="false" localSheetId="19" name="ZA0T" vbProcedure="false">30138426+0</definedName>
    <definedName function="true" hidden="false" name="EURO" vbProcedure="true"/>
  </definedNames>
  <calcPr iterateCount="5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E5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76</xdr:colOff>
                <xdr:row>3</xdr:row>
                <xdr:rowOff>14</xdr:rowOff>
              </xdr:from>
              <xdr:to>
                <xdr:col>37</xdr:col>
                <xdr:colOff>41</xdr:colOff>
                <xdr:row>7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<sst xmlns="http://schemas.openxmlformats.org/spreadsheetml/2006/main" count="1372" uniqueCount="322">
  <si>
    <t xml:space="preserve">REGION 1D</t>
  </si>
  <si>
    <t xml:space="preserve">East Hub</t>
  </si>
  <si>
    <t xml:space="preserve">Monthly Volatilities</t>
  </si>
  <si>
    <t xml:space="preserve">Intra-Month Volatilties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</si>
  <si>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</si>
  <si>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</si>
  <si>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</si>
  <si>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</si>
  <si>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</si>
  <si>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Peak</t>
  </si>
  <si>
    <t xml:space="preserve">OffPeak</t>
  </si>
  <si>
    <t xml:space="preserve">Group</t>
  </si>
  <si>
    <t xml:space="preserve">Prudent</t>
  </si>
  <si>
    <t xml:space="preserve">Correlation</t>
  </si>
  <si>
    <t xml:space="preserve">Bid</t>
  </si>
  <si>
    <t xml:space="preserve">Mid</t>
  </si>
  <si>
    <t xml:space="preserve">Offer</t>
  </si>
  <si>
    <t xml:space="preserve">Code</t>
  </si>
  <si>
    <t xml:space="preserve">Factor</t>
  </si>
  <si>
    <t xml:space="preserve">Start</t>
  </si>
  <si>
    <t xml:space="preserve">End</t>
  </si>
  <si>
    <t xml:space="preserve">Gas-Power</t>
  </si>
  <si>
    <t xml:space="preserve">($/MWH)</t>
  </si>
  <si>
    <t xml:space="preserve">Month</t>
  </si>
  <si>
    <t xml:space="preserve">Daily Price Profile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</si>
  <si>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</si>
  <si>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</si>
  <si>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</si>
  <si>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</si>
  <si>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</si>
  <si>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</si>
  <si>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</si>
  <si>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</si>
  <si>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</si>
  <si>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</si>
  <si>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</si>
  <si>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</si>
  <si>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HR</t>
  </si>
  <si>
    <t xml:space="preserve">P/OP</t>
  </si>
  <si>
    <t xml:space="preserve">2</t>
  </si>
  <si>
    <t xml:space="preserve">1</t>
  </si>
  <si>
    <t xml:space="preserve">Volatility Smile</t>
  </si>
  <si>
    <t xml:space="preserve">Price Sensitivies</t>
  </si>
  <si>
    <t xml:space="preserve">Daily Price Profile - Scalars</t>
  </si>
  <si>
    <t xml:space="preserve">Hour</t>
  </si>
  <si>
    <t xml:space="preserve">1100</t>
  </si>
  <si>
    <t xml:space="preserve">1200</t>
  </si>
  <si>
    <t xml:space="preserve">1300</t>
  </si>
  <si>
    <t xml:space="preserve">1400</t>
  </si>
  <si>
    <t xml:space="preserve">1500</t>
  </si>
  <si>
    <t xml:space="preserve">1600</t>
  </si>
  <si>
    <t xml:space="preserve">1700</t>
  </si>
  <si>
    <t xml:space="preserve">1800</t>
  </si>
  <si>
    <t xml:space="preserve">1900</t>
  </si>
  <si>
    <t xml:space="preserve">2000</t>
  </si>
  <si>
    <t xml:space="preserve">2100</t>
  </si>
  <si>
    <t xml:space="preserve">2200</t>
  </si>
  <si>
    <t xml:space="preserve">2300</t>
  </si>
  <si>
    <t xml:space="preserve">2400</t>
  </si>
  <si>
    <t xml:space="preserve">Total</t>
  </si>
  <si>
    <t xml:space="preserve">Totals</t>
  </si>
  <si>
    <t xml:space="preserve">Super Peak</t>
  </si>
  <si>
    <t xml:space="preserve">Date</t>
  </si>
  <si>
    <t xml:space="preserve">Curve</t>
  </si>
  <si>
    <t xml:space="preserve">Check</t>
  </si>
  <si>
    <t xml:space="preserve">5x16 (Super Peak)</t>
  </si>
  <si>
    <t xml:space="preserve">PJM Region 1D</t>
  </si>
  <si>
    <t xml:space="preserve">Daily Volatility</t>
  </si>
  <si>
    <t xml:space="preserve">Daily </t>
  </si>
  <si>
    <t xml:space="preserve">Monthly</t>
  </si>
  <si>
    <t xml:space="preserve">Std Dev</t>
  </si>
  <si>
    <t xml:space="preserve">Price</t>
  </si>
  <si>
    <t xml:space="preserve">Forecast</t>
  </si>
  <si>
    <t xml:space="preserve">Heat Rate</t>
  </si>
  <si>
    <t xml:space="preserve">Curve Code</t>
  </si>
  <si>
    <t xml:space="preserve">Low Sulfur HO</t>
  </si>
  <si>
    <t xml:space="preserve">Basis DelMarva</t>
  </si>
  <si>
    <t xml:space="preserve">MMBTU/Bbl</t>
  </si>
  <si>
    <t xml:space="preserve">Curve Type</t>
  </si>
  <si>
    <t xml:space="preserve">PriceCurve</t>
  </si>
  <si>
    <t xml:space="preserve">Vol Curve</t>
  </si>
  <si>
    <t xml:space="preserve">Trucking from Phily</t>
  </si>
  <si>
    <t xml:space="preserve">Book Type</t>
  </si>
  <si>
    <t xml:space="preserve">Basis NYH</t>
  </si>
  <si>
    <t xml:space="preserve">$.03/gal over NYH</t>
  </si>
  <si>
    <t xml:space="preserve">Gas Equiv. Price</t>
  </si>
  <si>
    <t xml:space="preserve">a</t>
  </si>
  <si>
    <t xml:space="preserve">b</t>
  </si>
  <si>
    <t xml:space="preserve">Super</t>
  </si>
  <si>
    <t xml:space="preserve">PJM</t>
  </si>
  <si>
    <t xml:space="preserve">Strike</t>
  </si>
  <si>
    <t xml:space="preserve">Fuel</t>
  </si>
  <si>
    <t xml:space="preserve">$/MWh</t>
  </si>
  <si>
    <t xml:space="preserve"># of time</t>
  </si>
  <si>
    <t xml:space="preserve">Annual</t>
  </si>
  <si>
    <t xml:space="preserve">Default %</t>
  </si>
  <si>
    <t xml:space="preserve">Remaining</t>
  </si>
  <si>
    <t xml:space="preserve">Outstanding</t>
  </si>
  <si>
    <t xml:space="preserve">(a - b + SV)</t>
  </si>
  <si>
    <t xml:space="preserve">Peak Curve</t>
  </si>
  <si>
    <t xml:space="preserve">VOM</t>
  </si>
  <si>
    <t xml:space="preserve">PJM &gt;Strike</t>
  </si>
  <si>
    <t xml:space="preserve">MW</t>
  </si>
  <si>
    <t xml:space="preserve">Notional MWh</t>
  </si>
  <si>
    <t xml:space="preserve">PV MWH</t>
  </si>
  <si>
    <t xml:space="preserve">PV MWh</t>
  </si>
  <si>
    <t xml:space="preserve">EBITDA/P&amp;I</t>
  </si>
  <si>
    <t xml:space="preserve">Call Value</t>
  </si>
  <si>
    <t xml:space="preserve">Debt</t>
  </si>
  <si>
    <t xml:space="preserve">Net Value</t>
  </si>
  <si>
    <t xml:space="preserve">Years</t>
  </si>
  <si>
    <t xml:space="preserve">PV Revenues</t>
  </si>
  <si>
    <t xml:space="preserve">Mid-Mrkt Price.</t>
  </si>
  <si>
    <t xml:space="preserve">PV Fuel &amp; O&amp;M</t>
  </si>
  <si>
    <t xml:space="preserve"> 1- 5</t>
  </si>
  <si>
    <t xml:space="preserve"> 6- 10</t>
  </si>
  <si>
    <t xml:space="preserve"> 11- 15</t>
  </si>
  <si>
    <t xml:space="preserve"> 15- 20</t>
  </si>
  <si>
    <t xml:space="preserve">Salvage Value</t>
  </si>
  <si>
    <t xml:space="preserve">TECO/Delmarva Merchant Plant Operating Statistics and Financial Summary</t>
  </si>
  <si>
    <t xml:space="preserve">Company</t>
  </si>
  <si>
    <t xml:space="preserve">Enron</t>
  </si>
  <si>
    <t xml:space="preserve">Converted</t>
  </si>
  <si>
    <t xml:space="preserve">Total Dispatched Volumes</t>
  </si>
  <si>
    <t xml:space="preserve">PV Dispatched Volumes</t>
  </si>
  <si>
    <t xml:space="preserve">Mid-Market Price of Power</t>
  </si>
  <si>
    <t xml:space="preserve">Mid-Market Strike Price</t>
  </si>
  <si>
    <t xml:space="preserve">Margin</t>
  </si>
  <si>
    <t xml:space="preserve">Total Project Cost</t>
  </si>
  <si>
    <t xml:space="preserve">  Hard Costs</t>
  </si>
  <si>
    <t xml:space="preserve">  Soft Costs</t>
  </si>
  <si>
    <t xml:space="preserve">Funded Debt</t>
  </si>
  <si>
    <t xml:space="preserve">Equity</t>
  </si>
  <si>
    <t xml:space="preserve">  Total Capital</t>
  </si>
  <si>
    <t xml:space="preserve">Total Debt/Capital</t>
  </si>
  <si>
    <t xml:space="preserve">AA PV Value of Mid Curve</t>
  </si>
  <si>
    <t xml:space="preserve">Advance Ratio against Mid Curve</t>
  </si>
  <si>
    <t xml:space="preserve">AA PV Value of Margin</t>
  </si>
  <si>
    <t xml:space="preserve">Advance Ratio against Margin</t>
  </si>
  <si>
    <t xml:space="preserve">EBITDA/P&amp;I:</t>
  </si>
  <si>
    <t xml:space="preserve">n/a</t>
  </si>
  <si>
    <t xml:space="preserve">Today = </t>
  </si>
  <si>
    <t xml:space="preserve">Credit Reserve Buy</t>
  </si>
  <si>
    <t xml:space="preserve">Credit Reserve Sell</t>
  </si>
  <si>
    <t xml:space="preserve">Recovery %</t>
  </si>
  <si>
    <t xml:space="preserve">From</t>
  </si>
  <si>
    <t xml:space="preserve">To</t>
  </si>
  <si>
    <t xml:space="preserve"># of Days</t>
  </si>
  <si>
    <t xml:space="preserve">Project Default</t>
  </si>
  <si>
    <t xml:space="preserve">MTM Value     of Calls</t>
  </si>
  <si>
    <t xml:space="preserve">Dis. Outst. Debt</t>
  </si>
  <si>
    <t xml:space="preserve">Potenial Loss Buy Contract</t>
  </si>
  <si>
    <t xml:space="preserve">Potenial Loss Sell Contract</t>
  </si>
  <si>
    <t xml:space="preserve">Monthly P&amp;I ($45.55/KW Yr.)</t>
  </si>
  <si>
    <t xml:space="preserve">Discounted</t>
  </si>
  <si>
    <t xml:space="preserve">MTM Value</t>
  </si>
  <si>
    <t xml:space="preserve">Outstanding Debt</t>
  </si>
  <si>
    <t xml:space="preserve">Power</t>
  </si>
  <si>
    <t xml:space="preserve">Spot</t>
  </si>
  <si>
    <t xml:space="preserve">Variance</t>
  </si>
  <si>
    <t xml:space="preserve">MWh</t>
  </si>
  <si>
    <t xml:space="preserve">Revenues</t>
  </si>
  <si>
    <t xml:space="preserve">Year</t>
  </si>
  <si>
    <t xml:space="preserve">Months</t>
  </si>
  <si>
    <t xml:space="preserve">January</t>
  </si>
  <si>
    <t xml:space="preserve">February</t>
  </si>
  <si>
    <t xml:space="preserve">March</t>
  </si>
  <si>
    <t xml:space="preserve">April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</si>
  <si>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</si>
  <si>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</si>
  <si>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</si>
  <si>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</si>
  <si>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</si>
  <si>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</si>
  <si>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</si>
  <si>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Total MWhs</t>
  </si>
  <si>
    <t xml:space="preserve">PV</t>
  </si>
  <si>
    <t xml:space="preserve">Notional</t>
  </si>
  <si>
    <t xml:space="preserve">Volumes</t>
  </si>
  <si>
    <t xml:space="preserve">Mid-Mkt. Price</t>
  </si>
  <si>
    <t xml:space="preserve">Fuel &amp; VOM</t>
  </si>
  <si>
    <t xml:space="preserve">Inflation</t>
  </si>
  <si>
    <t xml:space="preserve">Random Variable</t>
  </si>
  <si>
    <t xml:space="preserve">NP15</t>
  </si>
  <si>
    <t xml:space="preserve">Shifted</t>
  </si>
  <si>
    <t xml:space="preserve">Vols</t>
  </si>
  <si>
    <t xml:space="preserve">AA Rate</t>
  </si>
  <si>
    <t xml:space="preserve">DF</t>
  </si>
  <si>
    <t xml:space="preserve">Day Count</t>
  </si>
  <si>
    <t xml:space="preserve">Sq. Root</t>
  </si>
  <si>
    <t xml:space="preserve">Mu-Sigma</t>
  </si>
  <si>
    <t xml:space="preserve">Settlement Days</t>
  </si>
  <si>
    <t xml:space="preserve">Spread Option Valuation</t>
  </si>
  <si>
    <t xml:space="preserve">Call Value in Excess of Gross Margin</t>
  </si>
  <si>
    <t xml:space="preserve">Installed Capacity (MW)</t>
  </si>
  <si>
    <t xml:space="preserve">Net Installed Capacity</t>
  </si>
  <si>
    <t xml:space="preserve">Off-Peak</t>
  </si>
  <si>
    <t xml:space="preserve">MWH/Mo.</t>
  </si>
  <si>
    <t xml:space="preserve"># of Months</t>
  </si>
  <si>
    <t xml:space="preserve">Leap Year</t>
  </si>
  <si>
    <t xml:space="preserve">Days</t>
  </si>
  <si>
    <t xml:space="preserve">AA</t>
  </si>
  <si>
    <t xml:space="preserve">Simulated</t>
  </si>
  <si>
    <t xml:space="preserve">Converted Gas</t>
  </si>
  <si>
    <t xml:space="preserve">Max</t>
  </si>
  <si>
    <t xml:space="preserve">Option</t>
  </si>
  <si>
    <t xml:space="preserve">Fixed</t>
  </si>
  <si>
    <t xml:space="preserve">$/Kwh</t>
  </si>
  <si>
    <t xml:space="preserve">Maintenance</t>
  </si>
  <si>
    <t xml:space="preserve">O&amp;M</t>
  </si>
  <si>
    <t xml:space="preserve">TBS</t>
  </si>
  <si>
    <t xml:space="preserve">Principal</t>
  </si>
  <si>
    <t xml:space="preserve">"AA" PV</t>
  </si>
  <si>
    <t xml:space="preserve">Time to</t>
  </si>
  <si>
    <t xml:space="preserve">(MWh/Month)</t>
  </si>
  <si>
    <t xml:space="preserve">Call</t>
  </si>
  <si>
    <t xml:space="preserve">AA Curve</t>
  </si>
  <si>
    <t xml:space="preserve">Risk Free</t>
  </si>
  <si>
    <t xml:space="preserve">Fuel Curve</t>
  </si>
  <si>
    <t xml:space="preserve">Price- to $/MWH</t>
  </si>
  <si>
    <t xml:space="preserve">PJM Curve</t>
  </si>
  <si>
    <t xml:space="preserve">Projections</t>
  </si>
  <si>
    <t xml:space="preserve">Base Case</t>
  </si>
  <si>
    <t xml:space="preserve">Charges</t>
  </si>
  <si>
    <t xml:space="preserve">Revenue</t>
  </si>
  <si>
    <t xml:space="preserve">Mgmt. Fee</t>
  </si>
  <si>
    <t xml:space="preserve">Costs</t>
  </si>
  <si>
    <t xml:space="preserve">Reserve</t>
  </si>
  <si>
    <t xml:space="preserve">Fee</t>
  </si>
  <si>
    <t xml:space="preserve">Parts Co.</t>
  </si>
  <si>
    <t xml:space="preserve">Mkt. Fee</t>
  </si>
  <si>
    <t xml:space="preserve">Propty. Tax</t>
  </si>
  <si>
    <t xml:space="preserve">Oper. Ins.</t>
  </si>
  <si>
    <t xml:space="preserve">Oper. Exp.</t>
  </si>
  <si>
    <t xml:space="preserve">EBITDA</t>
  </si>
  <si>
    <t xml:space="preserve">Payment</t>
  </si>
  <si>
    <t xml:space="preserve">Principal Value</t>
  </si>
  <si>
    <t xml:space="preserve">Yield</t>
  </si>
  <si>
    <t xml:space="preserve">Expiry</t>
  </si>
  <si>
    <t xml:space="preserve">Value</t>
  </si>
  <si>
    <t xml:space="preserve">less Fuel</t>
  </si>
  <si>
    <t xml:space="preserve">Income Statement</t>
  </si>
  <si>
    <t xml:space="preserve">Capacity Charges</t>
  </si>
  <si>
    <t xml:space="preserve">Option Revenue</t>
  </si>
  <si>
    <t xml:space="preserve">Spot Revenue</t>
  </si>
  <si>
    <t xml:space="preserve">Total Revenues</t>
  </si>
  <si>
    <t xml:space="preserve">Fuel Charges</t>
  </si>
  <si>
    <t xml:space="preserve">Operating Expenses</t>
  </si>
  <si>
    <t xml:space="preserve">Total Expenses</t>
  </si>
  <si>
    <t xml:space="preserve">Interest Exp./Income:</t>
  </si>
  <si>
    <t xml:space="preserve">  Long-term Debt</t>
  </si>
  <si>
    <t xml:space="preserve">  LC Charge on DSRF</t>
  </si>
  <si>
    <t xml:space="preserve">  Interest Income</t>
  </si>
  <si>
    <t xml:space="preserve">Depr. &amp; Amortization</t>
  </si>
  <si>
    <t xml:space="preserve">Net Income</t>
  </si>
  <si>
    <t xml:space="preserve">Cash Flow Statement</t>
  </si>
  <si>
    <t xml:space="preserve">Less: Interest Expense</t>
  </si>
  <si>
    <t xml:space="preserve">         Principal</t>
  </si>
  <si>
    <t xml:space="preserve">Traditional Cash Flow</t>
  </si>
  <si>
    <t xml:space="preserve">Working Capital Req.</t>
  </si>
  <si>
    <t xml:space="preserve">Net Cash Flow</t>
  </si>
  <si>
    <t xml:space="preserve">Beginning Cash Balance</t>
  </si>
  <si>
    <t xml:space="preserve">Ending Cash Balance</t>
  </si>
  <si>
    <t xml:space="preserve">Flag</t>
  </si>
  <si>
    <t xml:space="preserve">Deferred Tax Calculation</t>
  </si>
  <si>
    <t xml:space="preserve">Earnings Before Dep. &amp; Taxes</t>
  </si>
  <si>
    <t xml:space="preserve">Tax Depreciation</t>
  </si>
  <si>
    <t xml:space="preserve">Earnings Before Taxes</t>
  </si>
  <si>
    <t xml:space="preserve">  Virginia Income Taxes</t>
  </si>
  <si>
    <t xml:space="preserve">Earnings after State Income Taxes</t>
  </si>
  <si>
    <t xml:space="preserve">NOL Carryforward</t>
  </si>
  <si>
    <t xml:space="preserve">  Beginning Balance of NOL</t>
  </si>
  <si>
    <t xml:space="preserve">  Additions</t>
  </si>
  <si>
    <t xml:space="preserve">  NOL Caryforwards Used</t>
  </si>
  <si>
    <t xml:space="preserve">  Ending Balance of NOL</t>
  </si>
  <si>
    <t xml:space="preserve">Taxable Income</t>
  </si>
  <si>
    <t xml:space="preserve">Net Tax Rate</t>
  </si>
  <si>
    <t xml:space="preserve">Tax Liability</t>
  </si>
  <si>
    <t xml:space="preserve">  Fuel</t>
  </si>
  <si>
    <t xml:space="preserve">  O&amp;M</t>
  </si>
  <si>
    <t xml:space="preserve">AA DF</t>
  </si>
  <si>
    <t xml:space="preserve">Project Years</t>
  </si>
  <si>
    <t xml:space="preserve"> Debt Amort</t>
  </si>
  <si>
    <t xml:space="preserve">RF Rate</t>
  </si>
  <si>
    <t xml:space="preserve">Int. Exp.</t>
  </si>
  <si>
    <t xml:space="preserve">Spread Over Treasuries</t>
  </si>
  <si>
    <t xml:space="preserve">Project Finance Debt:</t>
  </si>
  <si>
    <t xml:space="preserve">Loan Amount</t>
  </si>
  <si>
    <t xml:space="preserve">Interest Rate</t>
  </si>
  <si>
    <t xml:space="preserve">Long-Term Debt</t>
  </si>
  <si>
    <t xml:space="preserve">Term (Years)</t>
  </si>
  <si>
    <t xml:space="preserve">EOM</t>
  </si>
  <si>
    <t xml:space="preserve">All-in-Rate</t>
  </si>
  <si>
    <t xml:space="preserve">Beginning Balance</t>
  </si>
  <si>
    <t xml:space="preserve">PVIFA</t>
  </si>
  <si>
    <t xml:space="preserve">Principal Payment</t>
  </si>
  <si>
    <t xml:space="preserve">Payment Amount (P&amp;I)</t>
  </si>
  <si>
    <t xml:space="preserve">Ending Balance</t>
  </si>
  <si>
    <t xml:space="preserve">Interest rate</t>
  </si>
  <si>
    <t xml:space="preserve">Interest Expense</t>
  </si>
  <si>
    <t xml:space="preserve">Interest Payment</t>
  </si>
  <si>
    <t xml:space="preserve">Principal &amp; Interest</t>
  </si>
  <si>
    <t xml:space="preserve">P&amp;I/KW per Month</t>
  </si>
  <si>
    <t xml:space="preserve">DSRF Maintenance</t>
  </si>
  <si>
    <t xml:space="preserve">Requirement</t>
  </si>
  <si>
    <t xml:space="preserve">LC Fee</t>
  </si>
  <si>
    <t xml:space="preserve">315,000 KW/Month</t>
  </si>
  <si>
    <t xml:space="preserve">Operational Data</t>
  </si>
  <si>
    <t xml:space="preserve">Notional MWH</t>
  </si>
  <si>
    <t xml:space="preserve">Project Base Case PV MWH</t>
  </si>
  <si>
    <t xml:space="preserve">Mid-Market Price</t>
  </si>
  <si>
    <t xml:space="preserve">Strike Price</t>
  </si>
  <si>
    <t xml:space="preserve">Margin Over Strike</t>
  </si>
  <si>
    <t xml:space="preserve">Project Base Case</t>
  </si>
  <si>
    <t xml:space="preserve">Revenue Variance</t>
  </si>
  <si>
    <t xml:space="preserve">Project Base Case Fuel Charge</t>
  </si>
  <si>
    <t xml:space="preserve">Fuel Charge Variance</t>
  </si>
  <si>
    <t xml:space="preserve">Project Base Case EBITDA:</t>
  </si>
  <si>
    <t xml:space="preserve">EBITDA Variance</t>
  </si>
  <si>
    <t xml:space="preserve">Project EBITDA/P&amp;I</t>
  </si>
  <si>
    <t xml:space="preserve">CRM Base Case P &amp; I</t>
  </si>
  <si>
    <t xml:space="preserve">Project Base Case P&amp;I</t>
  </si>
</sst>
</file>

<file path=xl/styles.xml><?xml version="1.0" encoding="utf-8"?>
<styleSheet xmlns="http://schemas.openxmlformats.org/spreadsheetml/2006/main">
  <numFmts count="44">
    <numFmt numFmtId="164" formatCode="General"/>
    <numFmt numFmtId="165" formatCode="_(\£* #,##0_);_(\£* \(#,##0\);_(\£* \-_);_(@_)"/>
    <numFmt numFmtId="166" formatCode="_(\£* #,##0.00_);_(\£* \(#,##0.00\);_(\£* \-??_);_(@_)"/>
    <numFmt numFmtId="167" formatCode="\$#,##0"/>
    <numFmt numFmtId="168" formatCode="_(* #,##0.00_);_(* \(#,##0.00\);_(* \-??_);_(@_)"/>
    <numFmt numFmtId="169" formatCode="_(* #,##0.000_);_(* \(#,##0.000\);_(* \-??_);_(@_)"/>
    <numFmt numFmtId="170" formatCode="[$-409]m/d/yyyy"/>
    <numFmt numFmtId="171" formatCode="0%"/>
    <numFmt numFmtId="172" formatCode="0.0%"/>
    <numFmt numFmtId="173" formatCode="_(* #,##0_);_(* \(#,##0\);_(* \-??_);_(@_)"/>
    <numFmt numFmtId="174" formatCode="[$-409]mmm\-yy"/>
    <numFmt numFmtId="175" formatCode="dd\-mmm\-yy_);[RED]dd\-mmm\-yy_)"/>
    <numFmt numFmtId="176" formatCode="0.00"/>
    <numFmt numFmtId="177" formatCode="mmm\-yy_)"/>
    <numFmt numFmtId="178" formatCode="0.00%"/>
    <numFmt numFmtId="179" formatCode="#,##0.0000_);\(#,##0.0000\)"/>
    <numFmt numFmtId="180" formatCode="_(* #,##0.0000_);_(* \(#,##0.0000\);_(* \-??_);_(@_)"/>
    <numFmt numFmtId="181" formatCode="mm/dd/yy"/>
    <numFmt numFmtId="182" formatCode="\$#,##0.000_);[RED]&quot;($&quot;#,##0.000\)"/>
    <numFmt numFmtId="183" formatCode="0.0000"/>
    <numFmt numFmtId="184" formatCode="\$#,##0.00"/>
    <numFmt numFmtId="185" formatCode="_(\$* #,##0.00_);_(\$* \(#,##0.00\);_(\$* \-??_);_(@_)"/>
    <numFmt numFmtId="186" formatCode="\$#,##0.00_);&quot;($&quot;#,##0.00\)"/>
    <numFmt numFmtId="187" formatCode="_(* #,##0.00000_);_(* \(#,##0.00000\);_(* \-??_);_(@_)"/>
    <numFmt numFmtId="188" formatCode="_(\$* #,##0_);_(\$* \(#,##0\);_(\$* \-??_);_(@_)"/>
    <numFmt numFmtId="189" formatCode="\$#,##0.000"/>
    <numFmt numFmtId="190" formatCode="\$#,##0.000_);&quot;($&quot;#,##0.000\)"/>
    <numFmt numFmtId="191" formatCode="0.000"/>
    <numFmt numFmtId="192" formatCode="0.0"/>
    <numFmt numFmtId="193" formatCode="#,##0"/>
    <numFmt numFmtId="194" formatCode="_(* #,##0.000000_);_(* \(#,##0.000000\);_(* \-??_);_(@_)"/>
    <numFmt numFmtId="195" formatCode="[$-409]d\-mmm\-yy"/>
    <numFmt numFmtId="196" formatCode="0.0000%"/>
    <numFmt numFmtId="197" formatCode="\$#,##0_);&quot;($&quot;#,##0\)"/>
    <numFmt numFmtId="198" formatCode="_(* #,##0.00000_);_(* \(#,##0.00000\);_(* \-?????_);_(@_)"/>
    <numFmt numFmtId="199" formatCode="_(\$* #,##0.00000_);_(\$* \(#,##0.00000\);_(\$* \-??_);_(@_)"/>
    <numFmt numFmtId="200" formatCode="_(\$* #,##0.0000_);_(\$* \(#,##0.0000\);_(\$* \-??_);_(@_)"/>
    <numFmt numFmtId="201" formatCode="_(* #,##0.000_);_(* \(#,##0.000\);_(* \-???_);_(@_)"/>
    <numFmt numFmtId="202" formatCode="0.00000%"/>
    <numFmt numFmtId="203" formatCode="0.000000"/>
    <numFmt numFmtId="204" formatCode="#,##0;\(#,##0\)"/>
    <numFmt numFmtId="205" formatCode="#,##0.0000;\(#,##0.0000\)"/>
    <numFmt numFmtId="206" formatCode="0.000%"/>
    <numFmt numFmtId="207" formatCode="\$#,##0.0000_);&quot;($&quot;#,##0.0000\)"/>
  </numFmts>
  <fonts count="5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1"/>
      <name val="Times New Roman"/>
      <family val="0"/>
    </font>
    <font>
      <sz val="12"/>
      <name val="P-TIMES"/>
      <family val="0"/>
    </font>
    <font>
      <sz val="11"/>
      <name val="Arial"/>
      <family val="0"/>
    </font>
    <font>
      <sz val="10"/>
      <name val="Univers"/>
      <family val="0"/>
    </font>
    <font>
      <sz val="12"/>
      <name val="Times New Roman"/>
      <family val="0"/>
    </font>
    <font>
      <b val="true"/>
      <sz val="10"/>
      <color rgb="FF000080"/>
      <name val="Arial"/>
      <family val="2"/>
    </font>
    <font>
      <sz val="10"/>
      <color rgb="FF000000"/>
      <name val="Arial"/>
      <family val="0"/>
    </font>
    <font>
      <sz val="10"/>
      <color rgb="FF000000"/>
      <name val="Arial"/>
      <family val="2"/>
    </font>
    <font>
      <sz val="10"/>
      <color rgb="FF000000"/>
      <name val="Courier New"/>
      <family val="0"/>
    </font>
    <font>
      <sz val="10"/>
      <color rgb="FF000000"/>
      <name val="Courier New"/>
      <family val="3"/>
    </font>
    <font>
      <sz val="11"/>
      <color rgb="FF000080"/>
      <name val="Arial Narrow"/>
      <family val="2"/>
    </font>
    <font>
      <b val="true"/>
      <sz val="11"/>
      <color rgb="FF000080"/>
      <name val="Arial Narrow"/>
      <family val="2"/>
    </font>
    <font>
      <sz val="11"/>
      <color rgb="FF000080"/>
      <name val="Times New Roman"/>
      <family val="1"/>
    </font>
    <font>
      <b val="true"/>
      <sz val="14"/>
      <color rgb="FF000080"/>
      <name val="Times New Roman"/>
      <family val="1"/>
    </font>
    <font>
      <b val="true"/>
      <sz val="11"/>
      <color rgb="FF000080"/>
      <name val="Times New Roman"/>
      <family val="1"/>
    </font>
    <font>
      <b val="true"/>
      <sz val="11"/>
      <color rgb="FFFFFFFF"/>
      <name val="Arial Narrow"/>
      <family val="2"/>
    </font>
    <font>
      <b val="true"/>
      <sz val="11"/>
      <color rgb="FFFF0000"/>
      <name val="Arial Narrow"/>
      <family val="2"/>
    </font>
    <font>
      <sz val="8"/>
      <color rgb="FF000080"/>
      <name val="Arial Narrow"/>
      <family val="2"/>
    </font>
    <font>
      <sz val="10"/>
      <color rgb="FF000080"/>
      <name val="Arial"/>
      <family val="2"/>
    </font>
    <font>
      <sz val="9"/>
      <color rgb="FF000080"/>
      <name val="Arial"/>
      <family val="2"/>
    </font>
    <font>
      <b val="true"/>
      <sz val="18"/>
      <color rgb="FF000000"/>
      <name val="Arial Narrow"/>
      <family val="2"/>
    </font>
    <font>
      <b val="true"/>
      <sz val="14"/>
      <color rgb="FF000000"/>
      <name val="Arial Narrow"/>
      <family val="2"/>
    </font>
    <font>
      <sz val="14"/>
      <color rgb="FF000000"/>
      <name val="Arial Narrow"/>
      <family val="2"/>
    </font>
    <font>
      <b val="true"/>
      <sz val="16"/>
      <name val="Arial Narrow"/>
      <family val="2"/>
    </font>
    <font>
      <b val="true"/>
      <sz val="10"/>
      <name val="Arial"/>
      <family val="2"/>
    </font>
    <font>
      <b val="true"/>
      <sz val="14"/>
      <name val="Arial Narrow"/>
      <family val="2"/>
    </font>
    <font>
      <b val="true"/>
      <sz val="10"/>
      <name val="Arial Narrow"/>
      <family val="2"/>
    </font>
    <font>
      <b val="true"/>
      <sz val="9"/>
      <name val="Arial"/>
      <family val="2"/>
    </font>
    <font>
      <sz val="11"/>
      <name val="Arial Narrow"/>
      <family val="2"/>
    </font>
    <font>
      <b val="true"/>
      <sz val="8"/>
      <color rgb="FF000080"/>
      <name val="Arial"/>
      <family val="2"/>
    </font>
    <font>
      <sz val="5"/>
      <name val="Times New Roman"/>
      <family val="1"/>
    </font>
    <font>
      <b val="true"/>
      <sz val="12"/>
      <name val="Times New Roman"/>
      <family val="0"/>
    </font>
    <font>
      <sz val="8"/>
      <color rgb="FF000000"/>
      <name val="Tahoma"/>
      <family val="0"/>
    </font>
    <font>
      <sz val="12"/>
      <name val="Arial Narrow"/>
      <family val="2"/>
    </font>
    <font>
      <b val="true"/>
      <sz val="12"/>
      <name val="Arial Narrow"/>
      <family val="2"/>
    </font>
    <font>
      <b val="true"/>
      <sz val="12"/>
      <color rgb="FF000080"/>
      <name val="Arial Narrow"/>
      <family val="2"/>
    </font>
    <font>
      <b val="true"/>
      <sz val="11"/>
      <color rgb="FF000000"/>
      <name val="Arial Narrow"/>
      <family val="2"/>
    </font>
    <font>
      <b val="true"/>
      <sz val="11"/>
      <name val="Arial Narrow"/>
      <family val="2"/>
    </font>
    <font>
      <sz val="12"/>
      <color rgb="FF000080"/>
      <name val="Arial Narrow"/>
      <family val="2"/>
    </font>
    <font>
      <b val="true"/>
      <sz val="8"/>
      <color rgb="FF000080"/>
      <name val="Arial Narrow"/>
      <family val="2"/>
    </font>
    <font>
      <b val="true"/>
      <sz val="12"/>
      <color rgb="FFFF0000"/>
      <name val="Arial Narrow"/>
      <family val="2"/>
    </font>
    <font>
      <sz val="12"/>
      <color rgb="FFFF0000"/>
      <name val="Arial Narrow"/>
      <family val="2"/>
    </font>
    <font>
      <sz val="6"/>
      <color rgb="FF000080"/>
      <name val="Arial"/>
      <family val="2"/>
    </font>
    <font>
      <b val="true"/>
      <sz val="6"/>
      <color rgb="FF000080"/>
      <name val="Arial"/>
      <family val="2"/>
    </font>
    <font>
      <b val="true"/>
      <sz val="10"/>
      <color rgb="FFFF0000"/>
      <name val="Arial"/>
      <family val="2"/>
    </font>
    <font>
      <sz val="7"/>
      <color rgb="FF000080"/>
      <name val="Arial"/>
      <family val="2"/>
    </font>
    <font>
      <b val="true"/>
      <sz val="7"/>
      <color rgb="FF000080"/>
      <name val="Arial"/>
      <family val="2"/>
    </font>
    <font>
      <b val="true"/>
      <sz val="10"/>
      <color rgb="FF0000FF"/>
      <name val="Arial"/>
      <family val="0"/>
    </font>
    <font>
      <b val="true"/>
      <u val="single"/>
      <sz val="12"/>
      <color rgb="FF0000FF"/>
      <name val="Arial"/>
      <family val="0"/>
    </font>
    <font>
      <b val="true"/>
      <sz val="8"/>
      <color rgb="FF0000FF"/>
      <name val="Arial"/>
      <family val="0"/>
    </font>
    <font>
      <b val="true"/>
      <sz val="11"/>
      <color rgb="FF0000FF"/>
      <name val="Arial"/>
      <family val="0"/>
    </font>
    <font>
      <b val="true"/>
      <sz val="10"/>
      <color rgb="FF000080"/>
      <name val="Arial Narrow"/>
      <family val="2"/>
    </font>
    <font>
      <b val="true"/>
      <sz val="2"/>
      <color rgb="FF000080"/>
      <name val="Arial Narrow"/>
      <family val="2"/>
    </font>
    <font>
      <b val="true"/>
      <sz val="7"/>
      <color rgb="FF00008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E3E3E3"/>
        <bgColor rgb="FFCCFFCC"/>
      </patternFill>
    </fill>
    <fill>
      <patternFill patternType="solid">
        <fgColor rgb="FF69FFFF"/>
        <bgColor rgb="FF33CCCC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E3E3E3"/>
      </patternFill>
    </fill>
    <fill>
      <patternFill patternType="solid">
        <fgColor rgb="FF00FFFF"/>
        <bgColor rgb="FF00FFFF"/>
      </patternFill>
    </fill>
    <fill>
      <patternFill patternType="solid">
        <fgColor rgb="FF000080"/>
        <bgColor rgb="FF000080"/>
      </patternFill>
    </fill>
    <fill>
      <patternFill patternType="solid">
        <fgColor rgb="FF00FF00"/>
        <bgColor rgb="FF33CC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medium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2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2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0" fillId="2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2" borderId="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0" fillId="2" borderId="8" xfId="1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2" borderId="7" xfId="1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8" fontId="10" fillId="2" borderId="8" xfId="1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2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2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2" borderId="1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5" fontId="18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16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7" fontId="19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6" fillId="3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6" fillId="3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6" fillId="3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4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7" fillId="2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6" fillId="4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6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6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6" fillId="4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7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4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7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7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5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5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5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2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1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1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0" fillId="5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3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3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3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3" fillId="0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0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3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0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4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0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10" fillId="7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0" fillId="7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0" fillId="7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8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10" fillId="2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3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10" fillId="3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3" fillId="8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3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4" fillId="7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3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2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3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3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33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3" fillId="0" borderId="2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33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3" fillId="8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25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33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3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3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0" xfId="3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25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9" fillId="0" borderId="0" xfId="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9" fillId="0" borderId="0" xfId="3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3" fontId="9" fillId="0" borderId="32" xfId="33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93" fontId="9" fillId="0" borderId="0" xfId="33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33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33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9" fillId="0" borderId="0" xfId="33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3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0" fillId="3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3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39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9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0" fillId="3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6" fillId="3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4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4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0" fillId="9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2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4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0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0" fillId="0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0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0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3" fillId="4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3" fillId="4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3" fillId="4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3" fillId="4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3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3" fillId="4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0" fillId="3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3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0" fillId="3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1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2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1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3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6" fillId="2" borderId="3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6" fillId="2" borderId="1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9" fontId="16" fillId="2" borderId="1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6" fillId="2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5" fillId="8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15" fillId="0" borderId="2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6" fillId="2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5" fillId="3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3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3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6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4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4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5" fillId="3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4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5" fillId="3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5" fillId="3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6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3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3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3" fillId="2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5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3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3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2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3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3" fillId="2" borderId="2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5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3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5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5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43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5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0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5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3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6" fontId="5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5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43" fillId="2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3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7" fontId="5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5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5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5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6" fillId="2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56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6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6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56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5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56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56" fillId="2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56" fillId="2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56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5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6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56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2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56" fillId="3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56" fillId="3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3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3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8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6" fillId="2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6" fillId="2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6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6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5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6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 [0]_Macros" xfId="20"/>
    <cellStyle name="Currency_Macros" xfId="21"/>
    <cellStyle name="Normal_ABI" xfId="22"/>
    <cellStyle name="Normal_Applied Materials" xfId="23"/>
    <cellStyle name="Normal_CashFlows" xfId="24"/>
    <cellStyle name="Normal_Co IS" xfId="25"/>
    <cellStyle name="Normal_Codes2" xfId="26"/>
    <cellStyle name="Normal_Economics - Crosstab" xfId="27"/>
    <cellStyle name="Normal_Kaiser" xfId="28"/>
    <cellStyle name="Normal_Lockheed" xfId="29"/>
    <cellStyle name="Normal_Macros" xfId="30"/>
    <cellStyle name="Normal_Sheet1" xfId="31"/>
    <cellStyle name="Normal_Sheet2" xfId="32"/>
    <cellStyle name="Normal_Spot" xfId="33"/>
    <cellStyle name="Normal_TAXES" xfId="34"/>
    <cellStyle name="Normal_UC- CSU" xfId="3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800" strike="noStrike" u="none">
                <a:solidFill>
                  <a:srgbClr val="000000"/>
                </a:solidFill>
                <a:uFillTx/>
                <a:latin typeface="Arial Narrow"/>
              </a:rPr>
              <a:t>Fuel Curve Comparison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"Company Curve"</c:f>
              <c:strCache>
                <c:ptCount val="1"/>
                <c:pt idx="0">
                  <c:v>Company Curve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'Curve Comparison'!$B$4:$B$238</c:f>
              <c:strCache>
                <c:ptCount val="235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  <c:pt idx="12">
                  <c:v>Jun-01</c:v>
                </c:pt>
                <c:pt idx="13">
                  <c:v>Jul-01</c:v>
                </c:pt>
                <c:pt idx="14">
                  <c:v>Aug-01</c:v>
                </c:pt>
                <c:pt idx="15">
                  <c:v>Sep-01</c:v>
                </c:pt>
                <c:pt idx="16">
                  <c:v>Oct-01</c:v>
                </c:pt>
                <c:pt idx="17">
                  <c:v>Nov-01</c:v>
                </c:pt>
                <c:pt idx="18">
                  <c:v>Dec-01</c:v>
                </c:pt>
                <c:pt idx="19">
                  <c:v>Jan-02</c:v>
                </c:pt>
                <c:pt idx="20">
                  <c:v>Feb-02</c:v>
                </c:pt>
                <c:pt idx="21">
                  <c:v>Mar-02</c:v>
                </c:pt>
                <c:pt idx="22">
                  <c:v>Apr-02</c:v>
                </c:pt>
                <c:pt idx="23">
                  <c:v>May-02</c:v>
                </c:pt>
                <c:pt idx="24">
                  <c:v>Jun-02</c:v>
                </c:pt>
                <c:pt idx="25">
                  <c:v>Jul-02</c:v>
                </c:pt>
                <c:pt idx="26">
                  <c:v>Aug-02</c:v>
                </c:pt>
                <c:pt idx="27">
                  <c:v>Sep-02</c:v>
                </c:pt>
                <c:pt idx="28">
                  <c:v>Oct-02</c:v>
                </c:pt>
                <c:pt idx="29">
                  <c:v>Nov-02</c:v>
                </c:pt>
                <c:pt idx="30">
                  <c:v>Dec-02</c:v>
                </c:pt>
                <c:pt idx="31">
                  <c:v>Jan-03</c:v>
                </c:pt>
                <c:pt idx="32">
                  <c:v>Feb-03</c:v>
                </c:pt>
                <c:pt idx="33">
                  <c:v>Mar-03</c:v>
                </c:pt>
                <c:pt idx="34">
                  <c:v>Apr-03</c:v>
                </c:pt>
                <c:pt idx="35">
                  <c:v>May-03</c:v>
                </c:pt>
                <c:pt idx="36">
                  <c:v>Jun-03</c:v>
                </c:pt>
                <c:pt idx="37">
                  <c:v>Jul-03</c:v>
                </c:pt>
                <c:pt idx="38">
                  <c:v>Aug-03</c:v>
                </c:pt>
                <c:pt idx="39">
                  <c:v>Sep-03</c:v>
                </c:pt>
                <c:pt idx="40">
                  <c:v>Oct-03</c:v>
                </c:pt>
                <c:pt idx="41">
                  <c:v>Nov-03</c:v>
                </c:pt>
                <c:pt idx="42">
                  <c:v>Dec-03</c:v>
                </c:pt>
                <c:pt idx="43">
                  <c:v>Jan-04</c:v>
                </c:pt>
                <c:pt idx="44">
                  <c:v>Feb-04</c:v>
                </c:pt>
                <c:pt idx="45">
                  <c:v>Mar-04</c:v>
                </c:pt>
                <c:pt idx="46">
                  <c:v>Apr-04</c:v>
                </c:pt>
                <c:pt idx="47">
                  <c:v>May-04</c:v>
                </c:pt>
                <c:pt idx="48">
                  <c:v>Jun-04</c:v>
                </c:pt>
                <c:pt idx="49">
                  <c:v>Jul-04</c:v>
                </c:pt>
                <c:pt idx="50">
                  <c:v>Aug-04</c:v>
                </c:pt>
                <c:pt idx="51">
                  <c:v>Sep-04</c:v>
                </c:pt>
                <c:pt idx="52">
                  <c:v>Oct-04</c:v>
                </c:pt>
                <c:pt idx="53">
                  <c:v>Nov-04</c:v>
                </c:pt>
                <c:pt idx="54">
                  <c:v>Dec-04</c:v>
                </c:pt>
                <c:pt idx="55">
                  <c:v>Jan-05</c:v>
                </c:pt>
                <c:pt idx="56">
                  <c:v>Feb-05</c:v>
                </c:pt>
                <c:pt idx="57">
                  <c:v>Mar-05</c:v>
                </c:pt>
                <c:pt idx="58">
                  <c:v>Apr-05</c:v>
                </c:pt>
                <c:pt idx="59">
                  <c:v>May-05</c:v>
                </c:pt>
                <c:pt idx="60">
                  <c:v>Jun-05</c:v>
                </c:pt>
                <c:pt idx="61">
                  <c:v>Jul-05</c:v>
                </c:pt>
                <c:pt idx="62">
                  <c:v>Aug-05</c:v>
                </c:pt>
                <c:pt idx="63">
                  <c:v>Sep-05</c:v>
                </c:pt>
                <c:pt idx="64">
                  <c:v>Oct-05</c:v>
                </c:pt>
                <c:pt idx="65">
                  <c:v>Nov-05</c:v>
                </c:pt>
                <c:pt idx="66">
                  <c:v>Dec-05</c:v>
                </c:pt>
                <c:pt idx="67">
                  <c:v>Jan-06</c:v>
                </c:pt>
                <c:pt idx="68">
                  <c:v>Feb-06</c:v>
                </c:pt>
                <c:pt idx="69">
                  <c:v>Mar-06</c:v>
                </c:pt>
                <c:pt idx="70">
                  <c:v>Apr-06</c:v>
                </c:pt>
                <c:pt idx="71">
                  <c:v>May-06</c:v>
                </c:pt>
                <c:pt idx="72">
                  <c:v>Jun-06</c:v>
                </c:pt>
                <c:pt idx="73">
                  <c:v>Jul-06</c:v>
                </c:pt>
                <c:pt idx="74">
                  <c:v>Aug-06</c:v>
                </c:pt>
                <c:pt idx="75">
                  <c:v>Sep-06</c:v>
                </c:pt>
                <c:pt idx="76">
                  <c:v>Oct-06</c:v>
                </c:pt>
                <c:pt idx="77">
                  <c:v>Nov-06</c:v>
                </c:pt>
                <c:pt idx="78">
                  <c:v>Dec-06</c:v>
                </c:pt>
                <c:pt idx="79">
                  <c:v>Jan-07</c:v>
                </c:pt>
                <c:pt idx="80">
                  <c:v>Feb-07</c:v>
                </c:pt>
                <c:pt idx="81">
                  <c:v>Mar-07</c:v>
                </c:pt>
                <c:pt idx="82">
                  <c:v>Apr-07</c:v>
                </c:pt>
                <c:pt idx="83">
                  <c:v>May-07</c:v>
                </c:pt>
                <c:pt idx="84">
                  <c:v>Jun-07</c:v>
                </c:pt>
                <c:pt idx="85">
                  <c:v>Jul-07</c:v>
                </c:pt>
                <c:pt idx="86">
                  <c:v>Aug-07</c:v>
                </c:pt>
                <c:pt idx="87">
                  <c:v>Sep-07</c:v>
                </c:pt>
                <c:pt idx="88">
                  <c:v>Oct-07</c:v>
                </c:pt>
                <c:pt idx="89">
                  <c:v>Nov-07</c:v>
                </c:pt>
                <c:pt idx="90">
                  <c:v>Dec-07</c:v>
                </c:pt>
                <c:pt idx="91">
                  <c:v>Jan-08</c:v>
                </c:pt>
                <c:pt idx="92">
                  <c:v>Feb-08</c:v>
                </c:pt>
                <c:pt idx="93">
                  <c:v>Mar-08</c:v>
                </c:pt>
                <c:pt idx="94">
                  <c:v>Apr-08</c:v>
                </c:pt>
                <c:pt idx="95">
                  <c:v>May-08</c:v>
                </c:pt>
                <c:pt idx="96">
                  <c:v>Jun-08</c:v>
                </c:pt>
                <c:pt idx="97">
                  <c:v>Jul-08</c:v>
                </c:pt>
                <c:pt idx="98">
                  <c:v>Aug-08</c:v>
                </c:pt>
                <c:pt idx="99">
                  <c:v>Sep-08</c:v>
                </c:pt>
                <c:pt idx="100">
                  <c:v>Oct-08</c:v>
                </c:pt>
                <c:pt idx="101">
                  <c:v>Nov-08</c:v>
                </c:pt>
                <c:pt idx="102">
                  <c:v>Dec-08</c:v>
                </c:pt>
                <c:pt idx="103">
                  <c:v>Jan-09</c:v>
                </c:pt>
                <c:pt idx="104">
                  <c:v>Feb-09</c:v>
                </c:pt>
                <c:pt idx="105">
                  <c:v>Mar-09</c:v>
                </c:pt>
                <c:pt idx="106">
                  <c:v>Apr-09</c:v>
                </c:pt>
                <c:pt idx="107">
                  <c:v>May-09</c:v>
                </c:pt>
                <c:pt idx="108">
                  <c:v>Jun-09</c:v>
                </c:pt>
                <c:pt idx="109">
                  <c:v>Jul-09</c:v>
                </c:pt>
                <c:pt idx="110">
                  <c:v>Aug-09</c:v>
                </c:pt>
                <c:pt idx="111">
                  <c:v>Sep-09</c:v>
                </c:pt>
                <c:pt idx="112">
                  <c:v>Oct-09</c:v>
                </c:pt>
                <c:pt idx="113">
                  <c:v>Nov-09</c:v>
                </c:pt>
                <c:pt idx="114">
                  <c:v>Dec-09</c:v>
                </c:pt>
                <c:pt idx="115">
                  <c:v>Jan-10</c:v>
                </c:pt>
                <c:pt idx="116">
                  <c:v>Feb-10</c:v>
                </c:pt>
                <c:pt idx="117">
                  <c:v>Mar-10</c:v>
                </c:pt>
                <c:pt idx="118">
                  <c:v>Apr-10</c:v>
                </c:pt>
                <c:pt idx="119">
                  <c:v>May-10</c:v>
                </c:pt>
                <c:pt idx="120">
                  <c:v>Jun-10</c:v>
                </c:pt>
                <c:pt idx="121">
                  <c:v>Jul-10</c:v>
                </c:pt>
                <c:pt idx="122">
                  <c:v>Aug-10</c:v>
                </c:pt>
                <c:pt idx="123">
                  <c:v>Sep-10</c:v>
                </c:pt>
                <c:pt idx="124">
                  <c:v>Oct-10</c:v>
                </c:pt>
                <c:pt idx="125">
                  <c:v>Nov-10</c:v>
                </c:pt>
                <c:pt idx="126">
                  <c:v>Dec-10</c:v>
                </c:pt>
                <c:pt idx="127">
                  <c:v>Jan-11</c:v>
                </c:pt>
                <c:pt idx="128">
                  <c:v>Feb-11</c:v>
                </c:pt>
                <c:pt idx="129">
                  <c:v>Mar-11</c:v>
                </c:pt>
                <c:pt idx="130">
                  <c:v>Apr-11</c:v>
                </c:pt>
                <c:pt idx="131">
                  <c:v>May-11</c:v>
                </c:pt>
                <c:pt idx="132">
                  <c:v>Jun-11</c:v>
                </c:pt>
                <c:pt idx="133">
                  <c:v>Jul-11</c:v>
                </c:pt>
                <c:pt idx="134">
                  <c:v>Aug-11</c:v>
                </c:pt>
                <c:pt idx="135">
                  <c:v>Sep-11</c:v>
                </c:pt>
                <c:pt idx="136">
                  <c:v>Oct-11</c:v>
                </c:pt>
                <c:pt idx="137">
                  <c:v>Nov-11</c:v>
                </c:pt>
                <c:pt idx="138">
                  <c:v>Dec-11</c:v>
                </c:pt>
                <c:pt idx="139">
                  <c:v>Jan-12</c:v>
                </c:pt>
                <c:pt idx="140">
                  <c:v>Feb-12</c:v>
                </c:pt>
                <c:pt idx="141">
                  <c:v>Mar-12</c:v>
                </c:pt>
                <c:pt idx="142">
                  <c:v>Apr-12</c:v>
                </c:pt>
                <c:pt idx="143">
                  <c:v>May-12</c:v>
                </c:pt>
                <c:pt idx="144">
                  <c:v>Jun-12</c:v>
                </c:pt>
                <c:pt idx="145">
                  <c:v>Jul-12</c:v>
                </c:pt>
                <c:pt idx="146">
                  <c:v>Aug-12</c:v>
                </c:pt>
                <c:pt idx="147">
                  <c:v>Sep-12</c:v>
                </c:pt>
                <c:pt idx="148">
                  <c:v>Oct-12</c:v>
                </c:pt>
                <c:pt idx="149">
                  <c:v>Nov-12</c:v>
                </c:pt>
                <c:pt idx="150">
                  <c:v>Dec-12</c:v>
                </c:pt>
                <c:pt idx="151">
                  <c:v>Jan-13</c:v>
                </c:pt>
                <c:pt idx="152">
                  <c:v>Feb-13</c:v>
                </c:pt>
                <c:pt idx="153">
                  <c:v>Mar-13</c:v>
                </c:pt>
                <c:pt idx="154">
                  <c:v>Apr-13</c:v>
                </c:pt>
                <c:pt idx="155">
                  <c:v>May-13</c:v>
                </c:pt>
                <c:pt idx="156">
                  <c:v>Jun-13</c:v>
                </c:pt>
                <c:pt idx="157">
                  <c:v>Jul-13</c:v>
                </c:pt>
                <c:pt idx="158">
                  <c:v>Aug-13</c:v>
                </c:pt>
                <c:pt idx="159">
                  <c:v>Sep-13</c:v>
                </c:pt>
                <c:pt idx="160">
                  <c:v>Oct-13</c:v>
                </c:pt>
                <c:pt idx="161">
                  <c:v>Nov-13</c:v>
                </c:pt>
                <c:pt idx="162">
                  <c:v>Dec-13</c:v>
                </c:pt>
                <c:pt idx="163">
                  <c:v>Jan-14</c:v>
                </c:pt>
                <c:pt idx="164">
                  <c:v>Feb-14</c:v>
                </c:pt>
                <c:pt idx="165">
                  <c:v>Mar-14</c:v>
                </c:pt>
                <c:pt idx="166">
                  <c:v>Apr-14</c:v>
                </c:pt>
                <c:pt idx="167">
                  <c:v>May-14</c:v>
                </c:pt>
                <c:pt idx="168">
                  <c:v>Jun-14</c:v>
                </c:pt>
                <c:pt idx="169">
                  <c:v>Jul-14</c:v>
                </c:pt>
                <c:pt idx="170">
                  <c:v>Aug-14</c:v>
                </c:pt>
                <c:pt idx="171">
                  <c:v>Sep-14</c:v>
                </c:pt>
                <c:pt idx="172">
                  <c:v>Oct-14</c:v>
                </c:pt>
                <c:pt idx="173">
                  <c:v>Nov-14</c:v>
                </c:pt>
                <c:pt idx="174">
                  <c:v>Dec-14</c:v>
                </c:pt>
                <c:pt idx="175">
                  <c:v>Jan-15</c:v>
                </c:pt>
                <c:pt idx="176">
                  <c:v>Feb-15</c:v>
                </c:pt>
                <c:pt idx="177">
                  <c:v>Mar-15</c:v>
                </c:pt>
                <c:pt idx="178">
                  <c:v>Apr-15</c:v>
                </c:pt>
                <c:pt idx="179">
                  <c:v>May-15</c:v>
                </c:pt>
                <c:pt idx="180">
                  <c:v>Jun-15</c:v>
                </c:pt>
                <c:pt idx="181">
                  <c:v>Jul-15</c:v>
                </c:pt>
                <c:pt idx="182">
                  <c:v>Aug-15</c:v>
                </c:pt>
                <c:pt idx="183">
                  <c:v>Sep-15</c:v>
                </c:pt>
                <c:pt idx="184">
                  <c:v>Oct-15</c:v>
                </c:pt>
                <c:pt idx="185">
                  <c:v>Nov-15</c:v>
                </c:pt>
                <c:pt idx="186">
                  <c:v>Dec-15</c:v>
                </c:pt>
                <c:pt idx="187">
                  <c:v>Jan-16</c:v>
                </c:pt>
                <c:pt idx="188">
                  <c:v>Feb-16</c:v>
                </c:pt>
                <c:pt idx="189">
                  <c:v>Mar-16</c:v>
                </c:pt>
                <c:pt idx="190">
                  <c:v>Apr-16</c:v>
                </c:pt>
                <c:pt idx="191">
                  <c:v>May-16</c:v>
                </c:pt>
                <c:pt idx="192">
                  <c:v>Jun-16</c:v>
                </c:pt>
                <c:pt idx="193">
                  <c:v>Jul-16</c:v>
                </c:pt>
                <c:pt idx="194">
                  <c:v>Aug-16</c:v>
                </c:pt>
                <c:pt idx="195">
                  <c:v>Sep-16</c:v>
                </c:pt>
                <c:pt idx="196">
                  <c:v>Oct-16</c:v>
                </c:pt>
                <c:pt idx="197">
                  <c:v>Nov-16</c:v>
                </c:pt>
                <c:pt idx="198">
                  <c:v>Dec-16</c:v>
                </c:pt>
                <c:pt idx="199">
                  <c:v>Jan-17</c:v>
                </c:pt>
                <c:pt idx="200">
                  <c:v>Feb-17</c:v>
                </c:pt>
                <c:pt idx="201">
                  <c:v>Mar-17</c:v>
                </c:pt>
                <c:pt idx="202">
                  <c:v>Apr-17</c:v>
                </c:pt>
                <c:pt idx="203">
                  <c:v>May-17</c:v>
                </c:pt>
                <c:pt idx="204">
                  <c:v>Jun-17</c:v>
                </c:pt>
                <c:pt idx="205">
                  <c:v>Jul-17</c:v>
                </c:pt>
                <c:pt idx="206">
                  <c:v>Aug-17</c:v>
                </c:pt>
                <c:pt idx="207">
                  <c:v>Sep-17</c:v>
                </c:pt>
                <c:pt idx="208">
                  <c:v>Oct-17</c:v>
                </c:pt>
                <c:pt idx="209">
                  <c:v>Nov-17</c:v>
                </c:pt>
                <c:pt idx="210">
                  <c:v>Dec-17</c:v>
                </c:pt>
                <c:pt idx="211">
                  <c:v>Jan-18</c:v>
                </c:pt>
                <c:pt idx="212">
                  <c:v>Feb-18</c:v>
                </c:pt>
                <c:pt idx="213">
                  <c:v>Mar-18</c:v>
                </c:pt>
                <c:pt idx="214">
                  <c:v>Apr-18</c:v>
                </c:pt>
                <c:pt idx="215">
                  <c:v>May-18</c:v>
                </c:pt>
                <c:pt idx="216">
                  <c:v>Jun-18</c:v>
                </c:pt>
                <c:pt idx="217">
                  <c:v>Jul-18</c:v>
                </c:pt>
                <c:pt idx="218">
                  <c:v>Aug-18</c:v>
                </c:pt>
                <c:pt idx="219">
                  <c:v>Sep-18</c:v>
                </c:pt>
                <c:pt idx="220">
                  <c:v>Oct-18</c:v>
                </c:pt>
                <c:pt idx="221">
                  <c:v>Nov-18</c:v>
                </c:pt>
                <c:pt idx="222">
                  <c:v>Dec-18</c:v>
                </c:pt>
                <c:pt idx="223">
                  <c:v>Jan-19</c:v>
                </c:pt>
                <c:pt idx="224">
                  <c:v>Feb-19</c:v>
                </c:pt>
                <c:pt idx="225">
                  <c:v>Mar-19</c:v>
                </c:pt>
                <c:pt idx="226">
                  <c:v>Apr-19</c:v>
                </c:pt>
                <c:pt idx="227">
                  <c:v>May-19</c:v>
                </c:pt>
                <c:pt idx="228">
                  <c:v>Jun-19</c:v>
                </c:pt>
                <c:pt idx="229">
                  <c:v>Jul-19</c:v>
                </c:pt>
                <c:pt idx="230">
                  <c:v>Aug-19</c:v>
                </c:pt>
                <c:pt idx="231">
                  <c:v>Sep-19</c:v>
                </c:pt>
                <c:pt idx="232">
                  <c:v>Oct-19</c:v>
                </c:pt>
                <c:pt idx="233">
                  <c:v>Nov-19</c:v>
                </c:pt>
                <c:pt idx="234">
                  <c:v>Dec-19</c:v>
                </c:pt>
              </c:strCache>
            </c:strRef>
          </c:cat>
          <c:val>
            <c:numRef>
              <c:f>'Curve Comparison'!$C$4:$C$238</c:f>
              <c:numCache>
                <c:formatCode>_(* #,##0.000_);_(* \(#,##0.000\);_(* \-??_);_(@_)</c:formatCode>
                <c:ptCount val="235"/>
                <c:pt idx="0">
                  <c:v>4.23229167</c:v>
                </c:pt>
                <c:pt idx="1">
                  <c:v>4.190625</c:v>
                </c:pt>
                <c:pt idx="2">
                  <c:v>4.190625</c:v>
                </c:pt>
                <c:pt idx="3">
                  <c:v>4.24166667</c:v>
                </c:pt>
                <c:pt idx="4">
                  <c:v>4.196875</c:v>
                </c:pt>
                <c:pt idx="5">
                  <c:v>4.196875</c:v>
                </c:pt>
                <c:pt idx="6">
                  <c:v>4.196875</c:v>
                </c:pt>
                <c:pt idx="7">
                  <c:v>3.83541667</c:v>
                </c:pt>
                <c:pt idx="8">
                  <c:v>3.83541667</c:v>
                </c:pt>
                <c:pt idx="9">
                  <c:v>3.83541667</c:v>
                </c:pt>
                <c:pt idx="10">
                  <c:v>3.98020833</c:v>
                </c:pt>
                <c:pt idx="11">
                  <c:v>3.81770833</c:v>
                </c:pt>
                <c:pt idx="12">
                  <c:v>3.809375</c:v>
                </c:pt>
                <c:pt idx="13">
                  <c:v>3.771875</c:v>
                </c:pt>
                <c:pt idx="14">
                  <c:v>3.771875</c:v>
                </c:pt>
                <c:pt idx="15">
                  <c:v>3.81770833</c:v>
                </c:pt>
                <c:pt idx="16">
                  <c:v>3.778125</c:v>
                </c:pt>
                <c:pt idx="17">
                  <c:v>3.778125</c:v>
                </c:pt>
                <c:pt idx="18">
                  <c:v>3.778125</c:v>
                </c:pt>
                <c:pt idx="19">
                  <c:v>3.83541667</c:v>
                </c:pt>
                <c:pt idx="20">
                  <c:v>3.83541667</c:v>
                </c:pt>
                <c:pt idx="21">
                  <c:v>3.83541667</c:v>
                </c:pt>
                <c:pt idx="22">
                  <c:v>3.98020833</c:v>
                </c:pt>
                <c:pt idx="23">
                  <c:v>3.81770833</c:v>
                </c:pt>
                <c:pt idx="24">
                  <c:v>3.809375</c:v>
                </c:pt>
                <c:pt idx="25">
                  <c:v>3.771875</c:v>
                </c:pt>
                <c:pt idx="26">
                  <c:v>3.771875</c:v>
                </c:pt>
                <c:pt idx="27">
                  <c:v>3.81770833</c:v>
                </c:pt>
                <c:pt idx="28">
                  <c:v>3.778125</c:v>
                </c:pt>
                <c:pt idx="29">
                  <c:v>3.778125</c:v>
                </c:pt>
                <c:pt idx="30">
                  <c:v>3.778125</c:v>
                </c:pt>
                <c:pt idx="31">
                  <c:v>3.83541667</c:v>
                </c:pt>
                <c:pt idx="32">
                  <c:v>3.83541667</c:v>
                </c:pt>
                <c:pt idx="33">
                  <c:v>3.83541667</c:v>
                </c:pt>
                <c:pt idx="34">
                  <c:v>3.98020833</c:v>
                </c:pt>
                <c:pt idx="35">
                  <c:v>3.81770833</c:v>
                </c:pt>
                <c:pt idx="36">
                  <c:v>3.809375</c:v>
                </c:pt>
                <c:pt idx="37">
                  <c:v>3.771875</c:v>
                </c:pt>
                <c:pt idx="38">
                  <c:v>3.771875</c:v>
                </c:pt>
                <c:pt idx="39">
                  <c:v>3.81770833</c:v>
                </c:pt>
                <c:pt idx="40">
                  <c:v>3.778125</c:v>
                </c:pt>
                <c:pt idx="41">
                  <c:v>3.778125</c:v>
                </c:pt>
                <c:pt idx="42">
                  <c:v>3.778125</c:v>
                </c:pt>
                <c:pt idx="43">
                  <c:v>3.83541667</c:v>
                </c:pt>
                <c:pt idx="44">
                  <c:v>3.83541667</c:v>
                </c:pt>
                <c:pt idx="45">
                  <c:v>3.83541667</c:v>
                </c:pt>
                <c:pt idx="46">
                  <c:v>3.98020833</c:v>
                </c:pt>
                <c:pt idx="47">
                  <c:v>3.81770833</c:v>
                </c:pt>
                <c:pt idx="48">
                  <c:v>3.809375</c:v>
                </c:pt>
                <c:pt idx="49">
                  <c:v>3.771875</c:v>
                </c:pt>
                <c:pt idx="50">
                  <c:v>3.771875</c:v>
                </c:pt>
                <c:pt idx="51">
                  <c:v>3.81770833</c:v>
                </c:pt>
                <c:pt idx="52">
                  <c:v>3.778125</c:v>
                </c:pt>
                <c:pt idx="53">
                  <c:v>3.778125</c:v>
                </c:pt>
                <c:pt idx="54">
                  <c:v>3.778125</c:v>
                </c:pt>
                <c:pt idx="55">
                  <c:v>3.83541667</c:v>
                </c:pt>
                <c:pt idx="56">
                  <c:v>3.83541667</c:v>
                </c:pt>
                <c:pt idx="57">
                  <c:v>3.83541667</c:v>
                </c:pt>
                <c:pt idx="58">
                  <c:v>3.98020833</c:v>
                </c:pt>
                <c:pt idx="59">
                  <c:v>3.81770833</c:v>
                </c:pt>
                <c:pt idx="60">
                  <c:v>3.809375</c:v>
                </c:pt>
                <c:pt idx="61">
                  <c:v>3.771875</c:v>
                </c:pt>
                <c:pt idx="62">
                  <c:v>3.771875</c:v>
                </c:pt>
                <c:pt idx="63">
                  <c:v>3.81770833</c:v>
                </c:pt>
                <c:pt idx="64">
                  <c:v>3.778125</c:v>
                </c:pt>
                <c:pt idx="65">
                  <c:v>3.778125</c:v>
                </c:pt>
                <c:pt idx="66">
                  <c:v>3.778125</c:v>
                </c:pt>
                <c:pt idx="67">
                  <c:v>3.83541667</c:v>
                </c:pt>
                <c:pt idx="68">
                  <c:v>3.83541667</c:v>
                </c:pt>
                <c:pt idx="69">
                  <c:v>3.83541667</c:v>
                </c:pt>
                <c:pt idx="70">
                  <c:v>3.98020833</c:v>
                </c:pt>
                <c:pt idx="71">
                  <c:v>3.81770833</c:v>
                </c:pt>
                <c:pt idx="72">
                  <c:v>3.809375</c:v>
                </c:pt>
                <c:pt idx="73">
                  <c:v>3.771875</c:v>
                </c:pt>
                <c:pt idx="74">
                  <c:v>3.771875</c:v>
                </c:pt>
                <c:pt idx="75">
                  <c:v>3.81770833</c:v>
                </c:pt>
                <c:pt idx="76">
                  <c:v>3.778125</c:v>
                </c:pt>
                <c:pt idx="77">
                  <c:v>3.778125</c:v>
                </c:pt>
                <c:pt idx="78">
                  <c:v>3.778125</c:v>
                </c:pt>
                <c:pt idx="79">
                  <c:v>3.83541667</c:v>
                </c:pt>
                <c:pt idx="80">
                  <c:v>3.83541667</c:v>
                </c:pt>
                <c:pt idx="81">
                  <c:v>3.83541667</c:v>
                </c:pt>
                <c:pt idx="82">
                  <c:v>3.98020833</c:v>
                </c:pt>
                <c:pt idx="83">
                  <c:v>3.81770833</c:v>
                </c:pt>
                <c:pt idx="84">
                  <c:v>3.809375</c:v>
                </c:pt>
                <c:pt idx="85">
                  <c:v>3.771875</c:v>
                </c:pt>
                <c:pt idx="86">
                  <c:v>3.771875</c:v>
                </c:pt>
                <c:pt idx="87">
                  <c:v>3.81770833</c:v>
                </c:pt>
                <c:pt idx="88">
                  <c:v>3.778125</c:v>
                </c:pt>
                <c:pt idx="89">
                  <c:v>3.778125</c:v>
                </c:pt>
                <c:pt idx="90">
                  <c:v>3.778125</c:v>
                </c:pt>
                <c:pt idx="91">
                  <c:v>3.83541667</c:v>
                </c:pt>
                <c:pt idx="92">
                  <c:v>3.83541667</c:v>
                </c:pt>
                <c:pt idx="93">
                  <c:v>3.83541667</c:v>
                </c:pt>
                <c:pt idx="94">
                  <c:v>3.98020833</c:v>
                </c:pt>
                <c:pt idx="95">
                  <c:v>3.81770833</c:v>
                </c:pt>
                <c:pt idx="96">
                  <c:v>3.809375</c:v>
                </c:pt>
                <c:pt idx="97">
                  <c:v>3.771875</c:v>
                </c:pt>
                <c:pt idx="98">
                  <c:v>3.771875</c:v>
                </c:pt>
                <c:pt idx="99">
                  <c:v>3.81770833</c:v>
                </c:pt>
                <c:pt idx="100">
                  <c:v>3.778125</c:v>
                </c:pt>
                <c:pt idx="101">
                  <c:v>3.778125</c:v>
                </c:pt>
                <c:pt idx="102">
                  <c:v>3.778125</c:v>
                </c:pt>
                <c:pt idx="103">
                  <c:v>3.83541667</c:v>
                </c:pt>
                <c:pt idx="104">
                  <c:v>3.83541667</c:v>
                </c:pt>
                <c:pt idx="105">
                  <c:v>3.83541667</c:v>
                </c:pt>
                <c:pt idx="106">
                  <c:v>3.98020833</c:v>
                </c:pt>
                <c:pt idx="107">
                  <c:v>3.81770833</c:v>
                </c:pt>
                <c:pt idx="108">
                  <c:v>3.809375</c:v>
                </c:pt>
                <c:pt idx="109">
                  <c:v>3.771875</c:v>
                </c:pt>
                <c:pt idx="110">
                  <c:v>3.771875</c:v>
                </c:pt>
                <c:pt idx="111">
                  <c:v>3.81770833</c:v>
                </c:pt>
                <c:pt idx="112">
                  <c:v>3.778125</c:v>
                </c:pt>
                <c:pt idx="113">
                  <c:v>3.778125</c:v>
                </c:pt>
                <c:pt idx="114">
                  <c:v>3.778125</c:v>
                </c:pt>
                <c:pt idx="115">
                  <c:v>3.83541667</c:v>
                </c:pt>
                <c:pt idx="116">
                  <c:v>3.83541667</c:v>
                </c:pt>
                <c:pt idx="117">
                  <c:v>3.83541667</c:v>
                </c:pt>
                <c:pt idx="118">
                  <c:v>3.98020833</c:v>
                </c:pt>
                <c:pt idx="119">
                  <c:v>3.81770833</c:v>
                </c:pt>
                <c:pt idx="120">
                  <c:v>3.809375</c:v>
                </c:pt>
                <c:pt idx="121">
                  <c:v>3.771875</c:v>
                </c:pt>
                <c:pt idx="122">
                  <c:v>3.771875</c:v>
                </c:pt>
                <c:pt idx="123">
                  <c:v>3.81770833</c:v>
                </c:pt>
                <c:pt idx="124">
                  <c:v>3.778125</c:v>
                </c:pt>
                <c:pt idx="125">
                  <c:v>3.778125</c:v>
                </c:pt>
                <c:pt idx="126">
                  <c:v>3.778125</c:v>
                </c:pt>
                <c:pt idx="127">
                  <c:v>3.83541667</c:v>
                </c:pt>
                <c:pt idx="128">
                  <c:v>3.83541667</c:v>
                </c:pt>
                <c:pt idx="129">
                  <c:v>3.83541667</c:v>
                </c:pt>
                <c:pt idx="130">
                  <c:v>3.98020833</c:v>
                </c:pt>
                <c:pt idx="131">
                  <c:v>3.81770833</c:v>
                </c:pt>
                <c:pt idx="132">
                  <c:v>3.809375</c:v>
                </c:pt>
                <c:pt idx="133">
                  <c:v>3.771875</c:v>
                </c:pt>
                <c:pt idx="134">
                  <c:v>3.771875</c:v>
                </c:pt>
                <c:pt idx="135">
                  <c:v>3.81770833</c:v>
                </c:pt>
                <c:pt idx="136">
                  <c:v>3.778125</c:v>
                </c:pt>
                <c:pt idx="137">
                  <c:v>3.778125</c:v>
                </c:pt>
                <c:pt idx="138">
                  <c:v>3.778125</c:v>
                </c:pt>
                <c:pt idx="139">
                  <c:v>3.83541667</c:v>
                </c:pt>
                <c:pt idx="140">
                  <c:v>3.83541667</c:v>
                </c:pt>
                <c:pt idx="141">
                  <c:v>3.83541667</c:v>
                </c:pt>
                <c:pt idx="142">
                  <c:v>3.98020833</c:v>
                </c:pt>
                <c:pt idx="143">
                  <c:v>3.81770833</c:v>
                </c:pt>
                <c:pt idx="144">
                  <c:v>3.809375</c:v>
                </c:pt>
                <c:pt idx="145">
                  <c:v>3.771875</c:v>
                </c:pt>
                <c:pt idx="146">
                  <c:v>3.771875</c:v>
                </c:pt>
                <c:pt idx="147">
                  <c:v>3.81770833</c:v>
                </c:pt>
                <c:pt idx="148">
                  <c:v>3.778125</c:v>
                </c:pt>
                <c:pt idx="149">
                  <c:v>3.778125</c:v>
                </c:pt>
                <c:pt idx="150">
                  <c:v>3.778125</c:v>
                </c:pt>
                <c:pt idx="151">
                  <c:v>3.83541667</c:v>
                </c:pt>
                <c:pt idx="152">
                  <c:v>3.83541667</c:v>
                </c:pt>
                <c:pt idx="153">
                  <c:v>3.83541667</c:v>
                </c:pt>
                <c:pt idx="154">
                  <c:v>3.98020833</c:v>
                </c:pt>
                <c:pt idx="155">
                  <c:v>3.81770833</c:v>
                </c:pt>
                <c:pt idx="156">
                  <c:v>3.809375</c:v>
                </c:pt>
                <c:pt idx="157">
                  <c:v>3.771875</c:v>
                </c:pt>
                <c:pt idx="158">
                  <c:v>3.771875</c:v>
                </c:pt>
                <c:pt idx="159">
                  <c:v>3.81770833</c:v>
                </c:pt>
                <c:pt idx="160">
                  <c:v>3.778125</c:v>
                </c:pt>
                <c:pt idx="161">
                  <c:v>3.778125</c:v>
                </c:pt>
                <c:pt idx="162">
                  <c:v>3.778125</c:v>
                </c:pt>
                <c:pt idx="163">
                  <c:v>3.83541667</c:v>
                </c:pt>
                <c:pt idx="164">
                  <c:v>3.83541667</c:v>
                </c:pt>
                <c:pt idx="165">
                  <c:v>3.83541667</c:v>
                </c:pt>
                <c:pt idx="166">
                  <c:v>3.98020833</c:v>
                </c:pt>
                <c:pt idx="167">
                  <c:v>3.81770833</c:v>
                </c:pt>
                <c:pt idx="168">
                  <c:v>3.809375</c:v>
                </c:pt>
                <c:pt idx="169">
                  <c:v>3.771875</c:v>
                </c:pt>
                <c:pt idx="170">
                  <c:v>3.771875</c:v>
                </c:pt>
                <c:pt idx="171">
                  <c:v>3.81770833</c:v>
                </c:pt>
                <c:pt idx="172">
                  <c:v>3.778125</c:v>
                </c:pt>
                <c:pt idx="173">
                  <c:v>3.778125</c:v>
                </c:pt>
                <c:pt idx="174">
                  <c:v>3.778125</c:v>
                </c:pt>
                <c:pt idx="175">
                  <c:v>3.9375</c:v>
                </c:pt>
                <c:pt idx="176">
                  <c:v>3.9375</c:v>
                </c:pt>
                <c:pt idx="177">
                  <c:v>3.9375</c:v>
                </c:pt>
                <c:pt idx="178">
                  <c:v>4.08229167</c:v>
                </c:pt>
                <c:pt idx="179">
                  <c:v>3.91979167</c:v>
                </c:pt>
                <c:pt idx="180">
                  <c:v>3.9125</c:v>
                </c:pt>
                <c:pt idx="181">
                  <c:v>3.87395833</c:v>
                </c:pt>
                <c:pt idx="182">
                  <c:v>3.87395833</c:v>
                </c:pt>
                <c:pt idx="183">
                  <c:v>3.91979167</c:v>
                </c:pt>
                <c:pt idx="184">
                  <c:v>3.88020833</c:v>
                </c:pt>
                <c:pt idx="185">
                  <c:v>3.88020833</c:v>
                </c:pt>
                <c:pt idx="186">
                  <c:v>3.88020833</c:v>
                </c:pt>
                <c:pt idx="187">
                  <c:v>3.9375</c:v>
                </c:pt>
                <c:pt idx="188">
                  <c:v>3.9375</c:v>
                </c:pt>
                <c:pt idx="189">
                  <c:v>3.9375</c:v>
                </c:pt>
                <c:pt idx="190">
                  <c:v>4.08229167</c:v>
                </c:pt>
                <c:pt idx="191">
                  <c:v>3.91979167</c:v>
                </c:pt>
                <c:pt idx="192">
                  <c:v>3.9125</c:v>
                </c:pt>
                <c:pt idx="193">
                  <c:v>3.87395833</c:v>
                </c:pt>
                <c:pt idx="194">
                  <c:v>3.87395833</c:v>
                </c:pt>
                <c:pt idx="195">
                  <c:v>3.91979167</c:v>
                </c:pt>
                <c:pt idx="196">
                  <c:v>3.88020833</c:v>
                </c:pt>
                <c:pt idx="197">
                  <c:v>3.88020833</c:v>
                </c:pt>
                <c:pt idx="198">
                  <c:v>3.88020833</c:v>
                </c:pt>
                <c:pt idx="199">
                  <c:v>3.9375</c:v>
                </c:pt>
                <c:pt idx="200">
                  <c:v>3.9375</c:v>
                </c:pt>
                <c:pt idx="201">
                  <c:v>3.9375</c:v>
                </c:pt>
                <c:pt idx="202">
                  <c:v>4.08229167</c:v>
                </c:pt>
                <c:pt idx="203">
                  <c:v>3.91979167</c:v>
                </c:pt>
                <c:pt idx="204">
                  <c:v>3.9125</c:v>
                </c:pt>
                <c:pt idx="205">
                  <c:v>3.87395833</c:v>
                </c:pt>
                <c:pt idx="206">
                  <c:v>3.87395833</c:v>
                </c:pt>
                <c:pt idx="207">
                  <c:v>3.91979167</c:v>
                </c:pt>
                <c:pt idx="208">
                  <c:v>3.88020833</c:v>
                </c:pt>
                <c:pt idx="209">
                  <c:v>3.88020833</c:v>
                </c:pt>
                <c:pt idx="210">
                  <c:v>3.88020833</c:v>
                </c:pt>
                <c:pt idx="211">
                  <c:v>3.9375</c:v>
                </c:pt>
                <c:pt idx="212">
                  <c:v>3.9375</c:v>
                </c:pt>
                <c:pt idx="213">
                  <c:v>3.9375</c:v>
                </c:pt>
                <c:pt idx="214">
                  <c:v>4.08229167</c:v>
                </c:pt>
                <c:pt idx="215">
                  <c:v>3.91979167</c:v>
                </c:pt>
                <c:pt idx="216">
                  <c:v>3.9125</c:v>
                </c:pt>
                <c:pt idx="217">
                  <c:v>3.87395833</c:v>
                </c:pt>
                <c:pt idx="218">
                  <c:v>3.87395833</c:v>
                </c:pt>
                <c:pt idx="219">
                  <c:v>3.91979167</c:v>
                </c:pt>
                <c:pt idx="220">
                  <c:v>3.88020833</c:v>
                </c:pt>
                <c:pt idx="221">
                  <c:v>3.88020833</c:v>
                </c:pt>
                <c:pt idx="222">
                  <c:v>3.88020833</c:v>
                </c:pt>
                <c:pt idx="223">
                  <c:v>3.9375</c:v>
                </c:pt>
                <c:pt idx="224">
                  <c:v>3.9375</c:v>
                </c:pt>
                <c:pt idx="225">
                  <c:v>3.9375</c:v>
                </c:pt>
                <c:pt idx="226">
                  <c:v>4.08229167</c:v>
                </c:pt>
                <c:pt idx="227">
                  <c:v>3.91979167</c:v>
                </c:pt>
                <c:pt idx="228">
                  <c:v>3.9125</c:v>
                </c:pt>
                <c:pt idx="229">
                  <c:v>3.87395833</c:v>
                </c:pt>
                <c:pt idx="230">
                  <c:v>3.87395833</c:v>
                </c:pt>
                <c:pt idx="231">
                  <c:v>3.91979167</c:v>
                </c:pt>
                <c:pt idx="232">
                  <c:v>3.88020833</c:v>
                </c:pt>
                <c:pt idx="233">
                  <c:v>3.88020833</c:v>
                </c:pt>
                <c:pt idx="234">
                  <c:v>3.88020833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"Enron's Converted Fuel Curve"</c:f>
              <c:strCache>
                <c:ptCount val="1"/>
                <c:pt idx="0">
                  <c:v>Enron's Converted Fuel Curve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'Curve Comparison'!$B$4:$B$238</c:f>
              <c:strCache>
                <c:ptCount val="235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  <c:pt idx="12">
                  <c:v>Jun-01</c:v>
                </c:pt>
                <c:pt idx="13">
                  <c:v>Jul-01</c:v>
                </c:pt>
                <c:pt idx="14">
                  <c:v>Aug-01</c:v>
                </c:pt>
                <c:pt idx="15">
                  <c:v>Sep-01</c:v>
                </c:pt>
                <c:pt idx="16">
                  <c:v>Oct-01</c:v>
                </c:pt>
                <c:pt idx="17">
                  <c:v>Nov-01</c:v>
                </c:pt>
                <c:pt idx="18">
                  <c:v>Dec-01</c:v>
                </c:pt>
                <c:pt idx="19">
                  <c:v>Jan-02</c:v>
                </c:pt>
                <c:pt idx="20">
                  <c:v>Feb-02</c:v>
                </c:pt>
                <c:pt idx="21">
                  <c:v>Mar-02</c:v>
                </c:pt>
                <c:pt idx="22">
                  <c:v>Apr-02</c:v>
                </c:pt>
                <c:pt idx="23">
                  <c:v>May-02</c:v>
                </c:pt>
                <c:pt idx="24">
                  <c:v>Jun-02</c:v>
                </c:pt>
                <c:pt idx="25">
                  <c:v>Jul-02</c:v>
                </c:pt>
                <c:pt idx="26">
                  <c:v>Aug-02</c:v>
                </c:pt>
                <c:pt idx="27">
                  <c:v>Sep-02</c:v>
                </c:pt>
                <c:pt idx="28">
                  <c:v>Oct-02</c:v>
                </c:pt>
                <c:pt idx="29">
                  <c:v>Nov-02</c:v>
                </c:pt>
                <c:pt idx="30">
                  <c:v>Dec-02</c:v>
                </c:pt>
                <c:pt idx="31">
                  <c:v>Jan-03</c:v>
                </c:pt>
                <c:pt idx="32">
                  <c:v>Feb-03</c:v>
                </c:pt>
                <c:pt idx="33">
                  <c:v>Mar-03</c:v>
                </c:pt>
                <c:pt idx="34">
                  <c:v>Apr-03</c:v>
                </c:pt>
                <c:pt idx="35">
                  <c:v>May-03</c:v>
                </c:pt>
                <c:pt idx="36">
                  <c:v>Jun-03</c:v>
                </c:pt>
                <c:pt idx="37">
                  <c:v>Jul-03</c:v>
                </c:pt>
                <c:pt idx="38">
                  <c:v>Aug-03</c:v>
                </c:pt>
                <c:pt idx="39">
                  <c:v>Sep-03</c:v>
                </c:pt>
                <c:pt idx="40">
                  <c:v>Oct-03</c:v>
                </c:pt>
                <c:pt idx="41">
                  <c:v>Nov-03</c:v>
                </c:pt>
                <c:pt idx="42">
                  <c:v>Dec-03</c:v>
                </c:pt>
                <c:pt idx="43">
                  <c:v>Jan-04</c:v>
                </c:pt>
                <c:pt idx="44">
                  <c:v>Feb-04</c:v>
                </c:pt>
                <c:pt idx="45">
                  <c:v>Mar-04</c:v>
                </c:pt>
                <c:pt idx="46">
                  <c:v>Apr-04</c:v>
                </c:pt>
                <c:pt idx="47">
                  <c:v>May-04</c:v>
                </c:pt>
                <c:pt idx="48">
                  <c:v>Jun-04</c:v>
                </c:pt>
                <c:pt idx="49">
                  <c:v>Jul-04</c:v>
                </c:pt>
                <c:pt idx="50">
                  <c:v>Aug-04</c:v>
                </c:pt>
                <c:pt idx="51">
                  <c:v>Sep-04</c:v>
                </c:pt>
                <c:pt idx="52">
                  <c:v>Oct-04</c:v>
                </c:pt>
                <c:pt idx="53">
                  <c:v>Nov-04</c:v>
                </c:pt>
                <c:pt idx="54">
                  <c:v>Dec-04</c:v>
                </c:pt>
                <c:pt idx="55">
                  <c:v>Jan-05</c:v>
                </c:pt>
                <c:pt idx="56">
                  <c:v>Feb-05</c:v>
                </c:pt>
                <c:pt idx="57">
                  <c:v>Mar-05</c:v>
                </c:pt>
                <c:pt idx="58">
                  <c:v>Apr-05</c:v>
                </c:pt>
                <c:pt idx="59">
                  <c:v>May-05</c:v>
                </c:pt>
                <c:pt idx="60">
                  <c:v>Jun-05</c:v>
                </c:pt>
                <c:pt idx="61">
                  <c:v>Jul-05</c:v>
                </c:pt>
                <c:pt idx="62">
                  <c:v>Aug-05</c:v>
                </c:pt>
                <c:pt idx="63">
                  <c:v>Sep-05</c:v>
                </c:pt>
                <c:pt idx="64">
                  <c:v>Oct-05</c:v>
                </c:pt>
                <c:pt idx="65">
                  <c:v>Nov-05</c:v>
                </c:pt>
                <c:pt idx="66">
                  <c:v>Dec-05</c:v>
                </c:pt>
                <c:pt idx="67">
                  <c:v>Jan-06</c:v>
                </c:pt>
                <c:pt idx="68">
                  <c:v>Feb-06</c:v>
                </c:pt>
                <c:pt idx="69">
                  <c:v>Mar-06</c:v>
                </c:pt>
                <c:pt idx="70">
                  <c:v>Apr-06</c:v>
                </c:pt>
                <c:pt idx="71">
                  <c:v>May-06</c:v>
                </c:pt>
                <c:pt idx="72">
                  <c:v>Jun-06</c:v>
                </c:pt>
                <c:pt idx="73">
                  <c:v>Jul-06</c:v>
                </c:pt>
                <c:pt idx="74">
                  <c:v>Aug-06</c:v>
                </c:pt>
                <c:pt idx="75">
                  <c:v>Sep-06</c:v>
                </c:pt>
                <c:pt idx="76">
                  <c:v>Oct-06</c:v>
                </c:pt>
                <c:pt idx="77">
                  <c:v>Nov-06</c:v>
                </c:pt>
                <c:pt idx="78">
                  <c:v>Dec-06</c:v>
                </c:pt>
                <c:pt idx="79">
                  <c:v>Jan-07</c:v>
                </c:pt>
                <c:pt idx="80">
                  <c:v>Feb-07</c:v>
                </c:pt>
                <c:pt idx="81">
                  <c:v>Mar-07</c:v>
                </c:pt>
                <c:pt idx="82">
                  <c:v>Apr-07</c:v>
                </c:pt>
                <c:pt idx="83">
                  <c:v>May-07</c:v>
                </c:pt>
                <c:pt idx="84">
                  <c:v>Jun-07</c:v>
                </c:pt>
                <c:pt idx="85">
                  <c:v>Jul-07</c:v>
                </c:pt>
                <c:pt idx="86">
                  <c:v>Aug-07</c:v>
                </c:pt>
                <c:pt idx="87">
                  <c:v>Sep-07</c:v>
                </c:pt>
                <c:pt idx="88">
                  <c:v>Oct-07</c:v>
                </c:pt>
                <c:pt idx="89">
                  <c:v>Nov-07</c:v>
                </c:pt>
                <c:pt idx="90">
                  <c:v>Dec-07</c:v>
                </c:pt>
                <c:pt idx="91">
                  <c:v>Jan-08</c:v>
                </c:pt>
                <c:pt idx="92">
                  <c:v>Feb-08</c:v>
                </c:pt>
                <c:pt idx="93">
                  <c:v>Mar-08</c:v>
                </c:pt>
                <c:pt idx="94">
                  <c:v>Apr-08</c:v>
                </c:pt>
                <c:pt idx="95">
                  <c:v>May-08</c:v>
                </c:pt>
                <c:pt idx="96">
                  <c:v>Jun-08</c:v>
                </c:pt>
                <c:pt idx="97">
                  <c:v>Jul-08</c:v>
                </c:pt>
                <c:pt idx="98">
                  <c:v>Aug-08</c:v>
                </c:pt>
                <c:pt idx="99">
                  <c:v>Sep-08</c:v>
                </c:pt>
                <c:pt idx="100">
                  <c:v>Oct-08</c:v>
                </c:pt>
                <c:pt idx="101">
                  <c:v>Nov-08</c:v>
                </c:pt>
                <c:pt idx="102">
                  <c:v>Dec-08</c:v>
                </c:pt>
                <c:pt idx="103">
                  <c:v>Jan-09</c:v>
                </c:pt>
                <c:pt idx="104">
                  <c:v>Feb-09</c:v>
                </c:pt>
                <c:pt idx="105">
                  <c:v>Mar-09</c:v>
                </c:pt>
                <c:pt idx="106">
                  <c:v>Apr-09</c:v>
                </c:pt>
                <c:pt idx="107">
                  <c:v>May-09</c:v>
                </c:pt>
                <c:pt idx="108">
                  <c:v>Jun-09</c:v>
                </c:pt>
                <c:pt idx="109">
                  <c:v>Jul-09</c:v>
                </c:pt>
                <c:pt idx="110">
                  <c:v>Aug-09</c:v>
                </c:pt>
                <c:pt idx="111">
                  <c:v>Sep-09</c:v>
                </c:pt>
                <c:pt idx="112">
                  <c:v>Oct-09</c:v>
                </c:pt>
                <c:pt idx="113">
                  <c:v>Nov-09</c:v>
                </c:pt>
                <c:pt idx="114">
                  <c:v>Dec-09</c:v>
                </c:pt>
                <c:pt idx="115">
                  <c:v>Jan-10</c:v>
                </c:pt>
                <c:pt idx="116">
                  <c:v>Feb-10</c:v>
                </c:pt>
                <c:pt idx="117">
                  <c:v>Mar-10</c:v>
                </c:pt>
                <c:pt idx="118">
                  <c:v>Apr-10</c:v>
                </c:pt>
                <c:pt idx="119">
                  <c:v>May-10</c:v>
                </c:pt>
                <c:pt idx="120">
                  <c:v>Jun-10</c:v>
                </c:pt>
                <c:pt idx="121">
                  <c:v>Jul-10</c:v>
                </c:pt>
                <c:pt idx="122">
                  <c:v>Aug-10</c:v>
                </c:pt>
                <c:pt idx="123">
                  <c:v>Sep-10</c:v>
                </c:pt>
                <c:pt idx="124">
                  <c:v>Oct-10</c:v>
                </c:pt>
                <c:pt idx="125">
                  <c:v>Nov-10</c:v>
                </c:pt>
                <c:pt idx="126">
                  <c:v>Dec-10</c:v>
                </c:pt>
                <c:pt idx="127">
                  <c:v>Jan-11</c:v>
                </c:pt>
                <c:pt idx="128">
                  <c:v>Feb-11</c:v>
                </c:pt>
                <c:pt idx="129">
                  <c:v>Mar-11</c:v>
                </c:pt>
                <c:pt idx="130">
                  <c:v>Apr-11</c:v>
                </c:pt>
                <c:pt idx="131">
                  <c:v>May-11</c:v>
                </c:pt>
                <c:pt idx="132">
                  <c:v>Jun-11</c:v>
                </c:pt>
                <c:pt idx="133">
                  <c:v>Jul-11</c:v>
                </c:pt>
                <c:pt idx="134">
                  <c:v>Aug-11</c:v>
                </c:pt>
                <c:pt idx="135">
                  <c:v>Sep-11</c:v>
                </c:pt>
                <c:pt idx="136">
                  <c:v>Oct-11</c:v>
                </c:pt>
                <c:pt idx="137">
                  <c:v>Nov-11</c:v>
                </c:pt>
                <c:pt idx="138">
                  <c:v>Dec-11</c:v>
                </c:pt>
                <c:pt idx="139">
                  <c:v>Jan-12</c:v>
                </c:pt>
                <c:pt idx="140">
                  <c:v>Feb-12</c:v>
                </c:pt>
                <c:pt idx="141">
                  <c:v>Mar-12</c:v>
                </c:pt>
                <c:pt idx="142">
                  <c:v>Apr-12</c:v>
                </c:pt>
                <c:pt idx="143">
                  <c:v>May-12</c:v>
                </c:pt>
                <c:pt idx="144">
                  <c:v>Jun-12</c:v>
                </c:pt>
                <c:pt idx="145">
                  <c:v>Jul-12</c:v>
                </c:pt>
                <c:pt idx="146">
                  <c:v>Aug-12</c:v>
                </c:pt>
                <c:pt idx="147">
                  <c:v>Sep-12</c:v>
                </c:pt>
                <c:pt idx="148">
                  <c:v>Oct-12</c:v>
                </c:pt>
                <c:pt idx="149">
                  <c:v>Nov-12</c:v>
                </c:pt>
                <c:pt idx="150">
                  <c:v>Dec-12</c:v>
                </c:pt>
                <c:pt idx="151">
                  <c:v>Jan-13</c:v>
                </c:pt>
                <c:pt idx="152">
                  <c:v>Feb-13</c:v>
                </c:pt>
                <c:pt idx="153">
                  <c:v>Mar-13</c:v>
                </c:pt>
                <c:pt idx="154">
                  <c:v>Apr-13</c:v>
                </c:pt>
                <c:pt idx="155">
                  <c:v>May-13</c:v>
                </c:pt>
                <c:pt idx="156">
                  <c:v>Jun-13</c:v>
                </c:pt>
                <c:pt idx="157">
                  <c:v>Jul-13</c:v>
                </c:pt>
                <c:pt idx="158">
                  <c:v>Aug-13</c:v>
                </c:pt>
                <c:pt idx="159">
                  <c:v>Sep-13</c:v>
                </c:pt>
                <c:pt idx="160">
                  <c:v>Oct-13</c:v>
                </c:pt>
                <c:pt idx="161">
                  <c:v>Nov-13</c:v>
                </c:pt>
                <c:pt idx="162">
                  <c:v>Dec-13</c:v>
                </c:pt>
                <c:pt idx="163">
                  <c:v>Jan-14</c:v>
                </c:pt>
                <c:pt idx="164">
                  <c:v>Feb-14</c:v>
                </c:pt>
                <c:pt idx="165">
                  <c:v>Mar-14</c:v>
                </c:pt>
                <c:pt idx="166">
                  <c:v>Apr-14</c:v>
                </c:pt>
                <c:pt idx="167">
                  <c:v>May-14</c:v>
                </c:pt>
                <c:pt idx="168">
                  <c:v>Jun-14</c:v>
                </c:pt>
                <c:pt idx="169">
                  <c:v>Jul-14</c:v>
                </c:pt>
                <c:pt idx="170">
                  <c:v>Aug-14</c:v>
                </c:pt>
                <c:pt idx="171">
                  <c:v>Sep-14</c:v>
                </c:pt>
                <c:pt idx="172">
                  <c:v>Oct-14</c:v>
                </c:pt>
                <c:pt idx="173">
                  <c:v>Nov-14</c:v>
                </c:pt>
                <c:pt idx="174">
                  <c:v>Dec-14</c:v>
                </c:pt>
                <c:pt idx="175">
                  <c:v>Jan-15</c:v>
                </c:pt>
                <c:pt idx="176">
                  <c:v>Feb-15</c:v>
                </c:pt>
                <c:pt idx="177">
                  <c:v>Mar-15</c:v>
                </c:pt>
                <c:pt idx="178">
                  <c:v>Apr-15</c:v>
                </c:pt>
                <c:pt idx="179">
                  <c:v>May-15</c:v>
                </c:pt>
                <c:pt idx="180">
                  <c:v>Jun-15</c:v>
                </c:pt>
                <c:pt idx="181">
                  <c:v>Jul-15</c:v>
                </c:pt>
                <c:pt idx="182">
                  <c:v>Aug-15</c:v>
                </c:pt>
                <c:pt idx="183">
                  <c:v>Sep-15</c:v>
                </c:pt>
                <c:pt idx="184">
                  <c:v>Oct-15</c:v>
                </c:pt>
                <c:pt idx="185">
                  <c:v>Nov-15</c:v>
                </c:pt>
                <c:pt idx="186">
                  <c:v>Dec-15</c:v>
                </c:pt>
                <c:pt idx="187">
                  <c:v>Jan-16</c:v>
                </c:pt>
                <c:pt idx="188">
                  <c:v>Feb-16</c:v>
                </c:pt>
                <c:pt idx="189">
                  <c:v>Mar-16</c:v>
                </c:pt>
                <c:pt idx="190">
                  <c:v>Apr-16</c:v>
                </c:pt>
                <c:pt idx="191">
                  <c:v>May-16</c:v>
                </c:pt>
                <c:pt idx="192">
                  <c:v>Jun-16</c:v>
                </c:pt>
                <c:pt idx="193">
                  <c:v>Jul-16</c:v>
                </c:pt>
                <c:pt idx="194">
                  <c:v>Aug-16</c:v>
                </c:pt>
                <c:pt idx="195">
                  <c:v>Sep-16</c:v>
                </c:pt>
                <c:pt idx="196">
                  <c:v>Oct-16</c:v>
                </c:pt>
                <c:pt idx="197">
                  <c:v>Nov-16</c:v>
                </c:pt>
                <c:pt idx="198">
                  <c:v>Dec-16</c:v>
                </c:pt>
                <c:pt idx="199">
                  <c:v>Jan-17</c:v>
                </c:pt>
                <c:pt idx="200">
                  <c:v>Feb-17</c:v>
                </c:pt>
                <c:pt idx="201">
                  <c:v>Mar-17</c:v>
                </c:pt>
                <c:pt idx="202">
                  <c:v>Apr-17</c:v>
                </c:pt>
                <c:pt idx="203">
                  <c:v>May-17</c:v>
                </c:pt>
                <c:pt idx="204">
                  <c:v>Jun-17</c:v>
                </c:pt>
                <c:pt idx="205">
                  <c:v>Jul-17</c:v>
                </c:pt>
                <c:pt idx="206">
                  <c:v>Aug-17</c:v>
                </c:pt>
                <c:pt idx="207">
                  <c:v>Sep-17</c:v>
                </c:pt>
                <c:pt idx="208">
                  <c:v>Oct-17</c:v>
                </c:pt>
                <c:pt idx="209">
                  <c:v>Nov-17</c:v>
                </c:pt>
                <c:pt idx="210">
                  <c:v>Dec-17</c:v>
                </c:pt>
                <c:pt idx="211">
                  <c:v>Jan-18</c:v>
                </c:pt>
                <c:pt idx="212">
                  <c:v>Feb-18</c:v>
                </c:pt>
                <c:pt idx="213">
                  <c:v>Mar-18</c:v>
                </c:pt>
                <c:pt idx="214">
                  <c:v>Apr-18</c:v>
                </c:pt>
                <c:pt idx="215">
                  <c:v>May-18</c:v>
                </c:pt>
                <c:pt idx="216">
                  <c:v>Jun-18</c:v>
                </c:pt>
                <c:pt idx="217">
                  <c:v>Jul-18</c:v>
                </c:pt>
                <c:pt idx="218">
                  <c:v>Aug-18</c:v>
                </c:pt>
                <c:pt idx="219">
                  <c:v>Sep-18</c:v>
                </c:pt>
                <c:pt idx="220">
                  <c:v>Oct-18</c:v>
                </c:pt>
                <c:pt idx="221">
                  <c:v>Nov-18</c:v>
                </c:pt>
                <c:pt idx="222">
                  <c:v>Dec-18</c:v>
                </c:pt>
                <c:pt idx="223">
                  <c:v>Jan-19</c:v>
                </c:pt>
                <c:pt idx="224">
                  <c:v>Feb-19</c:v>
                </c:pt>
                <c:pt idx="225">
                  <c:v>Mar-19</c:v>
                </c:pt>
                <c:pt idx="226">
                  <c:v>Apr-19</c:v>
                </c:pt>
                <c:pt idx="227">
                  <c:v>May-19</c:v>
                </c:pt>
                <c:pt idx="228">
                  <c:v>Jun-19</c:v>
                </c:pt>
                <c:pt idx="229">
                  <c:v>Jul-19</c:v>
                </c:pt>
                <c:pt idx="230">
                  <c:v>Aug-19</c:v>
                </c:pt>
                <c:pt idx="231">
                  <c:v>Sep-19</c:v>
                </c:pt>
                <c:pt idx="232">
                  <c:v>Oct-19</c:v>
                </c:pt>
                <c:pt idx="233">
                  <c:v>Nov-19</c:v>
                </c:pt>
                <c:pt idx="234">
                  <c:v>Dec-19</c:v>
                </c:pt>
              </c:strCache>
            </c:strRef>
          </c:cat>
          <c:val>
            <c:numRef>
              <c:f>'Curve Comparison'!$D$4:$D$238</c:f>
              <c:numCache>
                <c:formatCode>_(* #,##0.000_);_(* \(#,##0.000\);_(* \-??_);_(@_)</c:formatCode>
                <c:ptCount val="235"/>
                <c:pt idx="0">
                  <c:v>5.45706896551724</c:v>
                </c:pt>
                <c:pt idx="1">
                  <c:v>5.38465517241379</c:v>
                </c:pt>
                <c:pt idx="2">
                  <c:v>5.39189655172414</c:v>
                </c:pt>
                <c:pt idx="3">
                  <c:v>5.40275862068966</c:v>
                </c:pt>
                <c:pt idx="4">
                  <c:v>5.41724137931035</c:v>
                </c:pt>
                <c:pt idx="5">
                  <c:v>5.42810344827586</c:v>
                </c:pt>
                <c:pt idx="6">
                  <c:v>5.41</c:v>
                </c:pt>
                <c:pt idx="7">
                  <c:v>5.33758620689655</c:v>
                </c:pt>
                <c:pt idx="8">
                  <c:v>5.18189655172414</c:v>
                </c:pt>
                <c:pt idx="9">
                  <c:v>5.02620689655173</c:v>
                </c:pt>
                <c:pt idx="10">
                  <c:v>4.87775862068966</c:v>
                </c:pt>
                <c:pt idx="11">
                  <c:v>4.76551724137931</c:v>
                </c:pt>
                <c:pt idx="12">
                  <c:v>4.72206896551724</c:v>
                </c:pt>
                <c:pt idx="13">
                  <c:v>4.74672413793104</c:v>
                </c:pt>
                <c:pt idx="14">
                  <c:v>4.80758620689655</c:v>
                </c:pt>
                <c:pt idx="15">
                  <c:v>4.87706896551724</c:v>
                </c:pt>
                <c:pt idx="16">
                  <c:v>4.94362068965517</c:v>
                </c:pt>
                <c:pt idx="17">
                  <c:v>5.00603448275862</c:v>
                </c:pt>
                <c:pt idx="18">
                  <c:v>5.02844827586207</c:v>
                </c:pt>
                <c:pt idx="19">
                  <c:v>4.9798275862069</c:v>
                </c:pt>
                <c:pt idx="20">
                  <c:v>4.86258620689655</c:v>
                </c:pt>
                <c:pt idx="21">
                  <c:v>4.74810344827586</c:v>
                </c:pt>
                <c:pt idx="22">
                  <c:v>4.6351724137931</c:v>
                </c:pt>
                <c:pt idx="23">
                  <c:v>4.55258620689655</c:v>
                </c:pt>
                <c:pt idx="24">
                  <c:v>4.53172413793104</c:v>
                </c:pt>
                <c:pt idx="25">
                  <c:v>4.57293103448276</c:v>
                </c:pt>
                <c:pt idx="26">
                  <c:v>4.64672413793103</c:v>
                </c:pt>
                <c:pt idx="27">
                  <c:v>4.72724137931035</c:v>
                </c:pt>
                <c:pt idx="28">
                  <c:v>4.80396551724138</c:v>
                </c:pt>
                <c:pt idx="29">
                  <c:v>4.87844827586207</c:v>
                </c:pt>
                <c:pt idx="30">
                  <c:v>4.90965517241379</c:v>
                </c:pt>
                <c:pt idx="31">
                  <c:v>4.84155172413793</c:v>
                </c:pt>
                <c:pt idx="32">
                  <c:v>4.73155172413793</c:v>
                </c:pt>
                <c:pt idx="33">
                  <c:v>4.62224137931035</c:v>
                </c:pt>
                <c:pt idx="34">
                  <c:v>4.51137931034483</c:v>
                </c:pt>
                <c:pt idx="35">
                  <c:v>4.43172413793104</c:v>
                </c:pt>
                <c:pt idx="36">
                  <c:v>4.415</c:v>
                </c:pt>
                <c:pt idx="37">
                  <c:v>4.46068965517241</c:v>
                </c:pt>
                <c:pt idx="38">
                  <c:v>4.53896551724138</c:v>
                </c:pt>
                <c:pt idx="39">
                  <c:v>4.62362068965517</c:v>
                </c:pt>
                <c:pt idx="40">
                  <c:v>4.70396551724138</c:v>
                </c:pt>
                <c:pt idx="41">
                  <c:v>4.78362068965517</c:v>
                </c:pt>
                <c:pt idx="42">
                  <c:v>4.82051724137931</c:v>
                </c:pt>
                <c:pt idx="43">
                  <c:v>4.75827586206897</c:v>
                </c:pt>
                <c:pt idx="44">
                  <c:v>4.65396551724138</c:v>
                </c:pt>
                <c:pt idx="45">
                  <c:v>4.55051724137931</c:v>
                </c:pt>
                <c:pt idx="46">
                  <c:v>4.4448275862069</c:v>
                </c:pt>
                <c:pt idx="47">
                  <c:v>4.37155172413793</c:v>
                </c:pt>
                <c:pt idx="48">
                  <c:v>4.36068965517242</c:v>
                </c:pt>
                <c:pt idx="49">
                  <c:v>4.41137931034483</c:v>
                </c:pt>
                <c:pt idx="50">
                  <c:v>4.49620689655172</c:v>
                </c:pt>
                <c:pt idx="51">
                  <c:v>4.58603448275862</c:v>
                </c:pt>
                <c:pt idx="52">
                  <c:v>4.67293103448276</c:v>
                </c:pt>
                <c:pt idx="53">
                  <c:v>4.75689655172414</c:v>
                </c:pt>
                <c:pt idx="54">
                  <c:v>4.79517241379311</c:v>
                </c:pt>
                <c:pt idx="55">
                  <c:v>4.73448275862069</c:v>
                </c:pt>
                <c:pt idx="56">
                  <c:v>4.63155172413793</c:v>
                </c:pt>
                <c:pt idx="57">
                  <c:v>4.5301724137931</c:v>
                </c:pt>
                <c:pt idx="58">
                  <c:v>4.42586206896552</c:v>
                </c:pt>
                <c:pt idx="59">
                  <c:v>4.35431034482759</c:v>
                </c:pt>
                <c:pt idx="60">
                  <c:v>4.34413793103448</c:v>
                </c:pt>
                <c:pt idx="61">
                  <c:v>4.39689655172414</c:v>
                </c:pt>
                <c:pt idx="62">
                  <c:v>4.48379310344828</c:v>
                </c:pt>
                <c:pt idx="63">
                  <c:v>4.57431034482759</c:v>
                </c:pt>
                <c:pt idx="64">
                  <c:v>4.66344827586207</c:v>
                </c:pt>
                <c:pt idx="65">
                  <c:v>4.74896551724138</c:v>
                </c:pt>
                <c:pt idx="66">
                  <c:v>4.78948275862069</c:v>
                </c:pt>
                <c:pt idx="67">
                  <c:v>4.73086206896552</c:v>
                </c:pt>
                <c:pt idx="68">
                  <c:v>4.62948275862069</c:v>
                </c:pt>
                <c:pt idx="69">
                  <c:v>4.53086206896552</c:v>
                </c:pt>
                <c:pt idx="70">
                  <c:v>4.42879310344828</c:v>
                </c:pt>
                <c:pt idx="71">
                  <c:v>4.35931034482759</c:v>
                </c:pt>
                <c:pt idx="72">
                  <c:v>4.35137931034483</c:v>
                </c:pt>
                <c:pt idx="73">
                  <c:v>4.40637931034483</c:v>
                </c:pt>
                <c:pt idx="74">
                  <c:v>4.49465517241379</c:v>
                </c:pt>
                <c:pt idx="75">
                  <c:v>4.58810344827586</c:v>
                </c:pt>
                <c:pt idx="76">
                  <c:v>4.67862068965517</c:v>
                </c:pt>
                <c:pt idx="77">
                  <c:v>4.76706896551724</c:v>
                </c:pt>
                <c:pt idx="78">
                  <c:v>4.80896551724138</c:v>
                </c:pt>
                <c:pt idx="79">
                  <c:v>4.75258620689655</c:v>
                </c:pt>
                <c:pt idx="80">
                  <c:v>4.65258620689655</c:v>
                </c:pt>
                <c:pt idx="81">
                  <c:v>4.55551724137931</c:v>
                </c:pt>
                <c:pt idx="82">
                  <c:v>4.4548275862069</c:v>
                </c:pt>
                <c:pt idx="83">
                  <c:v>4.38758620689655</c:v>
                </c:pt>
                <c:pt idx="84">
                  <c:v>4.38172413793104</c:v>
                </c:pt>
                <c:pt idx="85">
                  <c:v>4.43827586206897</c:v>
                </c:pt>
                <c:pt idx="86">
                  <c:v>4.52810344827586</c:v>
                </c:pt>
                <c:pt idx="87">
                  <c:v>4.62362068965517</c:v>
                </c:pt>
                <c:pt idx="88">
                  <c:v>4.71551724137931</c:v>
                </c:pt>
                <c:pt idx="89">
                  <c:v>4.80465517241379</c:v>
                </c:pt>
                <c:pt idx="90">
                  <c:v>4.84741379310345</c:v>
                </c:pt>
                <c:pt idx="91">
                  <c:v>4.79017241379311</c:v>
                </c:pt>
                <c:pt idx="92">
                  <c:v>4.69103448275862</c:v>
                </c:pt>
                <c:pt idx="93">
                  <c:v>4.59396551724138</c:v>
                </c:pt>
                <c:pt idx="94">
                  <c:v>4.49396551724138</c:v>
                </c:pt>
                <c:pt idx="95">
                  <c:v>4.42672413793104</c:v>
                </c:pt>
                <c:pt idx="96">
                  <c:v>4.42017241379311</c:v>
                </c:pt>
                <c:pt idx="97">
                  <c:v>4.47741379310345</c:v>
                </c:pt>
                <c:pt idx="98">
                  <c:v>4.56793103448276</c:v>
                </c:pt>
                <c:pt idx="99">
                  <c:v>4.66275862068966</c:v>
                </c:pt>
                <c:pt idx="100">
                  <c:v>4.75534482758621</c:v>
                </c:pt>
                <c:pt idx="101">
                  <c:v>4.80465517241379</c:v>
                </c:pt>
                <c:pt idx="102">
                  <c:v>4.84741379310345</c:v>
                </c:pt>
                <c:pt idx="103">
                  <c:v>4.79017241379311</c:v>
                </c:pt>
                <c:pt idx="104">
                  <c:v>4.69103448275862</c:v>
                </c:pt>
                <c:pt idx="105">
                  <c:v>4.59396551724138</c:v>
                </c:pt>
                <c:pt idx="106">
                  <c:v>4.49396551724138</c:v>
                </c:pt>
                <c:pt idx="107">
                  <c:v>4.42672413793104</c:v>
                </c:pt>
                <c:pt idx="108">
                  <c:v>4.42017241379311</c:v>
                </c:pt>
                <c:pt idx="109">
                  <c:v>4.47741379310345</c:v>
                </c:pt>
                <c:pt idx="110">
                  <c:v>4.56793103448276</c:v>
                </c:pt>
                <c:pt idx="111">
                  <c:v>4.66275862068966</c:v>
                </c:pt>
                <c:pt idx="112">
                  <c:v>4.75534482758621</c:v>
                </c:pt>
                <c:pt idx="113">
                  <c:v>4.80465517241379</c:v>
                </c:pt>
                <c:pt idx="114">
                  <c:v>4.84741379310345</c:v>
                </c:pt>
                <c:pt idx="115">
                  <c:v>4.79017241379311</c:v>
                </c:pt>
                <c:pt idx="116">
                  <c:v>4.69103448275862</c:v>
                </c:pt>
                <c:pt idx="117">
                  <c:v>4.59396551724138</c:v>
                </c:pt>
                <c:pt idx="118">
                  <c:v>4.49396551724138</c:v>
                </c:pt>
                <c:pt idx="119">
                  <c:v>4.42672413793104</c:v>
                </c:pt>
                <c:pt idx="120">
                  <c:v>4.42017241379311</c:v>
                </c:pt>
                <c:pt idx="121">
                  <c:v>4.47741379310345</c:v>
                </c:pt>
                <c:pt idx="122">
                  <c:v>4.56793103448276</c:v>
                </c:pt>
                <c:pt idx="123">
                  <c:v>4.66275862068966</c:v>
                </c:pt>
                <c:pt idx="124">
                  <c:v>4.75534482758621</c:v>
                </c:pt>
                <c:pt idx="125">
                  <c:v>4.80465517241379</c:v>
                </c:pt>
                <c:pt idx="126">
                  <c:v>4.84741379310345</c:v>
                </c:pt>
                <c:pt idx="127">
                  <c:v>4.79017241379311</c:v>
                </c:pt>
                <c:pt idx="128">
                  <c:v>4.69103448275862</c:v>
                </c:pt>
                <c:pt idx="129">
                  <c:v>4.59396551724138</c:v>
                </c:pt>
                <c:pt idx="130">
                  <c:v>4.49396551724138</c:v>
                </c:pt>
                <c:pt idx="131">
                  <c:v>4.42672413793104</c:v>
                </c:pt>
                <c:pt idx="132">
                  <c:v>4.42017241379311</c:v>
                </c:pt>
                <c:pt idx="133">
                  <c:v>4.47741379310345</c:v>
                </c:pt>
                <c:pt idx="134">
                  <c:v>4.56793103448276</c:v>
                </c:pt>
                <c:pt idx="135">
                  <c:v>4.66275862068966</c:v>
                </c:pt>
                <c:pt idx="136">
                  <c:v>4.75534482758621</c:v>
                </c:pt>
                <c:pt idx="137">
                  <c:v>4.80465517241379</c:v>
                </c:pt>
                <c:pt idx="138">
                  <c:v>4.84741379310345</c:v>
                </c:pt>
                <c:pt idx="139">
                  <c:v>4.79017241379311</c:v>
                </c:pt>
                <c:pt idx="140">
                  <c:v>4.69103448275862</c:v>
                </c:pt>
                <c:pt idx="141">
                  <c:v>4.59396551724138</c:v>
                </c:pt>
                <c:pt idx="142">
                  <c:v>4.49396551724138</c:v>
                </c:pt>
                <c:pt idx="143">
                  <c:v>4.42672413793104</c:v>
                </c:pt>
                <c:pt idx="144">
                  <c:v>4.42017241379311</c:v>
                </c:pt>
                <c:pt idx="145">
                  <c:v>4.47741379310345</c:v>
                </c:pt>
                <c:pt idx="146">
                  <c:v>4.56793103448276</c:v>
                </c:pt>
                <c:pt idx="147">
                  <c:v>4.66275862068966</c:v>
                </c:pt>
                <c:pt idx="148">
                  <c:v>4.75534482758621</c:v>
                </c:pt>
                <c:pt idx="149">
                  <c:v>4.80465517241379</c:v>
                </c:pt>
                <c:pt idx="150">
                  <c:v>4.84741379310345</c:v>
                </c:pt>
                <c:pt idx="151">
                  <c:v>4.79017241379311</c:v>
                </c:pt>
                <c:pt idx="152">
                  <c:v>4.69103448275862</c:v>
                </c:pt>
                <c:pt idx="153">
                  <c:v>4.59396551724138</c:v>
                </c:pt>
                <c:pt idx="154">
                  <c:v>4.49396551724138</c:v>
                </c:pt>
                <c:pt idx="155">
                  <c:v>4.42672413793104</c:v>
                </c:pt>
                <c:pt idx="156">
                  <c:v>4.42017241379311</c:v>
                </c:pt>
                <c:pt idx="157">
                  <c:v>4.47741379310345</c:v>
                </c:pt>
                <c:pt idx="158">
                  <c:v>4.56793103448276</c:v>
                </c:pt>
                <c:pt idx="159">
                  <c:v>4.66275862068966</c:v>
                </c:pt>
                <c:pt idx="160">
                  <c:v>4.75534482758621</c:v>
                </c:pt>
                <c:pt idx="161">
                  <c:v>4.80465517241379</c:v>
                </c:pt>
                <c:pt idx="162">
                  <c:v>4.84741379310345</c:v>
                </c:pt>
                <c:pt idx="163">
                  <c:v>4.79017241379311</c:v>
                </c:pt>
                <c:pt idx="164">
                  <c:v>4.69103448275862</c:v>
                </c:pt>
                <c:pt idx="165">
                  <c:v>4.59396551724138</c:v>
                </c:pt>
                <c:pt idx="166">
                  <c:v>4.49396551724138</c:v>
                </c:pt>
                <c:pt idx="167">
                  <c:v>4.42672413793104</c:v>
                </c:pt>
                <c:pt idx="168">
                  <c:v>4.42017241379311</c:v>
                </c:pt>
                <c:pt idx="169">
                  <c:v>4.47741379310345</c:v>
                </c:pt>
                <c:pt idx="170">
                  <c:v>4.56793103448276</c:v>
                </c:pt>
                <c:pt idx="171">
                  <c:v>4.66275862068966</c:v>
                </c:pt>
                <c:pt idx="172">
                  <c:v>4.75534482758621</c:v>
                </c:pt>
                <c:pt idx="173">
                  <c:v>4.80465517241379</c:v>
                </c:pt>
                <c:pt idx="174">
                  <c:v>4.84741379310345</c:v>
                </c:pt>
                <c:pt idx="175">
                  <c:v>4.79017241379311</c:v>
                </c:pt>
                <c:pt idx="176">
                  <c:v>4.69103448275862</c:v>
                </c:pt>
                <c:pt idx="177">
                  <c:v>4.59396551724138</c:v>
                </c:pt>
                <c:pt idx="178">
                  <c:v>4.49396551724138</c:v>
                </c:pt>
                <c:pt idx="179">
                  <c:v>4.42672413793104</c:v>
                </c:pt>
                <c:pt idx="180">
                  <c:v>4.42017241379311</c:v>
                </c:pt>
                <c:pt idx="181">
                  <c:v>4.47741379310345</c:v>
                </c:pt>
                <c:pt idx="182">
                  <c:v>4.56793103448276</c:v>
                </c:pt>
                <c:pt idx="183">
                  <c:v>4.66275862068966</c:v>
                </c:pt>
                <c:pt idx="184">
                  <c:v>4.75534482758621</c:v>
                </c:pt>
                <c:pt idx="185">
                  <c:v>4.80465517241379</c:v>
                </c:pt>
                <c:pt idx="186">
                  <c:v>4.84741379310345</c:v>
                </c:pt>
                <c:pt idx="187">
                  <c:v>4.79017241379311</c:v>
                </c:pt>
                <c:pt idx="188">
                  <c:v>4.69103448275862</c:v>
                </c:pt>
                <c:pt idx="189">
                  <c:v>4.59396551724138</c:v>
                </c:pt>
                <c:pt idx="190">
                  <c:v>4.49396551724138</c:v>
                </c:pt>
                <c:pt idx="191">
                  <c:v>4.42672413793104</c:v>
                </c:pt>
                <c:pt idx="192">
                  <c:v>4.42017241379311</c:v>
                </c:pt>
                <c:pt idx="193">
                  <c:v>4.47741379310345</c:v>
                </c:pt>
                <c:pt idx="194">
                  <c:v>4.56793103448276</c:v>
                </c:pt>
                <c:pt idx="195">
                  <c:v>4.66275862068966</c:v>
                </c:pt>
                <c:pt idx="196">
                  <c:v>4.75534482758621</c:v>
                </c:pt>
                <c:pt idx="197">
                  <c:v>4.80465517241379</c:v>
                </c:pt>
                <c:pt idx="198">
                  <c:v>4.84741379310345</c:v>
                </c:pt>
                <c:pt idx="199">
                  <c:v>4.79017241379311</c:v>
                </c:pt>
                <c:pt idx="200">
                  <c:v>4.69103448275862</c:v>
                </c:pt>
                <c:pt idx="201">
                  <c:v>4.59396551724138</c:v>
                </c:pt>
                <c:pt idx="202">
                  <c:v>4.49396551724138</c:v>
                </c:pt>
                <c:pt idx="203">
                  <c:v>4.42672413793104</c:v>
                </c:pt>
                <c:pt idx="204">
                  <c:v>4.42017241379311</c:v>
                </c:pt>
                <c:pt idx="205">
                  <c:v>4.47741379310345</c:v>
                </c:pt>
                <c:pt idx="206">
                  <c:v>4.56793103448276</c:v>
                </c:pt>
                <c:pt idx="207">
                  <c:v>4.66275862068966</c:v>
                </c:pt>
                <c:pt idx="208">
                  <c:v>4.75534482758621</c:v>
                </c:pt>
                <c:pt idx="209">
                  <c:v>4.80465517241379</c:v>
                </c:pt>
                <c:pt idx="210">
                  <c:v>4.84741379310345</c:v>
                </c:pt>
                <c:pt idx="211">
                  <c:v>4.79017241379311</c:v>
                </c:pt>
                <c:pt idx="212">
                  <c:v>4.69103448275862</c:v>
                </c:pt>
                <c:pt idx="213">
                  <c:v>4.59396551724138</c:v>
                </c:pt>
                <c:pt idx="214">
                  <c:v>4.49396551724138</c:v>
                </c:pt>
                <c:pt idx="215">
                  <c:v>4.42672413793104</c:v>
                </c:pt>
                <c:pt idx="216">
                  <c:v>4.42017241379311</c:v>
                </c:pt>
                <c:pt idx="217">
                  <c:v>4.47741379310345</c:v>
                </c:pt>
                <c:pt idx="218">
                  <c:v>4.56793103448276</c:v>
                </c:pt>
                <c:pt idx="219">
                  <c:v>4.66275862068966</c:v>
                </c:pt>
                <c:pt idx="220">
                  <c:v>4.75534482758621</c:v>
                </c:pt>
                <c:pt idx="221">
                  <c:v>4.80465517241379</c:v>
                </c:pt>
                <c:pt idx="222">
                  <c:v>4.84741379310345</c:v>
                </c:pt>
                <c:pt idx="223">
                  <c:v>4.79017241379311</c:v>
                </c:pt>
                <c:pt idx="224">
                  <c:v>4.69103448275862</c:v>
                </c:pt>
                <c:pt idx="225">
                  <c:v>4.59396551724138</c:v>
                </c:pt>
                <c:pt idx="226">
                  <c:v>4.49396551724138</c:v>
                </c:pt>
                <c:pt idx="227">
                  <c:v>4.42672413793104</c:v>
                </c:pt>
                <c:pt idx="228">
                  <c:v>4.42017241379311</c:v>
                </c:pt>
                <c:pt idx="229">
                  <c:v>4.47741379310345</c:v>
                </c:pt>
                <c:pt idx="230">
                  <c:v>4.56793103448276</c:v>
                </c:pt>
                <c:pt idx="231">
                  <c:v>4.66275862068966</c:v>
                </c:pt>
                <c:pt idx="232">
                  <c:v>4.75534482758621</c:v>
                </c:pt>
                <c:pt idx="233">
                  <c:v>4.80465517241379</c:v>
                </c:pt>
                <c:pt idx="234">
                  <c:v>4.84741379310345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1178211"/>
        <c:axId val="75738380"/>
      </c:lineChart>
      <c:catAx>
        <c:axId val="51178211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738380"/>
        <c:crossesAt val="0"/>
        <c:auto val="1"/>
        <c:lblAlgn val="ctr"/>
        <c:lblOffset val="100"/>
        <c:noMultiLvlLbl val="0"/>
      </c:catAx>
      <c:valAx>
        <c:axId val="757383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0_);_(* \(#,##0.0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17821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800" strike="noStrike" u="none">
                <a:solidFill>
                  <a:srgbClr val="000000"/>
                </a:solidFill>
                <a:uFillTx/>
                <a:latin typeface="Arial Narrow"/>
              </a:rPr>
              <a:t>Power Curve Comparison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"Company Curve"</c:f>
              <c:strCache>
                <c:ptCount val="1"/>
                <c:pt idx="0">
                  <c:v>Company Curve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'Curve Comparison'!$G$4:$G$238</c:f>
              <c:strCache>
                <c:ptCount val="235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  <c:pt idx="12">
                  <c:v>Jun-01</c:v>
                </c:pt>
                <c:pt idx="13">
                  <c:v>Jul-01</c:v>
                </c:pt>
                <c:pt idx="14">
                  <c:v>Aug-01</c:v>
                </c:pt>
                <c:pt idx="15">
                  <c:v>Sep-01</c:v>
                </c:pt>
                <c:pt idx="16">
                  <c:v>Oct-01</c:v>
                </c:pt>
                <c:pt idx="17">
                  <c:v>Nov-01</c:v>
                </c:pt>
                <c:pt idx="18">
                  <c:v>Dec-01</c:v>
                </c:pt>
                <c:pt idx="19">
                  <c:v>Jan-02</c:v>
                </c:pt>
                <c:pt idx="20">
                  <c:v>Feb-02</c:v>
                </c:pt>
                <c:pt idx="21">
                  <c:v>Mar-02</c:v>
                </c:pt>
                <c:pt idx="22">
                  <c:v>Apr-02</c:v>
                </c:pt>
                <c:pt idx="23">
                  <c:v>May-02</c:v>
                </c:pt>
                <c:pt idx="24">
                  <c:v>Jun-02</c:v>
                </c:pt>
                <c:pt idx="25">
                  <c:v>Jul-02</c:v>
                </c:pt>
                <c:pt idx="26">
                  <c:v>Aug-02</c:v>
                </c:pt>
                <c:pt idx="27">
                  <c:v>Sep-02</c:v>
                </c:pt>
                <c:pt idx="28">
                  <c:v>Oct-02</c:v>
                </c:pt>
                <c:pt idx="29">
                  <c:v>Nov-02</c:v>
                </c:pt>
                <c:pt idx="30">
                  <c:v>Dec-02</c:v>
                </c:pt>
                <c:pt idx="31">
                  <c:v>Jan-03</c:v>
                </c:pt>
                <c:pt idx="32">
                  <c:v>Feb-03</c:v>
                </c:pt>
                <c:pt idx="33">
                  <c:v>Mar-03</c:v>
                </c:pt>
                <c:pt idx="34">
                  <c:v>Apr-03</c:v>
                </c:pt>
                <c:pt idx="35">
                  <c:v>May-03</c:v>
                </c:pt>
                <c:pt idx="36">
                  <c:v>Jun-03</c:v>
                </c:pt>
                <c:pt idx="37">
                  <c:v>Jul-03</c:v>
                </c:pt>
                <c:pt idx="38">
                  <c:v>Aug-03</c:v>
                </c:pt>
                <c:pt idx="39">
                  <c:v>Sep-03</c:v>
                </c:pt>
                <c:pt idx="40">
                  <c:v>Oct-03</c:v>
                </c:pt>
                <c:pt idx="41">
                  <c:v>Nov-03</c:v>
                </c:pt>
                <c:pt idx="42">
                  <c:v>Dec-03</c:v>
                </c:pt>
                <c:pt idx="43">
                  <c:v>Jan-04</c:v>
                </c:pt>
                <c:pt idx="44">
                  <c:v>Feb-04</c:v>
                </c:pt>
                <c:pt idx="45">
                  <c:v>Mar-04</c:v>
                </c:pt>
                <c:pt idx="46">
                  <c:v>Apr-04</c:v>
                </c:pt>
                <c:pt idx="47">
                  <c:v>May-04</c:v>
                </c:pt>
                <c:pt idx="48">
                  <c:v>Jun-04</c:v>
                </c:pt>
                <c:pt idx="49">
                  <c:v>Jul-04</c:v>
                </c:pt>
                <c:pt idx="50">
                  <c:v>Aug-04</c:v>
                </c:pt>
                <c:pt idx="51">
                  <c:v>Sep-04</c:v>
                </c:pt>
                <c:pt idx="52">
                  <c:v>Oct-04</c:v>
                </c:pt>
                <c:pt idx="53">
                  <c:v>Nov-04</c:v>
                </c:pt>
                <c:pt idx="54">
                  <c:v>Dec-04</c:v>
                </c:pt>
                <c:pt idx="55">
                  <c:v>Jan-05</c:v>
                </c:pt>
                <c:pt idx="56">
                  <c:v>Feb-05</c:v>
                </c:pt>
                <c:pt idx="57">
                  <c:v>Mar-05</c:v>
                </c:pt>
                <c:pt idx="58">
                  <c:v>Apr-05</c:v>
                </c:pt>
                <c:pt idx="59">
                  <c:v>May-05</c:v>
                </c:pt>
                <c:pt idx="60">
                  <c:v>Jun-05</c:v>
                </c:pt>
                <c:pt idx="61">
                  <c:v>Jul-05</c:v>
                </c:pt>
                <c:pt idx="62">
                  <c:v>Aug-05</c:v>
                </c:pt>
                <c:pt idx="63">
                  <c:v>Sep-05</c:v>
                </c:pt>
                <c:pt idx="64">
                  <c:v>Oct-05</c:v>
                </c:pt>
                <c:pt idx="65">
                  <c:v>Nov-05</c:v>
                </c:pt>
                <c:pt idx="66">
                  <c:v>Dec-05</c:v>
                </c:pt>
                <c:pt idx="67">
                  <c:v>Jan-06</c:v>
                </c:pt>
                <c:pt idx="68">
                  <c:v>Feb-06</c:v>
                </c:pt>
                <c:pt idx="69">
                  <c:v>Mar-06</c:v>
                </c:pt>
                <c:pt idx="70">
                  <c:v>Apr-06</c:v>
                </c:pt>
                <c:pt idx="71">
                  <c:v>May-06</c:v>
                </c:pt>
                <c:pt idx="72">
                  <c:v>Jun-06</c:v>
                </c:pt>
                <c:pt idx="73">
                  <c:v>Jul-06</c:v>
                </c:pt>
                <c:pt idx="74">
                  <c:v>Aug-06</c:v>
                </c:pt>
                <c:pt idx="75">
                  <c:v>Sep-06</c:v>
                </c:pt>
                <c:pt idx="76">
                  <c:v>Oct-06</c:v>
                </c:pt>
                <c:pt idx="77">
                  <c:v>Nov-06</c:v>
                </c:pt>
                <c:pt idx="78">
                  <c:v>Dec-06</c:v>
                </c:pt>
                <c:pt idx="79">
                  <c:v>Jan-07</c:v>
                </c:pt>
                <c:pt idx="80">
                  <c:v>Feb-07</c:v>
                </c:pt>
                <c:pt idx="81">
                  <c:v>Mar-07</c:v>
                </c:pt>
                <c:pt idx="82">
                  <c:v>Apr-07</c:v>
                </c:pt>
                <c:pt idx="83">
                  <c:v>May-07</c:v>
                </c:pt>
                <c:pt idx="84">
                  <c:v>Jun-07</c:v>
                </c:pt>
                <c:pt idx="85">
                  <c:v>Jul-07</c:v>
                </c:pt>
                <c:pt idx="86">
                  <c:v>Aug-07</c:v>
                </c:pt>
                <c:pt idx="87">
                  <c:v>Sep-07</c:v>
                </c:pt>
                <c:pt idx="88">
                  <c:v>Oct-07</c:v>
                </c:pt>
                <c:pt idx="89">
                  <c:v>Nov-07</c:v>
                </c:pt>
                <c:pt idx="90">
                  <c:v>Dec-07</c:v>
                </c:pt>
                <c:pt idx="91">
                  <c:v>Jan-08</c:v>
                </c:pt>
                <c:pt idx="92">
                  <c:v>Feb-08</c:v>
                </c:pt>
                <c:pt idx="93">
                  <c:v>Mar-08</c:v>
                </c:pt>
                <c:pt idx="94">
                  <c:v>Apr-08</c:v>
                </c:pt>
                <c:pt idx="95">
                  <c:v>May-08</c:v>
                </c:pt>
                <c:pt idx="96">
                  <c:v>Jun-08</c:v>
                </c:pt>
                <c:pt idx="97">
                  <c:v>Jul-08</c:v>
                </c:pt>
                <c:pt idx="98">
                  <c:v>Aug-08</c:v>
                </c:pt>
                <c:pt idx="99">
                  <c:v>Sep-08</c:v>
                </c:pt>
                <c:pt idx="100">
                  <c:v>Oct-08</c:v>
                </c:pt>
                <c:pt idx="101">
                  <c:v>Nov-08</c:v>
                </c:pt>
                <c:pt idx="102">
                  <c:v>Dec-08</c:v>
                </c:pt>
                <c:pt idx="103">
                  <c:v>Jan-09</c:v>
                </c:pt>
                <c:pt idx="104">
                  <c:v>Feb-09</c:v>
                </c:pt>
                <c:pt idx="105">
                  <c:v>Mar-09</c:v>
                </c:pt>
                <c:pt idx="106">
                  <c:v>Apr-09</c:v>
                </c:pt>
                <c:pt idx="107">
                  <c:v>May-09</c:v>
                </c:pt>
                <c:pt idx="108">
                  <c:v>Jun-09</c:v>
                </c:pt>
                <c:pt idx="109">
                  <c:v>Jul-09</c:v>
                </c:pt>
                <c:pt idx="110">
                  <c:v>Aug-09</c:v>
                </c:pt>
                <c:pt idx="111">
                  <c:v>Sep-09</c:v>
                </c:pt>
                <c:pt idx="112">
                  <c:v>Oct-09</c:v>
                </c:pt>
                <c:pt idx="113">
                  <c:v>Nov-09</c:v>
                </c:pt>
                <c:pt idx="114">
                  <c:v>Dec-09</c:v>
                </c:pt>
                <c:pt idx="115">
                  <c:v>Jan-10</c:v>
                </c:pt>
                <c:pt idx="116">
                  <c:v>Feb-10</c:v>
                </c:pt>
                <c:pt idx="117">
                  <c:v>Mar-10</c:v>
                </c:pt>
                <c:pt idx="118">
                  <c:v>Apr-10</c:v>
                </c:pt>
                <c:pt idx="119">
                  <c:v>May-10</c:v>
                </c:pt>
                <c:pt idx="120">
                  <c:v>Jun-10</c:v>
                </c:pt>
                <c:pt idx="121">
                  <c:v>Jul-10</c:v>
                </c:pt>
                <c:pt idx="122">
                  <c:v>Aug-10</c:v>
                </c:pt>
                <c:pt idx="123">
                  <c:v>Sep-10</c:v>
                </c:pt>
                <c:pt idx="124">
                  <c:v>Oct-10</c:v>
                </c:pt>
                <c:pt idx="125">
                  <c:v>Nov-10</c:v>
                </c:pt>
                <c:pt idx="126">
                  <c:v>Dec-10</c:v>
                </c:pt>
                <c:pt idx="127">
                  <c:v>Jan-11</c:v>
                </c:pt>
                <c:pt idx="128">
                  <c:v>Feb-11</c:v>
                </c:pt>
                <c:pt idx="129">
                  <c:v>Mar-11</c:v>
                </c:pt>
                <c:pt idx="130">
                  <c:v>Apr-11</c:v>
                </c:pt>
                <c:pt idx="131">
                  <c:v>May-11</c:v>
                </c:pt>
                <c:pt idx="132">
                  <c:v>Jun-11</c:v>
                </c:pt>
                <c:pt idx="133">
                  <c:v>Jul-11</c:v>
                </c:pt>
                <c:pt idx="134">
                  <c:v>Aug-11</c:v>
                </c:pt>
                <c:pt idx="135">
                  <c:v>Sep-11</c:v>
                </c:pt>
                <c:pt idx="136">
                  <c:v>Oct-11</c:v>
                </c:pt>
                <c:pt idx="137">
                  <c:v>Nov-11</c:v>
                </c:pt>
                <c:pt idx="138">
                  <c:v>Dec-11</c:v>
                </c:pt>
                <c:pt idx="139">
                  <c:v>Jan-12</c:v>
                </c:pt>
                <c:pt idx="140">
                  <c:v>Feb-12</c:v>
                </c:pt>
                <c:pt idx="141">
                  <c:v>Mar-12</c:v>
                </c:pt>
                <c:pt idx="142">
                  <c:v>Apr-12</c:v>
                </c:pt>
                <c:pt idx="143">
                  <c:v>May-12</c:v>
                </c:pt>
                <c:pt idx="144">
                  <c:v>Jun-12</c:v>
                </c:pt>
                <c:pt idx="145">
                  <c:v>Jul-12</c:v>
                </c:pt>
                <c:pt idx="146">
                  <c:v>Aug-12</c:v>
                </c:pt>
                <c:pt idx="147">
                  <c:v>Sep-12</c:v>
                </c:pt>
                <c:pt idx="148">
                  <c:v>Oct-12</c:v>
                </c:pt>
                <c:pt idx="149">
                  <c:v>Nov-12</c:v>
                </c:pt>
                <c:pt idx="150">
                  <c:v>Dec-12</c:v>
                </c:pt>
                <c:pt idx="151">
                  <c:v>Jan-13</c:v>
                </c:pt>
                <c:pt idx="152">
                  <c:v>Feb-13</c:v>
                </c:pt>
                <c:pt idx="153">
                  <c:v>Mar-13</c:v>
                </c:pt>
                <c:pt idx="154">
                  <c:v>Apr-13</c:v>
                </c:pt>
                <c:pt idx="155">
                  <c:v>May-13</c:v>
                </c:pt>
                <c:pt idx="156">
                  <c:v>Jun-13</c:v>
                </c:pt>
                <c:pt idx="157">
                  <c:v>Jul-13</c:v>
                </c:pt>
                <c:pt idx="158">
                  <c:v>Aug-13</c:v>
                </c:pt>
                <c:pt idx="159">
                  <c:v>Sep-13</c:v>
                </c:pt>
                <c:pt idx="160">
                  <c:v>Oct-13</c:v>
                </c:pt>
                <c:pt idx="161">
                  <c:v>Nov-13</c:v>
                </c:pt>
                <c:pt idx="162">
                  <c:v>Dec-13</c:v>
                </c:pt>
                <c:pt idx="163">
                  <c:v>Jan-14</c:v>
                </c:pt>
                <c:pt idx="164">
                  <c:v>Feb-14</c:v>
                </c:pt>
                <c:pt idx="165">
                  <c:v>Mar-14</c:v>
                </c:pt>
                <c:pt idx="166">
                  <c:v>Apr-14</c:v>
                </c:pt>
                <c:pt idx="167">
                  <c:v>May-14</c:v>
                </c:pt>
                <c:pt idx="168">
                  <c:v>Jun-14</c:v>
                </c:pt>
                <c:pt idx="169">
                  <c:v>Jul-14</c:v>
                </c:pt>
                <c:pt idx="170">
                  <c:v>Aug-14</c:v>
                </c:pt>
                <c:pt idx="171">
                  <c:v>Sep-14</c:v>
                </c:pt>
                <c:pt idx="172">
                  <c:v>Oct-14</c:v>
                </c:pt>
                <c:pt idx="173">
                  <c:v>Nov-14</c:v>
                </c:pt>
                <c:pt idx="174">
                  <c:v>Dec-14</c:v>
                </c:pt>
                <c:pt idx="175">
                  <c:v>Jan-15</c:v>
                </c:pt>
                <c:pt idx="176">
                  <c:v>Feb-15</c:v>
                </c:pt>
                <c:pt idx="177">
                  <c:v>Mar-15</c:v>
                </c:pt>
                <c:pt idx="178">
                  <c:v>Apr-15</c:v>
                </c:pt>
                <c:pt idx="179">
                  <c:v>May-15</c:v>
                </c:pt>
                <c:pt idx="180">
                  <c:v>Jun-15</c:v>
                </c:pt>
                <c:pt idx="181">
                  <c:v>Jul-15</c:v>
                </c:pt>
                <c:pt idx="182">
                  <c:v>Aug-15</c:v>
                </c:pt>
                <c:pt idx="183">
                  <c:v>Sep-15</c:v>
                </c:pt>
                <c:pt idx="184">
                  <c:v>Oct-15</c:v>
                </c:pt>
                <c:pt idx="185">
                  <c:v>Nov-15</c:v>
                </c:pt>
                <c:pt idx="186">
                  <c:v>Dec-15</c:v>
                </c:pt>
                <c:pt idx="187">
                  <c:v>Jan-16</c:v>
                </c:pt>
                <c:pt idx="188">
                  <c:v>Feb-16</c:v>
                </c:pt>
                <c:pt idx="189">
                  <c:v>Mar-16</c:v>
                </c:pt>
                <c:pt idx="190">
                  <c:v>Apr-16</c:v>
                </c:pt>
                <c:pt idx="191">
                  <c:v>May-16</c:v>
                </c:pt>
                <c:pt idx="192">
                  <c:v>Jun-16</c:v>
                </c:pt>
                <c:pt idx="193">
                  <c:v>Jul-16</c:v>
                </c:pt>
                <c:pt idx="194">
                  <c:v>Aug-16</c:v>
                </c:pt>
                <c:pt idx="195">
                  <c:v>Sep-16</c:v>
                </c:pt>
                <c:pt idx="196">
                  <c:v>Oct-16</c:v>
                </c:pt>
                <c:pt idx="197">
                  <c:v>Nov-16</c:v>
                </c:pt>
                <c:pt idx="198">
                  <c:v>Dec-16</c:v>
                </c:pt>
                <c:pt idx="199">
                  <c:v>Jan-17</c:v>
                </c:pt>
                <c:pt idx="200">
                  <c:v>Feb-17</c:v>
                </c:pt>
                <c:pt idx="201">
                  <c:v>Mar-17</c:v>
                </c:pt>
                <c:pt idx="202">
                  <c:v>Apr-17</c:v>
                </c:pt>
                <c:pt idx="203">
                  <c:v>May-17</c:v>
                </c:pt>
                <c:pt idx="204">
                  <c:v>Jun-17</c:v>
                </c:pt>
                <c:pt idx="205">
                  <c:v>Jul-17</c:v>
                </c:pt>
                <c:pt idx="206">
                  <c:v>Aug-17</c:v>
                </c:pt>
                <c:pt idx="207">
                  <c:v>Sep-17</c:v>
                </c:pt>
                <c:pt idx="208">
                  <c:v>Oct-17</c:v>
                </c:pt>
                <c:pt idx="209">
                  <c:v>Nov-17</c:v>
                </c:pt>
                <c:pt idx="210">
                  <c:v>Dec-17</c:v>
                </c:pt>
                <c:pt idx="211">
                  <c:v>Jan-18</c:v>
                </c:pt>
                <c:pt idx="212">
                  <c:v>Feb-18</c:v>
                </c:pt>
                <c:pt idx="213">
                  <c:v>Mar-18</c:v>
                </c:pt>
                <c:pt idx="214">
                  <c:v>Apr-18</c:v>
                </c:pt>
                <c:pt idx="215">
                  <c:v>May-18</c:v>
                </c:pt>
                <c:pt idx="216">
                  <c:v>Jun-18</c:v>
                </c:pt>
                <c:pt idx="217">
                  <c:v>Jul-18</c:v>
                </c:pt>
                <c:pt idx="218">
                  <c:v>Aug-18</c:v>
                </c:pt>
                <c:pt idx="219">
                  <c:v>Sep-18</c:v>
                </c:pt>
                <c:pt idx="220">
                  <c:v>Oct-18</c:v>
                </c:pt>
                <c:pt idx="221">
                  <c:v>Nov-18</c:v>
                </c:pt>
                <c:pt idx="222">
                  <c:v>Dec-18</c:v>
                </c:pt>
                <c:pt idx="223">
                  <c:v>Jan-19</c:v>
                </c:pt>
                <c:pt idx="224">
                  <c:v>Feb-19</c:v>
                </c:pt>
                <c:pt idx="225">
                  <c:v>Mar-19</c:v>
                </c:pt>
                <c:pt idx="226">
                  <c:v>Apr-19</c:v>
                </c:pt>
                <c:pt idx="227">
                  <c:v>May-19</c:v>
                </c:pt>
                <c:pt idx="228">
                  <c:v>Jun-19</c:v>
                </c:pt>
                <c:pt idx="229">
                  <c:v>Jul-19</c:v>
                </c:pt>
                <c:pt idx="230">
                  <c:v>Aug-19</c:v>
                </c:pt>
                <c:pt idx="231">
                  <c:v>Sep-19</c:v>
                </c:pt>
                <c:pt idx="232">
                  <c:v>Oct-19</c:v>
                </c:pt>
                <c:pt idx="233">
                  <c:v>Nov-19</c:v>
                </c:pt>
                <c:pt idx="234">
                  <c:v>Dec-19</c:v>
                </c:pt>
              </c:strCache>
            </c:strRef>
          </c:cat>
          <c:val>
            <c:numRef>
              <c:f>'Curve Comparison'!$H$4:$H$238</c:f>
              <c:numCache>
                <c:formatCode>_(* #,##0.000_);_(* \(#,##0.000\);_(* \-??_);_(@_)</c:formatCode>
                <c:ptCount val="235"/>
                <c:pt idx="0">
                  <c:v>119.6982624</c:v>
                </c:pt>
                <c:pt idx="1">
                  <c:v>200.7496049</c:v>
                </c:pt>
                <c:pt idx="2">
                  <c:v>200.7496049</c:v>
                </c:pt>
                <c:pt idx="3">
                  <c:v>65.47488546</c:v>
                </c:pt>
                <c:pt idx="4">
                  <c:v>52.66540105</c:v>
                </c:pt>
                <c:pt idx="5">
                  <c:v>53.72853294</c:v>
                </c:pt>
                <c:pt idx="6">
                  <c:v>53.72853294</c:v>
                </c:pt>
                <c:pt idx="7">
                  <c:v>50.27617212</c:v>
                </c:pt>
                <c:pt idx="8">
                  <c:v>41.81734635</c:v>
                </c:pt>
                <c:pt idx="9">
                  <c:v>41.81734635</c:v>
                </c:pt>
                <c:pt idx="10">
                  <c:v>45.64480277</c:v>
                </c:pt>
                <c:pt idx="11">
                  <c:v>58.68908346</c:v>
                </c:pt>
                <c:pt idx="12">
                  <c:v>109.2786763</c:v>
                </c:pt>
                <c:pt idx="13">
                  <c:v>177.4811729</c:v>
                </c:pt>
                <c:pt idx="14">
                  <c:v>177.4811729</c:v>
                </c:pt>
                <c:pt idx="15">
                  <c:v>58.68908346</c:v>
                </c:pt>
                <c:pt idx="16">
                  <c:v>45.78953036</c:v>
                </c:pt>
                <c:pt idx="17">
                  <c:v>49.62908489</c:v>
                </c:pt>
                <c:pt idx="18">
                  <c:v>49.62908489</c:v>
                </c:pt>
                <c:pt idx="19">
                  <c:v>49.29206481</c:v>
                </c:pt>
                <c:pt idx="20">
                  <c:v>41.74830928</c:v>
                </c:pt>
                <c:pt idx="21">
                  <c:v>41.74830928</c:v>
                </c:pt>
                <c:pt idx="22">
                  <c:v>45.90699922</c:v>
                </c:pt>
                <c:pt idx="23">
                  <c:v>58.100821</c:v>
                </c:pt>
                <c:pt idx="24">
                  <c:v>107.4110546</c:v>
                </c:pt>
                <c:pt idx="25">
                  <c:v>170.2370583</c:v>
                </c:pt>
                <c:pt idx="26">
                  <c:v>170.2370583</c:v>
                </c:pt>
                <c:pt idx="27">
                  <c:v>58.100821</c:v>
                </c:pt>
                <c:pt idx="28">
                  <c:v>46.57747048</c:v>
                </c:pt>
                <c:pt idx="29">
                  <c:v>49.84281374</c:v>
                </c:pt>
                <c:pt idx="30">
                  <c:v>49.84281374</c:v>
                </c:pt>
                <c:pt idx="31">
                  <c:v>48.87163427</c:v>
                </c:pt>
                <c:pt idx="32">
                  <c:v>41.72442</c:v>
                </c:pt>
                <c:pt idx="33">
                  <c:v>41.72442</c:v>
                </c:pt>
                <c:pt idx="34">
                  <c:v>45.99268799</c:v>
                </c:pt>
                <c:pt idx="35">
                  <c:v>57.46168783</c:v>
                </c:pt>
                <c:pt idx="36">
                  <c:v>105.2136455</c:v>
                </c:pt>
                <c:pt idx="37">
                  <c:v>165.2013354</c:v>
                </c:pt>
                <c:pt idx="38">
                  <c:v>165.2013354</c:v>
                </c:pt>
                <c:pt idx="39">
                  <c:v>57.46168783</c:v>
                </c:pt>
                <c:pt idx="40">
                  <c:v>47.03145934</c:v>
                </c:pt>
                <c:pt idx="41">
                  <c:v>50.00419986</c:v>
                </c:pt>
                <c:pt idx="42">
                  <c:v>50.00419986</c:v>
                </c:pt>
                <c:pt idx="43">
                  <c:v>48.11429676</c:v>
                </c:pt>
                <c:pt idx="44">
                  <c:v>41.79097117</c:v>
                </c:pt>
                <c:pt idx="45">
                  <c:v>41.79097117</c:v>
                </c:pt>
                <c:pt idx="46">
                  <c:v>46.15245785</c:v>
                </c:pt>
                <c:pt idx="47">
                  <c:v>57.91934598</c:v>
                </c:pt>
                <c:pt idx="48">
                  <c:v>106.4071165</c:v>
                </c:pt>
                <c:pt idx="49">
                  <c:v>168.5374283</c:v>
                </c:pt>
                <c:pt idx="50">
                  <c:v>168.5374283</c:v>
                </c:pt>
                <c:pt idx="51">
                  <c:v>57.91934598</c:v>
                </c:pt>
                <c:pt idx="52">
                  <c:v>47.74277523</c:v>
                </c:pt>
                <c:pt idx="53">
                  <c:v>50.15598731</c:v>
                </c:pt>
                <c:pt idx="54">
                  <c:v>50.15598731</c:v>
                </c:pt>
                <c:pt idx="55">
                  <c:v>48.06361708</c:v>
                </c:pt>
                <c:pt idx="56">
                  <c:v>41.74688732</c:v>
                </c:pt>
                <c:pt idx="57">
                  <c:v>41.74688732</c:v>
                </c:pt>
                <c:pt idx="58">
                  <c:v>46.15871823</c:v>
                </c:pt>
                <c:pt idx="59">
                  <c:v>53.61062563</c:v>
                </c:pt>
                <c:pt idx="60">
                  <c:v>94.65589667</c:v>
                </c:pt>
                <c:pt idx="61">
                  <c:v>139.3279043</c:v>
                </c:pt>
                <c:pt idx="62">
                  <c:v>139.3279043</c:v>
                </c:pt>
                <c:pt idx="63">
                  <c:v>53.61062563</c:v>
                </c:pt>
                <c:pt idx="64">
                  <c:v>47.84441558</c:v>
                </c:pt>
                <c:pt idx="65">
                  <c:v>50.17782756</c:v>
                </c:pt>
                <c:pt idx="66">
                  <c:v>50.17782756</c:v>
                </c:pt>
                <c:pt idx="67">
                  <c:v>47.98518809</c:v>
                </c:pt>
                <c:pt idx="68">
                  <c:v>41.73923785</c:v>
                </c:pt>
                <c:pt idx="69">
                  <c:v>41.73923785</c:v>
                </c:pt>
                <c:pt idx="70">
                  <c:v>46.17733114</c:v>
                </c:pt>
                <c:pt idx="71">
                  <c:v>56.393783</c:v>
                </c:pt>
                <c:pt idx="72">
                  <c:v>102.645548</c:v>
                </c:pt>
                <c:pt idx="73">
                  <c:v>159.3501702</c:v>
                </c:pt>
                <c:pt idx="74">
                  <c:v>159.3501702</c:v>
                </c:pt>
                <c:pt idx="75">
                  <c:v>56.393783</c:v>
                </c:pt>
                <c:pt idx="76">
                  <c:v>47.89323737</c:v>
                </c:pt>
                <c:pt idx="77">
                  <c:v>50.22016553</c:v>
                </c:pt>
                <c:pt idx="78">
                  <c:v>50.22016553</c:v>
                </c:pt>
                <c:pt idx="79">
                  <c:v>47.92342798</c:v>
                </c:pt>
                <c:pt idx="80">
                  <c:v>41.7504818</c:v>
                </c:pt>
                <c:pt idx="81">
                  <c:v>41.7504818</c:v>
                </c:pt>
                <c:pt idx="82">
                  <c:v>46.21525271</c:v>
                </c:pt>
                <c:pt idx="83">
                  <c:v>58.91594225</c:v>
                </c:pt>
                <c:pt idx="84">
                  <c:v>109.4849347</c:v>
                </c:pt>
                <c:pt idx="85">
                  <c:v>178.5405433</c:v>
                </c:pt>
                <c:pt idx="86">
                  <c:v>178.5405433</c:v>
                </c:pt>
                <c:pt idx="87">
                  <c:v>58.91594225</c:v>
                </c:pt>
                <c:pt idx="88">
                  <c:v>47.94577269</c:v>
                </c:pt>
                <c:pt idx="89">
                  <c:v>50.24281372</c:v>
                </c:pt>
                <c:pt idx="90">
                  <c:v>50.24281372</c:v>
                </c:pt>
                <c:pt idx="91">
                  <c:v>47.85133447</c:v>
                </c:pt>
                <c:pt idx="92">
                  <c:v>41.74533822</c:v>
                </c:pt>
                <c:pt idx="93">
                  <c:v>41.74533822</c:v>
                </c:pt>
                <c:pt idx="94">
                  <c:v>46.1955177</c:v>
                </c:pt>
                <c:pt idx="95">
                  <c:v>59.03008888</c:v>
                </c:pt>
                <c:pt idx="96">
                  <c:v>109.5895077</c:v>
                </c:pt>
                <c:pt idx="97">
                  <c:v>178.8034081</c:v>
                </c:pt>
                <c:pt idx="98">
                  <c:v>178.8034081</c:v>
                </c:pt>
                <c:pt idx="99">
                  <c:v>59.03008888</c:v>
                </c:pt>
                <c:pt idx="100">
                  <c:v>48.05146355</c:v>
                </c:pt>
                <c:pt idx="101">
                  <c:v>50.28623719</c:v>
                </c:pt>
                <c:pt idx="102">
                  <c:v>50.28623719</c:v>
                </c:pt>
                <c:pt idx="103">
                  <c:v>47.80079544</c:v>
                </c:pt>
                <c:pt idx="104">
                  <c:v>41.75988855</c:v>
                </c:pt>
                <c:pt idx="105">
                  <c:v>41.75988855</c:v>
                </c:pt>
                <c:pt idx="106">
                  <c:v>46.22596667</c:v>
                </c:pt>
                <c:pt idx="107">
                  <c:v>58.18528975</c:v>
                </c:pt>
                <c:pt idx="108">
                  <c:v>107.2189119</c:v>
                </c:pt>
                <c:pt idx="109">
                  <c:v>170.3407149</c:v>
                </c:pt>
                <c:pt idx="110">
                  <c:v>170.3407149</c:v>
                </c:pt>
                <c:pt idx="111">
                  <c:v>58.18528975</c:v>
                </c:pt>
                <c:pt idx="112">
                  <c:v>48.07464147</c:v>
                </c:pt>
                <c:pt idx="113">
                  <c:v>50.29950214</c:v>
                </c:pt>
                <c:pt idx="114">
                  <c:v>50.29950214</c:v>
                </c:pt>
                <c:pt idx="115">
                  <c:v>47.72765945</c:v>
                </c:pt>
                <c:pt idx="116">
                  <c:v>41.83490537</c:v>
                </c:pt>
                <c:pt idx="117">
                  <c:v>41.83490537</c:v>
                </c:pt>
                <c:pt idx="118">
                  <c:v>46.24548628</c:v>
                </c:pt>
                <c:pt idx="119">
                  <c:v>58.18610721</c:v>
                </c:pt>
                <c:pt idx="120">
                  <c:v>107.1349637</c:v>
                </c:pt>
                <c:pt idx="121">
                  <c:v>170.0454989</c:v>
                </c:pt>
                <c:pt idx="122">
                  <c:v>170.0454989</c:v>
                </c:pt>
                <c:pt idx="123">
                  <c:v>58.18610721</c:v>
                </c:pt>
                <c:pt idx="124">
                  <c:v>48.12568278</c:v>
                </c:pt>
                <c:pt idx="125">
                  <c:v>50.2925288</c:v>
                </c:pt>
                <c:pt idx="126">
                  <c:v>50.2925288</c:v>
                </c:pt>
                <c:pt idx="127">
                  <c:v>47.62705285</c:v>
                </c:pt>
                <c:pt idx="128">
                  <c:v>41.87551191</c:v>
                </c:pt>
                <c:pt idx="129">
                  <c:v>41.87551191</c:v>
                </c:pt>
                <c:pt idx="130">
                  <c:v>46.28657328</c:v>
                </c:pt>
                <c:pt idx="131">
                  <c:v>57.01879661</c:v>
                </c:pt>
                <c:pt idx="132">
                  <c:v>104.3683817</c:v>
                </c:pt>
                <c:pt idx="133">
                  <c:v>163.524851</c:v>
                </c:pt>
                <c:pt idx="134">
                  <c:v>163.524851</c:v>
                </c:pt>
                <c:pt idx="135">
                  <c:v>57.01879661</c:v>
                </c:pt>
                <c:pt idx="136">
                  <c:v>48.206388</c:v>
                </c:pt>
                <c:pt idx="137">
                  <c:v>50.32686254</c:v>
                </c:pt>
                <c:pt idx="138">
                  <c:v>50.32686254</c:v>
                </c:pt>
                <c:pt idx="139">
                  <c:v>47.54301127</c:v>
                </c:pt>
                <c:pt idx="140">
                  <c:v>41.83522617</c:v>
                </c:pt>
                <c:pt idx="141">
                  <c:v>41.83522617</c:v>
                </c:pt>
                <c:pt idx="142">
                  <c:v>46.31470998</c:v>
                </c:pt>
                <c:pt idx="143">
                  <c:v>56.01939042</c:v>
                </c:pt>
                <c:pt idx="144">
                  <c:v>101.0272828</c:v>
                </c:pt>
                <c:pt idx="145">
                  <c:v>155.5157721</c:v>
                </c:pt>
                <c:pt idx="146">
                  <c:v>155.5157721</c:v>
                </c:pt>
                <c:pt idx="147">
                  <c:v>56.01939042</c:v>
                </c:pt>
                <c:pt idx="148">
                  <c:v>48.1723551</c:v>
                </c:pt>
                <c:pt idx="149">
                  <c:v>50.32033665</c:v>
                </c:pt>
                <c:pt idx="150">
                  <c:v>50.32033665</c:v>
                </c:pt>
                <c:pt idx="151">
                  <c:v>47.51406309</c:v>
                </c:pt>
                <c:pt idx="152">
                  <c:v>41.85796283</c:v>
                </c:pt>
                <c:pt idx="153">
                  <c:v>41.85796283</c:v>
                </c:pt>
                <c:pt idx="154">
                  <c:v>46.34745426</c:v>
                </c:pt>
                <c:pt idx="155">
                  <c:v>54.78527328</c:v>
                </c:pt>
                <c:pt idx="156">
                  <c:v>97.5558604</c:v>
                </c:pt>
                <c:pt idx="157">
                  <c:v>145.9959256</c:v>
                </c:pt>
                <c:pt idx="158">
                  <c:v>145.9959256</c:v>
                </c:pt>
                <c:pt idx="159">
                  <c:v>54.78527328</c:v>
                </c:pt>
                <c:pt idx="160">
                  <c:v>48.17909686</c:v>
                </c:pt>
                <c:pt idx="161">
                  <c:v>50.34494315</c:v>
                </c:pt>
                <c:pt idx="162">
                  <c:v>50.34494315</c:v>
                </c:pt>
                <c:pt idx="163">
                  <c:v>47.47247005</c:v>
                </c:pt>
                <c:pt idx="164">
                  <c:v>41.81925444</c:v>
                </c:pt>
                <c:pt idx="165">
                  <c:v>41.81925444</c:v>
                </c:pt>
                <c:pt idx="166">
                  <c:v>46.3648301</c:v>
                </c:pt>
                <c:pt idx="167">
                  <c:v>56.34821191</c:v>
                </c:pt>
                <c:pt idx="168">
                  <c:v>102.0899655</c:v>
                </c:pt>
                <c:pt idx="169">
                  <c:v>158.1097812</c:v>
                </c:pt>
                <c:pt idx="170">
                  <c:v>158.1097812</c:v>
                </c:pt>
                <c:pt idx="171">
                  <c:v>56.34821191</c:v>
                </c:pt>
                <c:pt idx="172">
                  <c:v>48.21415911</c:v>
                </c:pt>
                <c:pt idx="173">
                  <c:v>50.35945542</c:v>
                </c:pt>
                <c:pt idx="174">
                  <c:v>50.35945542</c:v>
                </c:pt>
                <c:pt idx="175">
                  <c:v>48.3116083</c:v>
                </c:pt>
                <c:pt idx="176">
                  <c:v>42.66271256</c:v>
                </c:pt>
                <c:pt idx="177">
                  <c:v>42.66271256</c:v>
                </c:pt>
                <c:pt idx="178">
                  <c:v>47.22083987</c:v>
                </c:pt>
                <c:pt idx="179">
                  <c:v>59.27864825</c:v>
                </c:pt>
                <c:pt idx="180">
                  <c:v>107.5810825</c:v>
                </c:pt>
                <c:pt idx="181">
                  <c:v>171.1435954</c:v>
                </c:pt>
                <c:pt idx="182">
                  <c:v>171.1435954</c:v>
                </c:pt>
                <c:pt idx="183">
                  <c:v>59.27864825</c:v>
                </c:pt>
                <c:pt idx="184">
                  <c:v>49.6107409</c:v>
                </c:pt>
                <c:pt idx="185">
                  <c:v>51.33971194</c:v>
                </c:pt>
                <c:pt idx="186">
                  <c:v>51.33971194</c:v>
                </c:pt>
                <c:pt idx="187">
                  <c:v>48.27816185</c:v>
                </c:pt>
                <c:pt idx="188">
                  <c:v>42.68139426</c:v>
                </c:pt>
                <c:pt idx="189">
                  <c:v>42.68139426</c:v>
                </c:pt>
                <c:pt idx="190">
                  <c:v>47.23554814</c:v>
                </c:pt>
                <c:pt idx="191">
                  <c:v>60.2139652</c:v>
                </c:pt>
                <c:pt idx="192">
                  <c:v>110.5573703</c:v>
                </c:pt>
                <c:pt idx="193">
                  <c:v>180.9578376</c:v>
                </c:pt>
                <c:pt idx="194">
                  <c:v>180.9578376</c:v>
                </c:pt>
                <c:pt idx="195">
                  <c:v>60.2139652</c:v>
                </c:pt>
                <c:pt idx="196">
                  <c:v>49.63534386</c:v>
                </c:pt>
                <c:pt idx="197">
                  <c:v>51.33491865</c:v>
                </c:pt>
                <c:pt idx="198">
                  <c:v>51.33491865</c:v>
                </c:pt>
                <c:pt idx="199">
                  <c:v>48.24132061</c:v>
                </c:pt>
                <c:pt idx="200">
                  <c:v>42.64327304</c:v>
                </c:pt>
                <c:pt idx="201">
                  <c:v>42.64327304</c:v>
                </c:pt>
                <c:pt idx="202">
                  <c:v>47.27162574</c:v>
                </c:pt>
                <c:pt idx="203">
                  <c:v>60.13343162</c:v>
                </c:pt>
                <c:pt idx="204">
                  <c:v>110.1751727</c:v>
                </c:pt>
                <c:pt idx="205">
                  <c:v>180.1084652</c:v>
                </c:pt>
                <c:pt idx="206">
                  <c:v>180.1084652</c:v>
                </c:pt>
                <c:pt idx="207">
                  <c:v>60.13343162</c:v>
                </c:pt>
                <c:pt idx="208">
                  <c:v>49.71153984</c:v>
                </c:pt>
                <c:pt idx="209">
                  <c:v>51.3302315</c:v>
                </c:pt>
                <c:pt idx="210">
                  <c:v>51.3302315</c:v>
                </c:pt>
                <c:pt idx="211">
                  <c:v>48.23143288</c:v>
                </c:pt>
                <c:pt idx="212">
                  <c:v>42.63475858</c:v>
                </c:pt>
                <c:pt idx="213">
                  <c:v>42.63475858</c:v>
                </c:pt>
                <c:pt idx="214">
                  <c:v>47.3161731</c:v>
                </c:pt>
                <c:pt idx="215">
                  <c:v>60.23774956</c:v>
                </c:pt>
                <c:pt idx="216">
                  <c:v>110.4394211</c:v>
                </c:pt>
                <c:pt idx="217">
                  <c:v>180.7367205</c:v>
                </c:pt>
                <c:pt idx="218">
                  <c:v>180.7367205</c:v>
                </c:pt>
                <c:pt idx="219">
                  <c:v>60.23774956</c:v>
                </c:pt>
                <c:pt idx="220">
                  <c:v>49.70697593</c:v>
                </c:pt>
                <c:pt idx="221">
                  <c:v>51.33692819</c:v>
                </c:pt>
                <c:pt idx="222">
                  <c:v>51.33692819</c:v>
                </c:pt>
                <c:pt idx="223">
                  <c:v>48.19317752</c:v>
                </c:pt>
                <c:pt idx="224">
                  <c:v>42.62686693</c:v>
                </c:pt>
                <c:pt idx="225">
                  <c:v>42.62686693</c:v>
                </c:pt>
                <c:pt idx="226">
                  <c:v>47.34689014</c:v>
                </c:pt>
                <c:pt idx="227">
                  <c:v>57.7472557</c:v>
                </c:pt>
                <c:pt idx="228">
                  <c:v>104.0923138</c:v>
                </c:pt>
                <c:pt idx="229">
                  <c:v>162.3593968</c:v>
                </c:pt>
                <c:pt idx="230">
                  <c:v>162.3593968</c:v>
                </c:pt>
                <c:pt idx="231">
                  <c:v>57.7472557</c:v>
                </c:pt>
                <c:pt idx="232">
                  <c:v>49.72050225</c:v>
                </c:pt>
                <c:pt idx="233">
                  <c:v>51.33249949</c:v>
                </c:pt>
                <c:pt idx="234">
                  <c:v>51.33249949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"Enron's Curve - PJM East Hub"</c:f>
              <c:strCache>
                <c:ptCount val="1"/>
                <c:pt idx="0">
                  <c:v>Enron's Curve - PJM East Hub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'Curve Comparison'!$G$4:$G$238</c:f>
              <c:strCache>
                <c:ptCount val="235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  <c:pt idx="12">
                  <c:v>Jun-01</c:v>
                </c:pt>
                <c:pt idx="13">
                  <c:v>Jul-01</c:v>
                </c:pt>
                <c:pt idx="14">
                  <c:v>Aug-01</c:v>
                </c:pt>
                <c:pt idx="15">
                  <c:v>Sep-01</c:v>
                </c:pt>
                <c:pt idx="16">
                  <c:v>Oct-01</c:v>
                </c:pt>
                <c:pt idx="17">
                  <c:v>Nov-01</c:v>
                </c:pt>
                <c:pt idx="18">
                  <c:v>Dec-01</c:v>
                </c:pt>
                <c:pt idx="19">
                  <c:v>Jan-02</c:v>
                </c:pt>
                <c:pt idx="20">
                  <c:v>Feb-02</c:v>
                </c:pt>
                <c:pt idx="21">
                  <c:v>Mar-02</c:v>
                </c:pt>
                <c:pt idx="22">
                  <c:v>Apr-02</c:v>
                </c:pt>
                <c:pt idx="23">
                  <c:v>May-02</c:v>
                </c:pt>
                <c:pt idx="24">
                  <c:v>Jun-02</c:v>
                </c:pt>
                <c:pt idx="25">
                  <c:v>Jul-02</c:v>
                </c:pt>
                <c:pt idx="26">
                  <c:v>Aug-02</c:v>
                </c:pt>
                <c:pt idx="27">
                  <c:v>Sep-02</c:v>
                </c:pt>
                <c:pt idx="28">
                  <c:v>Oct-02</c:v>
                </c:pt>
                <c:pt idx="29">
                  <c:v>Nov-02</c:v>
                </c:pt>
                <c:pt idx="30">
                  <c:v>Dec-02</c:v>
                </c:pt>
                <c:pt idx="31">
                  <c:v>Jan-03</c:v>
                </c:pt>
                <c:pt idx="32">
                  <c:v>Feb-03</c:v>
                </c:pt>
                <c:pt idx="33">
                  <c:v>Mar-03</c:v>
                </c:pt>
                <c:pt idx="34">
                  <c:v>Apr-03</c:v>
                </c:pt>
                <c:pt idx="35">
                  <c:v>May-03</c:v>
                </c:pt>
                <c:pt idx="36">
                  <c:v>Jun-03</c:v>
                </c:pt>
                <c:pt idx="37">
                  <c:v>Jul-03</c:v>
                </c:pt>
                <c:pt idx="38">
                  <c:v>Aug-03</c:v>
                </c:pt>
                <c:pt idx="39">
                  <c:v>Sep-03</c:v>
                </c:pt>
                <c:pt idx="40">
                  <c:v>Oct-03</c:v>
                </c:pt>
                <c:pt idx="41">
                  <c:v>Nov-03</c:v>
                </c:pt>
                <c:pt idx="42">
                  <c:v>Dec-03</c:v>
                </c:pt>
                <c:pt idx="43">
                  <c:v>Jan-04</c:v>
                </c:pt>
                <c:pt idx="44">
                  <c:v>Feb-04</c:v>
                </c:pt>
                <c:pt idx="45">
                  <c:v>Mar-04</c:v>
                </c:pt>
                <c:pt idx="46">
                  <c:v>Apr-04</c:v>
                </c:pt>
                <c:pt idx="47">
                  <c:v>May-04</c:v>
                </c:pt>
                <c:pt idx="48">
                  <c:v>Jun-04</c:v>
                </c:pt>
                <c:pt idx="49">
                  <c:v>Jul-04</c:v>
                </c:pt>
                <c:pt idx="50">
                  <c:v>Aug-04</c:v>
                </c:pt>
                <c:pt idx="51">
                  <c:v>Sep-04</c:v>
                </c:pt>
                <c:pt idx="52">
                  <c:v>Oct-04</c:v>
                </c:pt>
                <c:pt idx="53">
                  <c:v>Nov-04</c:v>
                </c:pt>
                <c:pt idx="54">
                  <c:v>Dec-04</c:v>
                </c:pt>
                <c:pt idx="55">
                  <c:v>Jan-05</c:v>
                </c:pt>
                <c:pt idx="56">
                  <c:v>Feb-05</c:v>
                </c:pt>
                <c:pt idx="57">
                  <c:v>Mar-05</c:v>
                </c:pt>
                <c:pt idx="58">
                  <c:v>Apr-05</c:v>
                </c:pt>
                <c:pt idx="59">
                  <c:v>May-05</c:v>
                </c:pt>
                <c:pt idx="60">
                  <c:v>Jun-05</c:v>
                </c:pt>
                <c:pt idx="61">
                  <c:v>Jul-05</c:v>
                </c:pt>
                <c:pt idx="62">
                  <c:v>Aug-05</c:v>
                </c:pt>
                <c:pt idx="63">
                  <c:v>Sep-05</c:v>
                </c:pt>
                <c:pt idx="64">
                  <c:v>Oct-05</c:v>
                </c:pt>
                <c:pt idx="65">
                  <c:v>Nov-05</c:v>
                </c:pt>
                <c:pt idx="66">
                  <c:v>Dec-05</c:v>
                </c:pt>
                <c:pt idx="67">
                  <c:v>Jan-06</c:v>
                </c:pt>
                <c:pt idx="68">
                  <c:v>Feb-06</c:v>
                </c:pt>
                <c:pt idx="69">
                  <c:v>Mar-06</c:v>
                </c:pt>
                <c:pt idx="70">
                  <c:v>Apr-06</c:v>
                </c:pt>
                <c:pt idx="71">
                  <c:v>May-06</c:v>
                </c:pt>
                <c:pt idx="72">
                  <c:v>Jun-06</c:v>
                </c:pt>
                <c:pt idx="73">
                  <c:v>Jul-06</c:v>
                </c:pt>
                <c:pt idx="74">
                  <c:v>Aug-06</c:v>
                </c:pt>
                <c:pt idx="75">
                  <c:v>Sep-06</c:v>
                </c:pt>
                <c:pt idx="76">
                  <c:v>Oct-06</c:v>
                </c:pt>
                <c:pt idx="77">
                  <c:v>Nov-06</c:v>
                </c:pt>
                <c:pt idx="78">
                  <c:v>Dec-06</c:v>
                </c:pt>
                <c:pt idx="79">
                  <c:v>Jan-07</c:v>
                </c:pt>
                <c:pt idx="80">
                  <c:v>Feb-07</c:v>
                </c:pt>
                <c:pt idx="81">
                  <c:v>Mar-07</c:v>
                </c:pt>
                <c:pt idx="82">
                  <c:v>Apr-07</c:v>
                </c:pt>
                <c:pt idx="83">
                  <c:v>May-07</c:v>
                </c:pt>
                <c:pt idx="84">
                  <c:v>Jun-07</c:v>
                </c:pt>
                <c:pt idx="85">
                  <c:v>Jul-07</c:v>
                </c:pt>
                <c:pt idx="86">
                  <c:v>Aug-07</c:v>
                </c:pt>
                <c:pt idx="87">
                  <c:v>Sep-07</c:v>
                </c:pt>
                <c:pt idx="88">
                  <c:v>Oct-07</c:v>
                </c:pt>
                <c:pt idx="89">
                  <c:v>Nov-07</c:v>
                </c:pt>
                <c:pt idx="90">
                  <c:v>Dec-07</c:v>
                </c:pt>
                <c:pt idx="91">
                  <c:v>Jan-08</c:v>
                </c:pt>
                <c:pt idx="92">
                  <c:v>Feb-08</c:v>
                </c:pt>
                <c:pt idx="93">
                  <c:v>Mar-08</c:v>
                </c:pt>
                <c:pt idx="94">
                  <c:v>Apr-08</c:v>
                </c:pt>
                <c:pt idx="95">
                  <c:v>May-08</c:v>
                </c:pt>
                <c:pt idx="96">
                  <c:v>Jun-08</c:v>
                </c:pt>
                <c:pt idx="97">
                  <c:v>Jul-08</c:v>
                </c:pt>
                <c:pt idx="98">
                  <c:v>Aug-08</c:v>
                </c:pt>
                <c:pt idx="99">
                  <c:v>Sep-08</c:v>
                </c:pt>
                <c:pt idx="100">
                  <c:v>Oct-08</c:v>
                </c:pt>
                <c:pt idx="101">
                  <c:v>Nov-08</c:v>
                </c:pt>
                <c:pt idx="102">
                  <c:v>Dec-08</c:v>
                </c:pt>
                <c:pt idx="103">
                  <c:v>Jan-09</c:v>
                </c:pt>
                <c:pt idx="104">
                  <c:v>Feb-09</c:v>
                </c:pt>
                <c:pt idx="105">
                  <c:v>Mar-09</c:v>
                </c:pt>
                <c:pt idx="106">
                  <c:v>Apr-09</c:v>
                </c:pt>
                <c:pt idx="107">
                  <c:v>May-09</c:v>
                </c:pt>
                <c:pt idx="108">
                  <c:v>Jun-09</c:v>
                </c:pt>
                <c:pt idx="109">
                  <c:v>Jul-09</c:v>
                </c:pt>
                <c:pt idx="110">
                  <c:v>Aug-09</c:v>
                </c:pt>
                <c:pt idx="111">
                  <c:v>Sep-09</c:v>
                </c:pt>
                <c:pt idx="112">
                  <c:v>Oct-09</c:v>
                </c:pt>
                <c:pt idx="113">
                  <c:v>Nov-09</c:v>
                </c:pt>
                <c:pt idx="114">
                  <c:v>Dec-09</c:v>
                </c:pt>
                <c:pt idx="115">
                  <c:v>Jan-10</c:v>
                </c:pt>
                <c:pt idx="116">
                  <c:v>Feb-10</c:v>
                </c:pt>
                <c:pt idx="117">
                  <c:v>Mar-10</c:v>
                </c:pt>
                <c:pt idx="118">
                  <c:v>Apr-10</c:v>
                </c:pt>
                <c:pt idx="119">
                  <c:v>May-10</c:v>
                </c:pt>
                <c:pt idx="120">
                  <c:v>Jun-10</c:v>
                </c:pt>
                <c:pt idx="121">
                  <c:v>Jul-10</c:v>
                </c:pt>
                <c:pt idx="122">
                  <c:v>Aug-10</c:v>
                </c:pt>
                <c:pt idx="123">
                  <c:v>Sep-10</c:v>
                </c:pt>
                <c:pt idx="124">
                  <c:v>Oct-10</c:v>
                </c:pt>
                <c:pt idx="125">
                  <c:v>Nov-10</c:v>
                </c:pt>
                <c:pt idx="126">
                  <c:v>Dec-10</c:v>
                </c:pt>
                <c:pt idx="127">
                  <c:v>Jan-11</c:v>
                </c:pt>
                <c:pt idx="128">
                  <c:v>Feb-11</c:v>
                </c:pt>
                <c:pt idx="129">
                  <c:v>Mar-11</c:v>
                </c:pt>
                <c:pt idx="130">
                  <c:v>Apr-11</c:v>
                </c:pt>
                <c:pt idx="131">
                  <c:v>May-11</c:v>
                </c:pt>
                <c:pt idx="132">
                  <c:v>Jun-11</c:v>
                </c:pt>
                <c:pt idx="133">
                  <c:v>Jul-11</c:v>
                </c:pt>
                <c:pt idx="134">
                  <c:v>Aug-11</c:v>
                </c:pt>
                <c:pt idx="135">
                  <c:v>Sep-11</c:v>
                </c:pt>
                <c:pt idx="136">
                  <c:v>Oct-11</c:v>
                </c:pt>
                <c:pt idx="137">
                  <c:v>Nov-11</c:v>
                </c:pt>
                <c:pt idx="138">
                  <c:v>Dec-11</c:v>
                </c:pt>
                <c:pt idx="139">
                  <c:v>Jan-12</c:v>
                </c:pt>
                <c:pt idx="140">
                  <c:v>Feb-12</c:v>
                </c:pt>
                <c:pt idx="141">
                  <c:v>Mar-12</c:v>
                </c:pt>
                <c:pt idx="142">
                  <c:v>Apr-12</c:v>
                </c:pt>
                <c:pt idx="143">
                  <c:v>May-12</c:v>
                </c:pt>
                <c:pt idx="144">
                  <c:v>Jun-12</c:v>
                </c:pt>
                <c:pt idx="145">
                  <c:v>Jul-12</c:v>
                </c:pt>
                <c:pt idx="146">
                  <c:v>Aug-12</c:v>
                </c:pt>
                <c:pt idx="147">
                  <c:v>Sep-12</c:v>
                </c:pt>
                <c:pt idx="148">
                  <c:v>Oct-12</c:v>
                </c:pt>
                <c:pt idx="149">
                  <c:v>Nov-12</c:v>
                </c:pt>
                <c:pt idx="150">
                  <c:v>Dec-12</c:v>
                </c:pt>
                <c:pt idx="151">
                  <c:v>Jan-13</c:v>
                </c:pt>
                <c:pt idx="152">
                  <c:v>Feb-13</c:v>
                </c:pt>
                <c:pt idx="153">
                  <c:v>Mar-13</c:v>
                </c:pt>
                <c:pt idx="154">
                  <c:v>Apr-13</c:v>
                </c:pt>
                <c:pt idx="155">
                  <c:v>May-13</c:v>
                </c:pt>
                <c:pt idx="156">
                  <c:v>Jun-13</c:v>
                </c:pt>
                <c:pt idx="157">
                  <c:v>Jul-13</c:v>
                </c:pt>
                <c:pt idx="158">
                  <c:v>Aug-13</c:v>
                </c:pt>
                <c:pt idx="159">
                  <c:v>Sep-13</c:v>
                </c:pt>
                <c:pt idx="160">
                  <c:v>Oct-13</c:v>
                </c:pt>
                <c:pt idx="161">
                  <c:v>Nov-13</c:v>
                </c:pt>
                <c:pt idx="162">
                  <c:v>Dec-13</c:v>
                </c:pt>
                <c:pt idx="163">
                  <c:v>Jan-14</c:v>
                </c:pt>
                <c:pt idx="164">
                  <c:v>Feb-14</c:v>
                </c:pt>
                <c:pt idx="165">
                  <c:v>Mar-14</c:v>
                </c:pt>
                <c:pt idx="166">
                  <c:v>Apr-14</c:v>
                </c:pt>
                <c:pt idx="167">
                  <c:v>May-14</c:v>
                </c:pt>
                <c:pt idx="168">
                  <c:v>Jun-14</c:v>
                </c:pt>
                <c:pt idx="169">
                  <c:v>Jul-14</c:v>
                </c:pt>
                <c:pt idx="170">
                  <c:v>Aug-14</c:v>
                </c:pt>
                <c:pt idx="171">
                  <c:v>Sep-14</c:v>
                </c:pt>
                <c:pt idx="172">
                  <c:v>Oct-14</c:v>
                </c:pt>
                <c:pt idx="173">
                  <c:v>Nov-14</c:v>
                </c:pt>
                <c:pt idx="174">
                  <c:v>Dec-14</c:v>
                </c:pt>
                <c:pt idx="175">
                  <c:v>Jan-15</c:v>
                </c:pt>
                <c:pt idx="176">
                  <c:v>Feb-15</c:v>
                </c:pt>
                <c:pt idx="177">
                  <c:v>Mar-15</c:v>
                </c:pt>
                <c:pt idx="178">
                  <c:v>Apr-15</c:v>
                </c:pt>
                <c:pt idx="179">
                  <c:v>May-15</c:v>
                </c:pt>
                <c:pt idx="180">
                  <c:v>Jun-15</c:v>
                </c:pt>
                <c:pt idx="181">
                  <c:v>Jul-15</c:v>
                </c:pt>
                <c:pt idx="182">
                  <c:v>Aug-15</c:v>
                </c:pt>
                <c:pt idx="183">
                  <c:v>Sep-15</c:v>
                </c:pt>
                <c:pt idx="184">
                  <c:v>Oct-15</c:v>
                </c:pt>
                <c:pt idx="185">
                  <c:v>Nov-15</c:v>
                </c:pt>
                <c:pt idx="186">
                  <c:v>Dec-15</c:v>
                </c:pt>
                <c:pt idx="187">
                  <c:v>Jan-16</c:v>
                </c:pt>
                <c:pt idx="188">
                  <c:v>Feb-16</c:v>
                </c:pt>
                <c:pt idx="189">
                  <c:v>Mar-16</c:v>
                </c:pt>
                <c:pt idx="190">
                  <c:v>Apr-16</c:v>
                </c:pt>
                <c:pt idx="191">
                  <c:v>May-16</c:v>
                </c:pt>
                <c:pt idx="192">
                  <c:v>Jun-16</c:v>
                </c:pt>
                <c:pt idx="193">
                  <c:v>Jul-16</c:v>
                </c:pt>
                <c:pt idx="194">
                  <c:v>Aug-16</c:v>
                </c:pt>
                <c:pt idx="195">
                  <c:v>Sep-16</c:v>
                </c:pt>
                <c:pt idx="196">
                  <c:v>Oct-16</c:v>
                </c:pt>
                <c:pt idx="197">
                  <c:v>Nov-16</c:v>
                </c:pt>
                <c:pt idx="198">
                  <c:v>Dec-16</c:v>
                </c:pt>
                <c:pt idx="199">
                  <c:v>Jan-17</c:v>
                </c:pt>
                <c:pt idx="200">
                  <c:v>Feb-17</c:v>
                </c:pt>
                <c:pt idx="201">
                  <c:v>Mar-17</c:v>
                </c:pt>
                <c:pt idx="202">
                  <c:v>Apr-17</c:v>
                </c:pt>
                <c:pt idx="203">
                  <c:v>May-17</c:v>
                </c:pt>
                <c:pt idx="204">
                  <c:v>Jun-17</c:v>
                </c:pt>
                <c:pt idx="205">
                  <c:v>Jul-17</c:v>
                </c:pt>
                <c:pt idx="206">
                  <c:v>Aug-17</c:v>
                </c:pt>
                <c:pt idx="207">
                  <c:v>Sep-17</c:v>
                </c:pt>
                <c:pt idx="208">
                  <c:v>Oct-17</c:v>
                </c:pt>
                <c:pt idx="209">
                  <c:v>Nov-17</c:v>
                </c:pt>
                <c:pt idx="210">
                  <c:v>Dec-17</c:v>
                </c:pt>
                <c:pt idx="211">
                  <c:v>Jan-18</c:v>
                </c:pt>
                <c:pt idx="212">
                  <c:v>Feb-18</c:v>
                </c:pt>
                <c:pt idx="213">
                  <c:v>Mar-18</c:v>
                </c:pt>
                <c:pt idx="214">
                  <c:v>Apr-18</c:v>
                </c:pt>
                <c:pt idx="215">
                  <c:v>May-18</c:v>
                </c:pt>
                <c:pt idx="216">
                  <c:v>Jun-18</c:v>
                </c:pt>
                <c:pt idx="217">
                  <c:v>Jul-18</c:v>
                </c:pt>
                <c:pt idx="218">
                  <c:v>Aug-18</c:v>
                </c:pt>
                <c:pt idx="219">
                  <c:v>Sep-18</c:v>
                </c:pt>
                <c:pt idx="220">
                  <c:v>Oct-18</c:v>
                </c:pt>
                <c:pt idx="221">
                  <c:v>Nov-18</c:v>
                </c:pt>
                <c:pt idx="222">
                  <c:v>Dec-18</c:v>
                </c:pt>
                <c:pt idx="223">
                  <c:v>Jan-19</c:v>
                </c:pt>
                <c:pt idx="224">
                  <c:v>Feb-19</c:v>
                </c:pt>
                <c:pt idx="225">
                  <c:v>Mar-19</c:v>
                </c:pt>
                <c:pt idx="226">
                  <c:v>Apr-19</c:v>
                </c:pt>
                <c:pt idx="227">
                  <c:v>May-19</c:v>
                </c:pt>
                <c:pt idx="228">
                  <c:v>Jun-19</c:v>
                </c:pt>
                <c:pt idx="229">
                  <c:v>Jul-19</c:v>
                </c:pt>
                <c:pt idx="230">
                  <c:v>Aug-19</c:v>
                </c:pt>
                <c:pt idx="231">
                  <c:v>Sep-19</c:v>
                </c:pt>
                <c:pt idx="232">
                  <c:v>Oct-19</c:v>
                </c:pt>
                <c:pt idx="233">
                  <c:v>Nov-19</c:v>
                </c:pt>
                <c:pt idx="234">
                  <c:v>Dec-19</c:v>
                </c:pt>
              </c:strCache>
            </c:strRef>
          </c:cat>
          <c:val>
            <c:numRef>
              <c:f>'Curve Comparison'!$I$4:$I$238</c:f>
              <c:numCache>
                <c:formatCode>_(* #,##0.000_);_(* \(#,##0.000\);_(* \-??_);_(@_)</c:formatCode>
                <c:ptCount val="235"/>
                <c:pt idx="0">
                  <c:v>71.6629384912511</c:v>
                </c:pt>
                <c:pt idx="1">
                  <c:v>136.230572966092</c:v>
                </c:pt>
                <c:pt idx="2">
                  <c:v>111.381095115464</c:v>
                </c:pt>
                <c:pt idx="3">
                  <c:v>41.0628431302484</c:v>
                </c:pt>
                <c:pt idx="4">
                  <c:v>29.896752146244</c:v>
                </c:pt>
                <c:pt idx="5">
                  <c:v>29.9492482957363</c:v>
                </c:pt>
                <c:pt idx="6">
                  <c:v>33.01326149681</c:v>
                </c:pt>
                <c:pt idx="7">
                  <c:v>43.1935183473711</c:v>
                </c:pt>
                <c:pt idx="8">
                  <c:v>43.1935183473711</c:v>
                </c:pt>
                <c:pt idx="9">
                  <c:v>31.104955302906</c:v>
                </c:pt>
                <c:pt idx="10">
                  <c:v>29.0113164423494</c:v>
                </c:pt>
                <c:pt idx="11">
                  <c:v>33.8947042760567</c:v>
                </c:pt>
                <c:pt idx="12">
                  <c:v>68.3003613264355</c:v>
                </c:pt>
                <c:pt idx="13">
                  <c:v>126.973455326057</c:v>
                </c:pt>
                <c:pt idx="14">
                  <c:v>102.72834513781</c:v>
                </c:pt>
                <c:pt idx="15">
                  <c:v>37.7997611144692</c:v>
                </c:pt>
                <c:pt idx="16">
                  <c:v>30.807163573122</c:v>
                </c:pt>
                <c:pt idx="17">
                  <c:v>30.8393893472672</c:v>
                </c:pt>
                <c:pt idx="18">
                  <c:v>33.3449011066023</c:v>
                </c:pt>
                <c:pt idx="19">
                  <c:v>43.8679381094757</c:v>
                </c:pt>
                <c:pt idx="20">
                  <c:v>43.8679381094757</c:v>
                </c:pt>
                <c:pt idx="21">
                  <c:v>31.469822802906</c:v>
                </c:pt>
                <c:pt idx="22">
                  <c:v>29.2381889004288</c:v>
                </c:pt>
                <c:pt idx="23">
                  <c:v>33.8947042760567</c:v>
                </c:pt>
                <c:pt idx="24">
                  <c:v>67.6833752089167</c:v>
                </c:pt>
                <c:pt idx="25">
                  <c:v>124.347323799</c:v>
                </c:pt>
                <c:pt idx="26">
                  <c:v>100.273665355651</c:v>
                </c:pt>
                <c:pt idx="27">
                  <c:v>37.9152684112667</c:v>
                </c:pt>
                <c:pt idx="28">
                  <c:v>31.100844823122</c:v>
                </c:pt>
                <c:pt idx="29">
                  <c:v>31.1370955972672</c:v>
                </c:pt>
                <c:pt idx="30">
                  <c:v>33.6463920791759</c:v>
                </c:pt>
                <c:pt idx="31">
                  <c:v>44.5423578715804</c:v>
                </c:pt>
                <c:pt idx="32">
                  <c:v>44.5423578715804</c:v>
                </c:pt>
                <c:pt idx="33">
                  <c:v>31.865095927906</c:v>
                </c:pt>
                <c:pt idx="34">
                  <c:v>29.4650613585082</c:v>
                </c:pt>
                <c:pt idx="35">
                  <c:v>34.0044846947646</c:v>
                </c:pt>
                <c:pt idx="36">
                  <c:v>67.9918682676761</c:v>
                </c:pt>
                <c:pt idx="37">
                  <c:v>123.690790917236</c:v>
                </c:pt>
                <c:pt idx="38">
                  <c:v>99.6599954101109</c:v>
                </c:pt>
                <c:pt idx="39">
                  <c:v>38.2040366532604</c:v>
                </c:pt>
                <c:pt idx="40">
                  <c:v>31.394526073122</c:v>
                </c:pt>
                <c:pt idx="41">
                  <c:v>31.4348018472672</c:v>
                </c:pt>
                <c:pt idx="42">
                  <c:v>33.9478830517495</c:v>
                </c:pt>
                <c:pt idx="43">
                  <c:v>45.155466746221</c:v>
                </c:pt>
                <c:pt idx="44">
                  <c:v>45.155466746221</c:v>
                </c:pt>
                <c:pt idx="45">
                  <c:v>32.290774677906</c:v>
                </c:pt>
                <c:pt idx="46">
                  <c:v>29.8620881601471</c:v>
                </c:pt>
                <c:pt idx="47">
                  <c:v>34.3887161602422</c:v>
                </c:pt>
                <c:pt idx="48">
                  <c:v>68.6088543851949</c:v>
                </c:pt>
                <c:pt idx="49">
                  <c:v>124.019057358118</c:v>
                </c:pt>
                <c:pt idx="50">
                  <c:v>99.9668303828808</c:v>
                </c:pt>
                <c:pt idx="51">
                  <c:v>38.6083121920515</c:v>
                </c:pt>
                <c:pt idx="52">
                  <c:v>31.805679823122</c:v>
                </c:pt>
                <c:pt idx="53">
                  <c:v>31.8515905972672</c:v>
                </c:pt>
                <c:pt idx="54">
                  <c:v>34.3699704133525</c:v>
                </c:pt>
                <c:pt idx="55">
                  <c:v>45.7685756208616</c:v>
                </c:pt>
                <c:pt idx="56">
                  <c:v>45.7685756208616</c:v>
                </c:pt>
                <c:pt idx="57">
                  <c:v>32.898887177906</c:v>
                </c:pt>
                <c:pt idx="58">
                  <c:v>30.4292693053455</c:v>
                </c:pt>
                <c:pt idx="59">
                  <c:v>34.9376182537816</c:v>
                </c:pt>
                <c:pt idx="60">
                  <c:v>69.534333561473</c:v>
                </c:pt>
                <c:pt idx="61">
                  <c:v>125.660389562529</c:v>
                </c:pt>
                <c:pt idx="62">
                  <c:v>101.50100524673</c:v>
                </c:pt>
                <c:pt idx="63">
                  <c:v>39.1858486760388</c:v>
                </c:pt>
                <c:pt idx="64">
                  <c:v>32.393042323122</c:v>
                </c:pt>
                <c:pt idx="65">
                  <c:v>32.4470030972672</c:v>
                </c:pt>
                <c:pt idx="66">
                  <c:v>34.9729523584998</c:v>
                </c:pt>
                <c:pt idx="67">
                  <c:v>46.3816844955022</c:v>
                </c:pt>
                <c:pt idx="68">
                  <c:v>46.3816844955022</c:v>
                </c:pt>
                <c:pt idx="69">
                  <c:v>33.506999677906</c:v>
                </c:pt>
                <c:pt idx="70">
                  <c:v>30.9964504505439</c:v>
                </c:pt>
                <c:pt idx="71">
                  <c:v>35.7609713940906</c:v>
                </c:pt>
                <c:pt idx="72">
                  <c:v>70.7683057965106</c:v>
                </c:pt>
                <c:pt idx="73">
                  <c:v>128.614787530468</c:v>
                </c:pt>
                <c:pt idx="74">
                  <c:v>104.262520001659</c:v>
                </c:pt>
                <c:pt idx="75">
                  <c:v>39.7633851600262</c:v>
                </c:pt>
                <c:pt idx="76">
                  <c:v>32.980404823122</c:v>
                </c:pt>
                <c:pt idx="77">
                  <c:v>33.0424155972672</c:v>
                </c:pt>
                <c:pt idx="78">
                  <c:v>35.575934303647</c:v>
                </c:pt>
                <c:pt idx="79">
                  <c:v>46.9947933701428</c:v>
                </c:pt>
                <c:pt idx="80">
                  <c:v>46.9947933701428</c:v>
                </c:pt>
                <c:pt idx="81">
                  <c:v>34.115112177906</c:v>
                </c:pt>
                <c:pt idx="82">
                  <c:v>31.5636315957423</c:v>
                </c:pt>
                <c:pt idx="83">
                  <c:v>36.8587755811694</c:v>
                </c:pt>
                <c:pt idx="84">
                  <c:v>72.3107710903075</c:v>
                </c:pt>
                <c:pt idx="85">
                  <c:v>131.569185498407</c:v>
                </c:pt>
                <c:pt idx="86">
                  <c:v>107.024034756588</c:v>
                </c:pt>
                <c:pt idx="87">
                  <c:v>40.3409216440135</c:v>
                </c:pt>
                <c:pt idx="88">
                  <c:v>33.567767323122</c:v>
                </c:pt>
                <c:pt idx="89">
                  <c:v>33.6378280972672</c:v>
                </c:pt>
                <c:pt idx="90">
                  <c:v>36.1789162487942</c:v>
                </c:pt>
                <c:pt idx="91">
                  <c:v>47.6079022447834</c:v>
                </c:pt>
                <c:pt idx="92">
                  <c:v>47.6079022447834</c:v>
                </c:pt>
                <c:pt idx="93">
                  <c:v>34.723224677906</c:v>
                </c:pt>
                <c:pt idx="94">
                  <c:v>32.1308127409408</c:v>
                </c:pt>
                <c:pt idx="95">
                  <c:v>38.2310308150178</c:v>
                </c:pt>
                <c:pt idx="96">
                  <c:v>73.8532363841044</c:v>
                </c:pt>
                <c:pt idx="97">
                  <c:v>134.523583466347</c:v>
                </c:pt>
                <c:pt idx="98">
                  <c:v>109.785549511517</c:v>
                </c:pt>
                <c:pt idx="99">
                  <c:v>40.9184581280008</c:v>
                </c:pt>
                <c:pt idx="100">
                  <c:v>34.155129823122</c:v>
                </c:pt>
                <c:pt idx="101">
                  <c:v>34.2332405972672</c:v>
                </c:pt>
                <c:pt idx="102">
                  <c:v>36.7818981939414</c:v>
                </c:pt>
                <c:pt idx="103">
                  <c:v>48.221011119424</c:v>
                </c:pt>
                <c:pt idx="104">
                  <c:v>48.221011119424</c:v>
                </c:pt>
                <c:pt idx="105">
                  <c:v>35.331337177906</c:v>
                </c:pt>
                <c:pt idx="106">
                  <c:v>32.6979938861392</c:v>
                </c:pt>
                <c:pt idx="107">
                  <c:v>39.6032860488663</c:v>
                </c:pt>
                <c:pt idx="108">
                  <c:v>75.3957016779013</c:v>
                </c:pt>
                <c:pt idx="109">
                  <c:v>137.477981434286</c:v>
                </c:pt>
                <c:pt idx="110">
                  <c:v>112.547064266446</c:v>
                </c:pt>
                <c:pt idx="111">
                  <c:v>41.4959946119881</c:v>
                </c:pt>
                <c:pt idx="112">
                  <c:v>34.742492323122</c:v>
                </c:pt>
                <c:pt idx="113">
                  <c:v>34.8286530972672</c:v>
                </c:pt>
                <c:pt idx="114">
                  <c:v>37.3848801390886</c:v>
                </c:pt>
                <c:pt idx="115">
                  <c:v>48.8341199940646</c:v>
                </c:pt>
                <c:pt idx="116">
                  <c:v>48.8341199940646</c:v>
                </c:pt>
                <c:pt idx="117">
                  <c:v>35.939449677906</c:v>
                </c:pt>
                <c:pt idx="118">
                  <c:v>33.2651750313376</c:v>
                </c:pt>
                <c:pt idx="119">
                  <c:v>40.9755412827147</c:v>
                </c:pt>
                <c:pt idx="120">
                  <c:v>76.9381669716982</c:v>
                </c:pt>
                <c:pt idx="121">
                  <c:v>140.432379402225</c:v>
                </c:pt>
                <c:pt idx="122">
                  <c:v>115.308579021374</c:v>
                </c:pt>
                <c:pt idx="123">
                  <c:v>42.0735310959755</c:v>
                </c:pt>
                <c:pt idx="124">
                  <c:v>35.329854823122</c:v>
                </c:pt>
                <c:pt idx="125">
                  <c:v>35.4240655972672</c:v>
                </c:pt>
                <c:pt idx="126">
                  <c:v>37.9878620842358</c:v>
                </c:pt>
                <c:pt idx="127">
                  <c:v>49.1406744313849</c:v>
                </c:pt>
                <c:pt idx="128">
                  <c:v>49.1406744313849</c:v>
                </c:pt>
                <c:pt idx="129">
                  <c:v>36.243505927906</c:v>
                </c:pt>
                <c:pt idx="130">
                  <c:v>33.5487656039369</c:v>
                </c:pt>
                <c:pt idx="131">
                  <c:v>41.2499923294844</c:v>
                </c:pt>
                <c:pt idx="132">
                  <c:v>77.8636461479764</c:v>
                </c:pt>
                <c:pt idx="133">
                  <c:v>143.386777370165</c:v>
                </c:pt>
                <c:pt idx="134">
                  <c:v>118.070093776303</c:v>
                </c:pt>
                <c:pt idx="135">
                  <c:v>42.6510675799628</c:v>
                </c:pt>
                <c:pt idx="136">
                  <c:v>35.623536073122</c:v>
                </c:pt>
                <c:pt idx="137">
                  <c:v>35.7217718472672</c:v>
                </c:pt>
                <c:pt idx="138">
                  <c:v>38.2893530568094</c:v>
                </c:pt>
                <c:pt idx="139">
                  <c:v>49.4472288687053</c:v>
                </c:pt>
                <c:pt idx="140">
                  <c:v>49.4472288687053</c:v>
                </c:pt>
                <c:pt idx="141">
                  <c:v>36.547562177906</c:v>
                </c:pt>
                <c:pt idx="142">
                  <c:v>33.8323561765361</c:v>
                </c:pt>
                <c:pt idx="143">
                  <c:v>41.5244433762541</c:v>
                </c:pt>
                <c:pt idx="144">
                  <c:v>78.7891253242545</c:v>
                </c:pt>
                <c:pt idx="145">
                  <c:v>146.341175338104</c:v>
                </c:pt>
                <c:pt idx="146">
                  <c:v>120.831608531232</c:v>
                </c:pt>
                <c:pt idx="147">
                  <c:v>43.2286040639501</c:v>
                </c:pt>
                <c:pt idx="148">
                  <c:v>35.917217323122</c:v>
                </c:pt>
                <c:pt idx="149">
                  <c:v>36.0194780972672</c:v>
                </c:pt>
                <c:pt idx="150">
                  <c:v>38.590844029383</c:v>
                </c:pt>
                <c:pt idx="151">
                  <c:v>49.7537833060256</c:v>
                </c:pt>
                <c:pt idx="152">
                  <c:v>49.7537833060256</c:v>
                </c:pt>
                <c:pt idx="153">
                  <c:v>36.851618427906</c:v>
                </c:pt>
                <c:pt idx="154">
                  <c:v>34.1159467491353</c:v>
                </c:pt>
                <c:pt idx="155">
                  <c:v>41.7988944230238</c:v>
                </c:pt>
                <c:pt idx="156">
                  <c:v>79.7146045005327</c:v>
                </c:pt>
                <c:pt idx="157">
                  <c:v>149.295573306043</c:v>
                </c:pt>
                <c:pt idx="158">
                  <c:v>123.593123286161</c:v>
                </c:pt>
                <c:pt idx="159">
                  <c:v>43.8061405479375</c:v>
                </c:pt>
                <c:pt idx="160">
                  <c:v>36.210898573122</c:v>
                </c:pt>
                <c:pt idx="161">
                  <c:v>36.3171843472672</c:v>
                </c:pt>
                <c:pt idx="162">
                  <c:v>38.8923350019566</c:v>
                </c:pt>
                <c:pt idx="163">
                  <c:v>50.0603377433459</c:v>
                </c:pt>
                <c:pt idx="164">
                  <c:v>50.0603377433459</c:v>
                </c:pt>
                <c:pt idx="165">
                  <c:v>37.155674677906</c:v>
                </c:pt>
                <c:pt idx="166">
                  <c:v>34.3995373217345</c:v>
                </c:pt>
                <c:pt idx="167">
                  <c:v>42.0733454697935</c:v>
                </c:pt>
                <c:pt idx="168">
                  <c:v>80.6400836768109</c:v>
                </c:pt>
                <c:pt idx="169">
                  <c:v>152.249971273983</c:v>
                </c:pt>
                <c:pt idx="170">
                  <c:v>126.35463804109</c:v>
                </c:pt>
                <c:pt idx="171">
                  <c:v>44.3836770319248</c:v>
                </c:pt>
                <c:pt idx="172">
                  <c:v>36.504579823122</c:v>
                </c:pt>
                <c:pt idx="173">
                  <c:v>36.6148905972672</c:v>
                </c:pt>
                <c:pt idx="174">
                  <c:v>39.1938259745303</c:v>
                </c:pt>
                <c:pt idx="175">
                  <c:v>50.3668921806662</c:v>
                </c:pt>
                <c:pt idx="176">
                  <c:v>50.3668921806662</c:v>
                </c:pt>
                <c:pt idx="177">
                  <c:v>37.459730927906</c:v>
                </c:pt>
                <c:pt idx="178">
                  <c:v>34.6831278943337</c:v>
                </c:pt>
                <c:pt idx="179">
                  <c:v>42.3477965165632</c:v>
                </c:pt>
                <c:pt idx="180">
                  <c:v>81.565562853089</c:v>
                </c:pt>
                <c:pt idx="181">
                  <c:v>155.204369241922</c:v>
                </c:pt>
                <c:pt idx="182">
                  <c:v>129.116152796019</c:v>
                </c:pt>
                <c:pt idx="183">
                  <c:v>44.9612135159121</c:v>
                </c:pt>
                <c:pt idx="184">
                  <c:v>36.798261073122</c:v>
                </c:pt>
                <c:pt idx="185">
                  <c:v>36.9125968472672</c:v>
                </c:pt>
                <c:pt idx="186">
                  <c:v>39.4953169471039</c:v>
                </c:pt>
                <c:pt idx="187">
                  <c:v>50.6734466179865</c:v>
                </c:pt>
                <c:pt idx="188">
                  <c:v>50.6734466179865</c:v>
                </c:pt>
                <c:pt idx="189">
                  <c:v>37.763787177906</c:v>
                </c:pt>
                <c:pt idx="190">
                  <c:v>34.9667184669329</c:v>
                </c:pt>
                <c:pt idx="191">
                  <c:v>42.6222475633329</c:v>
                </c:pt>
                <c:pt idx="192">
                  <c:v>82.4910420293672</c:v>
                </c:pt>
                <c:pt idx="193">
                  <c:v>158.158767209861</c:v>
                </c:pt>
                <c:pt idx="194">
                  <c:v>131.877667550948</c:v>
                </c:pt>
                <c:pt idx="195">
                  <c:v>45.5387499998995</c:v>
                </c:pt>
                <c:pt idx="196">
                  <c:v>37.091942323122</c:v>
                </c:pt>
                <c:pt idx="197">
                  <c:v>37.2103030972672</c:v>
                </c:pt>
                <c:pt idx="198">
                  <c:v>39.7968079196775</c:v>
                </c:pt>
                <c:pt idx="199">
                  <c:v>50.9800010553068</c:v>
                </c:pt>
                <c:pt idx="200">
                  <c:v>50.9800010553068</c:v>
                </c:pt>
                <c:pt idx="201">
                  <c:v>38.067843427906</c:v>
                </c:pt>
                <c:pt idx="202">
                  <c:v>35.2503090395321</c:v>
                </c:pt>
                <c:pt idx="203">
                  <c:v>42.8966986101026</c:v>
                </c:pt>
                <c:pt idx="204">
                  <c:v>83.4165212056453</c:v>
                </c:pt>
                <c:pt idx="205">
                  <c:v>161.113165177801</c:v>
                </c:pt>
                <c:pt idx="206">
                  <c:v>134.639182305877</c:v>
                </c:pt>
                <c:pt idx="207">
                  <c:v>46.1162864838868</c:v>
                </c:pt>
                <c:pt idx="208">
                  <c:v>37.385623573122</c:v>
                </c:pt>
                <c:pt idx="209">
                  <c:v>37.5080093472672</c:v>
                </c:pt>
                <c:pt idx="210">
                  <c:v>40.0982988922511</c:v>
                </c:pt>
                <c:pt idx="211">
                  <c:v>51.2865554926271</c:v>
                </c:pt>
                <c:pt idx="212">
                  <c:v>51.2865554926271</c:v>
                </c:pt>
                <c:pt idx="213">
                  <c:v>38.371899677906</c:v>
                </c:pt>
                <c:pt idx="214">
                  <c:v>35.5338996121314</c:v>
                </c:pt>
                <c:pt idx="215">
                  <c:v>43.1711496568723</c:v>
                </c:pt>
                <c:pt idx="216">
                  <c:v>84.3420003819235</c:v>
                </c:pt>
                <c:pt idx="217">
                  <c:v>164.06756314574</c:v>
                </c:pt>
                <c:pt idx="218">
                  <c:v>137.400697060805</c:v>
                </c:pt>
                <c:pt idx="219">
                  <c:v>46.1162864838868</c:v>
                </c:pt>
                <c:pt idx="220">
                  <c:v>37.385623573122</c:v>
                </c:pt>
                <c:pt idx="221">
                  <c:v>37.5080093472672</c:v>
                </c:pt>
                <c:pt idx="222">
                  <c:v>40.0982988922511</c:v>
                </c:pt>
                <c:pt idx="223">
                  <c:v>51.2865554926271</c:v>
                </c:pt>
                <c:pt idx="224">
                  <c:v>51.2865554926271</c:v>
                </c:pt>
                <c:pt idx="225">
                  <c:v>38.371899677906</c:v>
                </c:pt>
                <c:pt idx="226">
                  <c:v>35.5338996121314</c:v>
                </c:pt>
                <c:pt idx="227">
                  <c:v>43.1711496568723</c:v>
                </c:pt>
                <c:pt idx="228">
                  <c:v>84.3420003819235</c:v>
                </c:pt>
                <c:pt idx="229">
                  <c:v>164.06756314574</c:v>
                </c:pt>
                <c:pt idx="230">
                  <c:v>137.400697060805</c:v>
                </c:pt>
                <c:pt idx="231">
                  <c:v>46.1162864838868</c:v>
                </c:pt>
                <c:pt idx="232">
                  <c:v>37.385623573122</c:v>
                </c:pt>
                <c:pt idx="233">
                  <c:v>37.5080093472672</c:v>
                </c:pt>
                <c:pt idx="234">
                  <c:v>40.0982988922511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8165804"/>
        <c:axId val="31486731"/>
      </c:lineChart>
      <c:catAx>
        <c:axId val="98165804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486731"/>
        <c:crossesAt val="0"/>
        <c:auto val="1"/>
        <c:lblAlgn val="ctr"/>
        <c:lblOffset val="100"/>
        <c:noMultiLvlLbl val="0"/>
      </c:catAx>
      <c:valAx>
        <c:axId val="3148673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.000_);_(* \(#,##0.0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16580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563040</xdr:colOff>
      <xdr:row>43</xdr:row>
      <xdr:rowOff>28800</xdr:rowOff>
    </xdr:from>
    <xdr:to>
      <xdr:col>15</xdr:col>
      <xdr:colOff>383400</xdr:colOff>
      <xdr:row>44</xdr:row>
      <xdr:rowOff>104400</xdr:rowOff>
    </xdr:to>
    <xdr:sp>
      <xdr:nvSpPr>
        <xdr:cNvPr id="2" name="Text 3"/>
        <xdr:cNvSpPr/>
      </xdr:nvSpPr>
      <xdr:spPr>
        <a:xfrm>
          <a:off x="9326160" y="7134480"/>
          <a:ext cx="825480" cy="246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400" strike="noStrike" u="none">
              <a:effectLst/>
              <a:uFillTx/>
              <a:latin typeface="Arial Narrow"/>
            </a:rPr>
            <a:t>Project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0</xdr:colOff>
      <xdr:row>39</xdr:row>
      <xdr:rowOff>0</xdr:rowOff>
    </xdr:from>
    <xdr:to>
      <xdr:col>12</xdr:col>
      <xdr:colOff>856440</xdr:colOff>
      <xdr:row>39</xdr:row>
      <xdr:rowOff>0</xdr:rowOff>
    </xdr:to>
    <xdr:sp>
      <xdr:nvSpPr>
        <xdr:cNvPr id="3" name="Line 5"/>
        <xdr:cNvSpPr/>
      </xdr:nvSpPr>
      <xdr:spPr>
        <a:xfrm>
          <a:off x="6308640" y="6448320"/>
          <a:ext cx="244512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45</xdr:row>
      <xdr:rowOff>0</xdr:rowOff>
    </xdr:from>
    <xdr:to>
      <xdr:col>12</xdr:col>
      <xdr:colOff>856440</xdr:colOff>
      <xdr:row>45</xdr:row>
      <xdr:rowOff>0</xdr:rowOff>
    </xdr:to>
    <xdr:sp>
      <xdr:nvSpPr>
        <xdr:cNvPr id="4" name="Line 7"/>
        <xdr:cNvSpPr/>
      </xdr:nvSpPr>
      <xdr:spPr>
        <a:xfrm>
          <a:off x="6308640" y="7448400"/>
          <a:ext cx="244512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49</xdr:row>
      <xdr:rowOff>0</xdr:rowOff>
    </xdr:from>
    <xdr:to>
      <xdr:col>12</xdr:col>
      <xdr:colOff>856440</xdr:colOff>
      <xdr:row>49</xdr:row>
      <xdr:rowOff>0</xdr:rowOff>
    </xdr:to>
    <xdr:sp>
      <xdr:nvSpPr>
        <xdr:cNvPr id="5" name="Line 8"/>
        <xdr:cNvSpPr/>
      </xdr:nvSpPr>
      <xdr:spPr>
        <a:xfrm flipH="1">
          <a:off x="6308640" y="8105760"/>
          <a:ext cx="244512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120600</xdr:colOff>
      <xdr:row>45</xdr:row>
      <xdr:rowOff>142920</xdr:rowOff>
    </xdr:from>
    <xdr:to>
      <xdr:col>8</xdr:col>
      <xdr:colOff>695160</xdr:colOff>
      <xdr:row>48</xdr:row>
      <xdr:rowOff>124200</xdr:rowOff>
    </xdr:to>
    <xdr:sp>
      <xdr:nvSpPr>
        <xdr:cNvPr id="6" name="Text 9"/>
        <xdr:cNvSpPr/>
      </xdr:nvSpPr>
      <xdr:spPr>
        <a:xfrm>
          <a:off x="4809600" y="7591320"/>
          <a:ext cx="1288800" cy="467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effectLst/>
              <a:uFillTx/>
              <a:latin typeface="Arial Narrow"/>
            </a:rPr>
            <a:t>EPMI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 Narrow"/>
            </a:rPr>
            <a:t>Financial Sell Contract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110880</xdr:colOff>
      <xdr:row>39</xdr:row>
      <xdr:rowOff>142920</xdr:rowOff>
    </xdr:from>
    <xdr:to>
      <xdr:col>8</xdr:col>
      <xdr:colOff>695160</xdr:colOff>
      <xdr:row>42</xdr:row>
      <xdr:rowOff>124200</xdr:rowOff>
    </xdr:to>
    <xdr:sp>
      <xdr:nvSpPr>
        <xdr:cNvPr id="7" name="Text 10"/>
        <xdr:cNvSpPr/>
      </xdr:nvSpPr>
      <xdr:spPr>
        <a:xfrm>
          <a:off x="4799880" y="6591240"/>
          <a:ext cx="1298520" cy="467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pPr algn="ctr"/>
          <a:r>
            <a:rPr b="1" lang="en-US" sz="1000" strike="noStrike" u="none">
              <a:effectLst/>
              <a:uFillTx/>
              <a:latin typeface="Arial Narrow"/>
            </a:rPr>
            <a:t>EPMI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 Narrow"/>
            </a:rPr>
            <a:t>Financial Buy Contract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12</xdr:col>
      <xdr:colOff>362880</xdr:colOff>
      <xdr:row>34</xdr:row>
      <xdr:rowOff>133560</xdr:rowOff>
    </xdr:from>
    <xdr:to>
      <xdr:col>15</xdr:col>
      <xdr:colOff>977040</xdr:colOff>
      <xdr:row>36</xdr:row>
      <xdr:rowOff>105840</xdr:rowOff>
    </xdr:to>
    <xdr:sp>
      <xdr:nvSpPr>
        <xdr:cNvPr id="8" name="Text 11"/>
        <xdr:cNvSpPr/>
      </xdr:nvSpPr>
      <xdr:spPr>
        <a:xfrm>
          <a:off x="8260200" y="5753160"/>
          <a:ext cx="2485080" cy="296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1" lang="en-US" sz="900" strike="noStrike" u="none">
              <a:effectLst/>
              <a:uFillTx/>
              <a:latin typeface="Arial"/>
            </a:rPr>
            <a:t>This is the PV value of the fixed payment </a:t>
          </a:r>
          <a:endParaRPr b="0" lang="en-US" sz="900" strike="noStrike" u="none">
            <a:effectLst/>
            <a:uFillTx/>
            <a:latin typeface="Times New Roman"/>
          </a:endParaRPr>
        </a:p>
        <a:p>
          <a:r>
            <a:rPr b="1" lang="en-US" sz="900" strike="noStrike" u="none">
              <a:effectLst/>
              <a:uFillTx/>
              <a:latin typeface="Arial"/>
            </a:rPr>
            <a:t>which includes both principal and interest.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11</xdr:col>
      <xdr:colOff>452880</xdr:colOff>
      <xdr:row>35</xdr:row>
      <xdr:rowOff>124200</xdr:rowOff>
    </xdr:from>
    <xdr:to>
      <xdr:col>12</xdr:col>
      <xdr:colOff>402840</xdr:colOff>
      <xdr:row>37</xdr:row>
      <xdr:rowOff>171360</xdr:rowOff>
    </xdr:to>
    <xdr:sp>
      <xdr:nvSpPr>
        <xdr:cNvPr id="9" name="Line 14"/>
        <xdr:cNvSpPr/>
      </xdr:nvSpPr>
      <xdr:spPr>
        <a:xfrm flipH="1">
          <a:off x="7484760" y="5905800"/>
          <a:ext cx="815400" cy="3711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40320</xdr:colOff>
      <xdr:row>33</xdr:row>
      <xdr:rowOff>47160</xdr:rowOff>
    </xdr:from>
    <xdr:to>
      <xdr:col>12</xdr:col>
      <xdr:colOff>1080</xdr:colOff>
      <xdr:row>35</xdr:row>
      <xdr:rowOff>147600</xdr:rowOff>
    </xdr:to>
    <xdr:sp>
      <xdr:nvSpPr>
        <xdr:cNvPr id="10" name="Text 15"/>
        <xdr:cNvSpPr/>
      </xdr:nvSpPr>
      <xdr:spPr>
        <a:xfrm>
          <a:off x="4729320" y="5505120"/>
          <a:ext cx="3169080" cy="424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1" lang="en-US" sz="900" strike="noStrike" u="none">
              <a:effectLst/>
              <a:uFillTx/>
              <a:latin typeface="Arial"/>
            </a:rPr>
            <a:t>This is the PV value of the floating payment, calculated </a:t>
          </a:r>
          <a:endParaRPr b="0" lang="en-US" sz="900" strike="noStrike" u="none">
            <a:effectLst/>
            <a:uFillTx/>
            <a:latin typeface="Times New Roman"/>
          </a:endParaRPr>
        </a:p>
        <a:p>
          <a:r>
            <a:rPr b="1" lang="en-US" sz="900" strike="noStrike" u="none">
              <a:effectLst/>
              <a:uFillTx/>
              <a:latin typeface="Arial"/>
            </a:rPr>
            <a:t>as a monthly heat rate spread option.  The strike price</a:t>
          </a:r>
          <a:endParaRPr b="0" lang="en-US" sz="900" strike="noStrike" u="none">
            <a:effectLst/>
            <a:uFillTx/>
            <a:latin typeface="Times New Roman"/>
          </a:endParaRPr>
        </a:p>
        <a:p>
          <a:r>
            <a:rPr b="1" lang="en-US" sz="900" strike="noStrike" u="none">
              <a:effectLst/>
              <a:uFillTx/>
              <a:latin typeface="Arial"/>
            </a:rPr>
            <a:t>is equal to the fuel curve plus VOM.</a:t>
          </a:r>
          <a:endParaRPr b="0" lang="en-US" sz="9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281160</xdr:colOff>
      <xdr:row>36</xdr:row>
      <xdr:rowOff>19080</xdr:rowOff>
    </xdr:from>
    <xdr:to>
      <xdr:col>11</xdr:col>
      <xdr:colOff>162360</xdr:colOff>
      <xdr:row>41</xdr:row>
      <xdr:rowOff>133560</xdr:rowOff>
    </xdr:to>
    <xdr:sp>
      <xdr:nvSpPr>
        <xdr:cNvPr id="11" name="Line 17"/>
        <xdr:cNvSpPr/>
      </xdr:nvSpPr>
      <xdr:spPr>
        <a:xfrm>
          <a:off x="6589800" y="5962680"/>
          <a:ext cx="604440" cy="9432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43</xdr:row>
      <xdr:rowOff>0</xdr:rowOff>
    </xdr:from>
    <xdr:to>
      <xdr:col>13</xdr:col>
      <xdr:colOff>720</xdr:colOff>
      <xdr:row>43</xdr:row>
      <xdr:rowOff>0</xdr:rowOff>
    </xdr:to>
    <xdr:sp>
      <xdr:nvSpPr>
        <xdr:cNvPr id="12" name="Line 18"/>
        <xdr:cNvSpPr/>
      </xdr:nvSpPr>
      <xdr:spPr>
        <a:xfrm flipH="1">
          <a:off x="6308640" y="7105680"/>
          <a:ext cx="24552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64</xdr:col>
      <xdr:colOff>533160</xdr:colOff>
      <xdr:row>2</xdr:row>
      <xdr:rowOff>0</xdr:rowOff>
    </xdr:from>
    <xdr:to>
      <xdr:col>65</xdr:col>
      <xdr:colOff>423000</xdr:colOff>
      <xdr:row>6</xdr:row>
      <xdr:rowOff>19080</xdr:rowOff>
    </xdr:to>
    <xdr:sp>
      <xdr:nvSpPr>
        <xdr:cNvPr id="13" name="Line 482"/>
        <xdr:cNvSpPr/>
      </xdr:nvSpPr>
      <xdr:spPr>
        <a:xfrm flipH="1">
          <a:off x="37793520" y="428760"/>
          <a:ext cx="704880" cy="8665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1.v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F2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2.56"/>
    <col collapsed="false" customWidth="false" hidden="false" outlineLevel="0" max="2" min="2" style="1" width="9.14"/>
    <col collapsed="false" customWidth="true" hidden="false" outlineLevel="0" max="3" min="3" style="2" width="9.7"/>
    <col collapsed="false" customWidth="true" hidden="false" outlineLevel="0" max="4" min="4" style="1" width="14.28"/>
    <col collapsed="false" customWidth="false" hidden="false" outlineLevel="0" max="9" min="5" style="1" width="9.14"/>
    <col collapsed="false" customWidth="true" hidden="false" outlineLevel="0" max="10" min="10" style="3" width="9.41"/>
    <col collapsed="false" customWidth="false" hidden="false" outlineLevel="0" max="23" min="11" style="1" width="9.14"/>
    <col collapsed="false" customWidth="false" hidden="false" outlineLevel="0" max="24" min="24" style="4" width="9.14"/>
    <col collapsed="false" customWidth="false" hidden="false" outlineLevel="0" max="56" min="25" style="1" width="9.14"/>
    <col collapsed="false" customWidth="true" hidden="false" outlineLevel="0" max="57" min="57" style="3" width="9.41"/>
    <col collapsed="false" customWidth="false" hidden="false" outlineLevel="0" max="257" min="58" style="1" width="9.14"/>
  </cols>
  <sheetData>
    <row r="1" customFormat="false" ht="12.75" hidden="false" customHeight="false" outlineLevel="0" collapsed="false">
      <c r="A1" s="5" t="s">
        <v>0</v>
      </c>
      <c r="B1" s="5" t="s">
        <v>1</v>
      </c>
      <c r="C1" s="6"/>
      <c r="D1" s="7" t="n">
        <v>36567</v>
      </c>
      <c r="E1" s="8"/>
      <c r="I1" s="9"/>
      <c r="J1" s="10" t="n">
        <v>1</v>
      </c>
      <c r="K1" s="11" t="n">
        <f aca="false">J1+1</f>
        <v>2</v>
      </c>
      <c r="L1" s="11" t="n">
        <f aca="false">K1+1</f>
        <v>3</v>
      </c>
      <c r="M1" s="11" t="n">
        <f aca="false">L1+1</f>
        <v>4</v>
      </c>
      <c r="N1" s="11" t="n">
        <f aca="false">M1+1</f>
        <v>5</v>
      </c>
      <c r="O1" s="11" t="n">
        <f aca="false">N1+1</f>
        <v>6</v>
      </c>
      <c r="P1" s="11" t="n">
        <f aca="false">O1+1</f>
        <v>7</v>
      </c>
      <c r="Q1" s="11" t="n">
        <f aca="false">P1+1</f>
        <v>8</v>
      </c>
      <c r="R1" s="11" t="n">
        <f aca="false">Q1+1</f>
        <v>9</v>
      </c>
      <c r="S1" s="11" t="n">
        <f aca="false">R1+1</f>
        <v>10</v>
      </c>
      <c r="T1" s="11" t="n">
        <f aca="false">S1+1</f>
        <v>11</v>
      </c>
      <c r="U1" s="11" t="n">
        <f aca="false">T1+1</f>
        <v>12</v>
      </c>
      <c r="V1" s="11" t="n">
        <f aca="false">U1+1</f>
        <v>13</v>
      </c>
      <c r="W1" s="11" t="n">
        <f aca="false">V1+1</f>
        <v>14</v>
      </c>
      <c r="X1" s="11" t="n">
        <f aca="false">W1+1</f>
        <v>15</v>
      </c>
      <c r="Y1" s="11" t="n">
        <f aca="false">X1+1</f>
        <v>16</v>
      </c>
      <c r="Z1" s="11" t="n">
        <f aca="false">Y1+1</f>
        <v>17</v>
      </c>
      <c r="AA1" s="11" t="n">
        <f aca="false">Z1+1</f>
        <v>18</v>
      </c>
      <c r="AB1" s="11" t="n">
        <f aca="false">AA1+1</f>
        <v>19</v>
      </c>
      <c r="AC1" s="11" t="n">
        <f aca="false">AB1+1</f>
        <v>20</v>
      </c>
      <c r="AD1" s="11" t="n">
        <f aca="false">AC1+1</f>
        <v>21</v>
      </c>
      <c r="AE1" s="11" t="n">
        <f aca="false">AD1+1</f>
        <v>22</v>
      </c>
      <c r="AF1" s="11" t="n">
        <f aca="false">AE1+1</f>
        <v>23</v>
      </c>
      <c r="AG1" s="11" t="n">
        <f aca="false">AF1+1</f>
        <v>24</v>
      </c>
      <c r="AH1" s="11" t="n">
        <f aca="false">AG1+1</f>
        <v>25</v>
      </c>
      <c r="AI1" s="11" t="n">
        <f aca="false">AH1+1</f>
        <v>26</v>
      </c>
      <c r="AJ1" s="11" t="n">
        <f aca="false">AI1+1</f>
        <v>27</v>
      </c>
      <c r="AK1" s="11" t="n">
        <f aca="false">AJ1+1</f>
        <v>28</v>
      </c>
      <c r="AL1" s="11"/>
      <c r="AM1" s="11"/>
    </row>
    <row r="2" customFormat="false" ht="12.75" hidden="false" customHeight="false" outlineLevel="0" collapsed="false">
      <c r="A2" s="12"/>
      <c r="B2" s="13"/>
      <c r="C2" s="6"/>
      <c r="D2" s="13"/>
      <c r="E2" s="9"/>
      <c r="I2" s="9"/>
      <c r="W2" s="14" t="s">
        <v>2</v>
      </c>
      <c r="X2" s="15"/>
      <c r="Y2" s="16"/>
      <c r="AE2" s="17" t="s">
        <v>3</v>
      </c>
      <c r="AF2" s="18"/>
      <c r="AG2" s="19"/>
    </row>
    <row r="3" customFormat="false" ht="12.75" hidden="false" customHeight="false" outlineLevel="0" collapsed="false">
      <c r="A3" s="9"/>
      <c r="B3" s="20"/>
      <c r="C3" s="21" t="s">
        <v>4</v>
      </c>
      <c r="D3" s="20"/>
      <c r="E3" s="9"/>
      <c r="F3" s="9"/>
      <c r="G3" s="9" t="s">
        <v>5</v>
      </c>
      <c r="H3" s="9"/>
      <c r="I3" s="9"/>
      <c r="K3" s="9"/>
      <c r="L3" s="9" t="s">
        <v>6</v>
      </c>
      <c r="M3" s="9"/>
      <c r="N3" s="9"/>
      <c r="O3" s="9"/>
      <c r="P3" s="9" t="s">
        <v>7</v>
      </c>
      <c r="Q3" s="9"/>
      <c r="R3" s="9"/>
      <c r="S3" s="9"/>
      <c r="T3" s="9" t="s">
        <v>8</v>
      </c>
      <c r="U3" s="9"/>
      <c r="W3" s="22"/>
      <c r="X3" s="23" t="s">
        <v>9</v>
      </c>
      <c r="Y3" s="24"/>
      <c r="AA3" s="9"/>
      <c r="AB3" s="9" t="s">
        <v>10</v>
      </c>
      <c r="AC3" s="9"/>
      <c r="AE3" s="25"/>
      <c r="AF3" s="5" t="s">
        <v>9</v>
      </c>
      <c r="AG3" s="26"/>
      <c r="AI3" s="9"/>
      <c r="AJ3" s="9" t="s">
        <v>10</v>
      </c>
      <c r="AK3" s="9"/>
      <c r="AM3" s="9" t="s">
        <v>11</v>
      </c>
      <c r="AN3" s="9" t="s">
        <v>12</v>
      </c>
      <c r="BF3" s="9" t="s">
        <v>13</v>
      </c>
    </row>
    <row r="4" customFormat="false" ht="12.75" hidden="false" customHeight="false" outlineLevel="0" collapsed="false">
      <c r="A4" s="27"/>
      <c r="B4" s="28" t="s">
        <v>14</v>
      </c>
      <c r="C4" s="29" t="s">
        <v>15</v>
      </c>
      <c r="D4" s="20" t="s">
        <v>16</v>
      </c>
      <c r="E4" s="30"/>
      <c r="F4" s="13" t="s">
        <v>14</v>
      </c>
      <c r="G4" s="13" t="s">
        <v>15</v>
      </c>
      <c r="H4" s="13" t="s">
        <v>16</v>
      </c>
      <c r="I4" s="9"/>
      <c r="K4" s="31" t="s">
        <v>14</v>
      </c>
      <c r="L4" s="31" t="s">
        <v>15</v>
      </c>
      <c r="M4" s="32" t="s">
        <v>16</v>
      </c>
      <c r="N4" s="32"/>
      <c r="O4" s="31" t="s">
        <v>14</v>
      </c>
      <c r="P4" s="31" t="s">
        <v>15</v>
      </c>
      <c r="Q4" s="32" t="s">
        <v>16</v>
      </c>
      <c r="R4" s="32"/>
      <c r="S4" s="31" t="s">
        <v>14</v>
      </c>
      <c r="T4" s="31" t="s">
        <v>15</v>
      </c>
      <c r="U4" s="32" t="s">
        <v>16</v>
      </c>
      <c r="W4" s="33" t="s">
        <v>14</v>
      </c>
      <c r="X4" s="34" t="s">
        <v>15</v>
      </c>
      <c r="Y4" s="35" t="s">
        <v>16</v>
      </c>
      <c r="AA4" s="31" t="s">
        <v>14</v>
      </c>
      <c r="AB4" s="31" t="s">
        <v>15</v>
      </c>
      <c r="AC4" s="32" t="s">
        <v>16</v>
      </c>
      <c r="AE4" s="36" t="s">
        <v>14</v>
      </c>
      <c r="AF4" s="37" t="s">
        <v>15</v>
      </c>
      <c r="AG4" s="38" t="s">
        <v>16</v>
      </c>
      <c r="AI4" s="31" t="s">
        <v>14</v>
      </c>
      <c r="AJ4" s="31" t="s">
        <v>15</v>
      </c>
      <c r="AK4" s="32" t="s">
        <v>16</v>
      </c>
      <c r="AM4" s="9" t="s">
        <v>17</v>
      </c>
      <c r="AN4" s="9" t="s">
        <v>18</v>
      </c>
      <c r="AP4" s="9"/>
      <c r="AQ4" s="13" t="s">
        <v>19</v>
      </c>
      <c r="AR4" s="13" t="s">
        <v>20</v>
      </c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F4" s="9" t="s">
        <v>21</v>
      </c>
    </row>
    <row r="5" customFormat="false" ht="12.75" hidden="false" customHeight="false" outlineLevel="0" collapsed="false">
      <c r="A5" s="9"/>
      <c r="B5" s="39" t="s">
        <v>22</v>
      </c>
      <c r="C5" s="40" t="s">
        <v>22</v>
      </c>
      <c r="D5" s="39" t="s">
        <v>22</v>
      </c>
      <c r="E5" s="30"/>
      <c r="F5" s="30" t="s">
        <v>22</v>
      </c>
      <c r="G5" s="30" t="s">
        <v>22</v>
      </c>
      <c r="H5" s="30" t="s">
        <v>22</v>
      </c>
      <c r="I5" s="9"/>
      <c r="K5" s="9" t="s">
        <v>22</v>
      </c>
      <c r="L5" s="9" t="s">
        <v>22</v>
      </c>
      <c r="M5" s="9" t="s">
        <v>22</v>
      </c>
      <c r="N5" s="9"/>
      <c r="O5" s="9" t="s">
        <v>22</v>
      </c>
      <c r="P5" s="9" t="s">
        <v>22</v>
      </c>
      <c r="Q5" s="9" t="s">
        <v>22</v>
      </c>
      <c r="R5" s="9"/>
      <c r="S5" s="9" t="s">
        <v>22</v>
      </c>
      <c r="T5" s="9" t="s">
        <v>22</v>
      </c>
      <c r="U5" s="9" t="s">
        <v>22</v>
      </c>
      <c r="W5" s="9"/>
      <c r="X5" s="41"/>
      <c r="Y5" s="9"/>
      <c r="AA5" s="9"/>
      <c r="AB5" s="9"/>
      <c r="AC5" s="9"/>
      <c r="AE5" s="9"/>
      <c r="AF5" s="9"/>
      <c r="AG5" s="9"/>
      <c r="AI5" s="9"/>
      <c r="AJ5" s="9"/>
      <c r="AK5" s="9"/>
      <c r="AP5" s="32" t="s">
        <v>9</v>
      </c>
      <c r="AQ5" s="42" t="n">
        <v>800</v>
      </c>
      <c r="AR5" s="42" t="n">
        <v>2300</v>
      </c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</row>
    <row r="6" customFormat="false" ht="12.75" hidden="false" customHeight="false" outlineLevel="0" collapsed="false">
      <c r="A6" s="13" t="s">
        <v>23</v>
      </c>
      <c r="B6" s="20"/>
      <c r="C6" s="21"/>
      <c r="D6" s="20"/>
      <c r="E6" s="32"/>
      <c r="F6" s="13"/>
      <c r="G6" s="32"/>
      <c r="H6" s="32"/>
      <c r="I6" s="9"/>
      <c r="J6" s="3" t="s">
        <v>23</v>
      </c>
      <c r="AP6" s="43" t="s">
        <v>24</v>
      </c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E6" s="3" t="s">
        <v>23</v>
      </c>
    </row>
    <row r="7" customFormat="false" ht="12.75" hidden="false" customHeight="false" outlineLevel="0" collapsed="false">
      <c r="A7" s="44" t="n">
        <v>36568</v>
      </c>
      <c r="B7" s="45" t="n">
        <v>18.1849975585938</v>
      </c>
      <c r="C7" s="46" t="n">
        <v>18.6849975585938</v>
      </c>
      <c r="D7" s="45" t="n">
        <v>19.6849975585938</v>
      </c>
      <c r="E7" s="32"/>
      <c r="F7" s="47" t="n">
        <v>14.9599952697754</v>
      </c>
      <c r="G7" s="47" t="n">
        <v>15.2099952697754</v>
      </c>
      <c r="H7" s="47" t="n">
        <v>15.4599952697754</v>
      </c>
      <c r="I7" s="9"/>
      <c r="J7" s="3" t="n">
        <v>36526</v>
      </c>
      <c r="K7" s="48" t="n">
        <v>0</v>
      </c>
      <c r="L7" s="48" t="n">
        <v>0</v>
      </c>
      <c r="M7" s="48" t="n">
        <v>0</v>
      </c>
      <c r="O7" s="48" t="n">
        <v>0</v>
      </c>
      <c r="P7" s="48" t="n">
        <v>0</v>
      </c>
      <c r="Q7" s="48" t="n">
        <v>0</v>
      </c>
      <c r="S7" s="48" t="n">
        <v>0</v>
      </c>
      <c r="T7" s="48" t="n">
        <v>0</v>
      </c>
      <c r="U7" s="48" t="n">
        <v>0</v>
      </c>
      <c r="W7" s="48" t="n">
        <v>0.215</v>
      </c>
      <c r="X7" s="49" t="n">
        <v>0.43</v>
      </c>
      <c r="Y7" s="48" t="n">
        <v>0.645</v>
      </c>
      <c r="AA7" s="48" t="n">
        <v>0.035</v>
      </c>
      <c r="AB7" s="48" t="n">
        <v>0.07</v>
      </c>
      <c r="AC7" s="48" t="n">
        <v>0.105</v>
      </c>
      <c r="AE7" s="48" t="n">
        <v>-0.4</v>
      </c>
      <c r="AF7" s="49" t="n">
        <v>1.85</v>
      </c>
      <c r="AG7" s="48" t="n">
        <v>0.5</v>
      </c>
      <c r="AI7" s="48" t="n">
        <v>-0.1</v>
      </c>
      <c r="AJ7" s="48" t="n">
        <v>0.3</v>
      </c>
      <c r="AK7" s="48" t="n">
        <v>0.1</v>
      </c>
      <c r="AM7" s="9" t="n">
        <v>1</v>
      </c>
      <c r="AN7" s="50" t="n">
        <v>0</v>
      </c>
      <c r="AP7" s="51"/>
      <c r="AQ7" s="51" t="s">
        <v>25</v>
      </c>
      <c r="AR7" s="51" t="s">
        <v>26</v>
      </c>
      <c r="AS7" s="51" t="s">
        <v>27</v>
      </c>
      <c r="AT7" s="51" t="s">
        <v>28</v>
      </c>
      <c r="AU7" s="51" t="s">
        <v>29</v>
      </c>
      <c r="AV7" s="51" t="s">
        <v>30</v>
      </c>
      <c r="AW7" s="51" t="s">
        <v>31</v>
      </c>
      <c r="AX7" s="51" t="s">
        <v>32</v>
      </c>
      <c r="AY7" s="51" t="s">
        <v>33</v>
      </c>
      <c r="AZ7" s="51" t="s">
        <v>34</v>
      </c>
      <c r="BA7" s="51" t="s">
        <v>35</v>
      </c>
      <c r="BB7" s="51" t="s">
        <v>36</v>
      </c>
      <c r="BC7" s="51"/>
      <c r="BE7" s="3" t="n">
        <v>36526</v>
      </c>
      <c r="BF7" s="52" t="n">
        <v>0.9</v>
      </c>
    </row>
    <row r="8" customFormat="false" ht="12.75" hidden="false" customHeight="false" outlineLevel="0" collapsed="false">
      <c r="A8" s="44" t="n">
        <v>36569</v>
      </c>
      <c r="B8" s="45" t="n">
        <v>18.2749996185303</v>
      </c>
      <c r="C8" s="46" t="n">
        <v>18.7749996185303</v>
      </c>
      <c r="D8" s="45" t="n">
        <v>19.7749996185303</v>
      </c>
      <c r="E8" s="32"/>
      <c r="F8" s="47" t="n">
        <v>14.9599952697754</v>
      </c>
      <c r="G8" s="47" t="n">
        <v>15.2099952697754</v>
      </c>
      <c r="H8" s="47" t="n">
        <v>15.4599952697754</v>
      </c>
      <c r="I8" s="9"/>
      <c r="J8" s="3" t="n">
        <v>36557</v>
      </c>
      <c r="K8" s="48" t="n">
        <v>0</v>
      </c>
      <c r="L8" s="48" t="n">
        <v>0</v>
      </c>
      <c r="M8" s="48" t="n">
        <v>0</v>
      </c>
      <c r="O8" s="48" t="n">
        <v>0</v>
      </c>
      <c r="P8" s="48" t="n">
        <v>0</v>
      </c>
      <c r="Q8" s="48" t="n">
        <v>0</v>
      </c>
      <c r="S8" s="48" t="n">
        <v>0</v>
      </c>
      <c r="T8" s="48" t="n">
        <v>0</v>
      </c>
      <c r="U8" s="48" t="n">
        <v>0</v>
      </c>
      <c r="W8" s="48" t="n">
        <v>0.21125</v>
      </c>
      <c r="X8" s="53" t="n">
        <v>0.4225</v>
      </c>
      <c r="Y8" s="48" t="n">
        <v>0.63375</v>
      </c>
      <c r="AA8" s="48" t="n">
        <v>0.035</v>
      </c>
      <c r="AB8" s="48" t="n">
        <v>0.07</v>
      </c>
      <c r="AC8" s="48" t="n">
        <v>0.105</v>
      </c>
      <c r="AE8" s="48" t="n">
        <v>-0.4</v>
      </c>
      <c r="AF8" s="53" t="n">
        <v>1.85</v>
      </c>
      <c r="AG8" s="48" t="n">
        <v>0.5</v>
      </c>
      <c r="AI8" s="48" t="n">
        <v>-0.1</v>
      </c>
      <c r="AJ8" s="48" t="n">
        <v>0.3</v>
      </c>
      <c r="AK8" s="48" t="n">
        <v>0.1</v>
      </c>
      <c r="AM8" s="9" t="n">
        <v>1</v>
      </c>
      <c r="AN8" s="50" t="n">
        <v>0</v>
      </c>
      <c r="AP8" s="32" t="s">
        <v>37</v>
      </c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 t="s">
        <v>38</v>
      </c>
      <c r="BE8" s="3" t="n">
        <v>36557</v>
      </c>
      <c r="BF8" s="52" t="n">
        <v>0.9</v>
      </c>
    </row>
    <row r="9" customFormat="false" ht="12.75" hidden="false" customHeight="false" outlineLevel="0" collapsed="false">
      <c r="A9" s="44" t="n">
        <v>36570</v>
      </c>
      <c r="B9" s="45" t="n">
        <v>26.4949989318848</v>
      </c>
      <c r="C9" s="46" t="n">
        <v>26.9949989318848</v>
      </c>
      <c r="D9" s="45" t="n">
        <v>27.9949989318848</v>
      </c>
      <c r="E9" s="32"/>
      <c r="F9" s="47" t="n">
        <v>14.9599952697754</v>
      </c>
      <c r="G9" s="47" t="n">
        <v>15.2099952697754</v>
      </c>
      <c r="H9" s="47" t="n">
        <v>15.4599952697754</v>
      </c>
      <c r="I9" s="9"/>
      <c r="J9" s="3" t="n">
        <v>36586</v>
      </c>
      <c r="K9" s="48" t="n">
        <v>18.2375</v>
      </c>
      <c r="L9" s="48" t="n">
        <v>18.5</v>
      </c>
      <c r="M9" s="48" t="n">
        <v>18.7625</v>
      </c>
      <c r="O9" s="48" t="n">
        <v>14</v>
      </c>
      <c r="P9" s="48" t="n">
        <v>16.5</v>
      </c>
      <c r="Q9" s="48" t="n">
        <v>19</v>
      </c>
      <c r="S9" s="48" t="n">
        <v>0</v>
      </c>
      <c r="T9" s="48" t="n">
        <v>0</v>
      </c>
      <c r="U9" s="48" t="n">
        <v>0</v>
      </c>
      <c r="W9" s="48" t="n">
        <v>0.145</v>
      </c>
      <c r="X9" s="53" t="n">
        <v>0.29</v>
      </c>
      <c r="Y9" s="48" t="n">
        <v>0.435</v>
      </c>
      <c r="AA9" s="48" t="n">
        <v>0.03</v>
      </c>
      <c r="AB9" s="48" t="n">
        <v>0.06</v>
      </c>
      <c r="AC9" s="48" t="n">
        <v>0.09</v>
      </c>
      <c r="AE9" s="48" t="n">
        <v>-0.25</v>
      </c>
      <c r="AF9" s="53" t="n">
        <v>1.7</v>
      </c>
      <c r="AG9" s="48" t="n">
        <v>0.25</v>
      </c>
      <c r="AI9" s="48" t="n">
        <v>-0.1</v>
      </c>
      <c r="AJ9" s="48" t="n">
        <v>0.3</v>
      </c>
      <c r="AK9" s="48" t="n">
        <v>0.1</v>
      </c>
      <c r="AM9" s="9" t="n">
        <v>1</v>
      </c>
      <c r="AN9" s="50" t="n">
        <v>0</v>
      </c>
      <c r="AP9" s="9" t="n">
        <v>100</v>
      </c>
      <c r="AQ9" s="54" t="n">
        <v>0.840091403608595</v>
      </c>
      <c r="AR9" s="54" t="n">
        <v>0.840091403608595</v>
      </c>
      <c r="AS9" s="54" t="n">
        <v>0.880091403608595</v>
      </c>
      <c r="AT9" s="54" t="n">
        <v>0.930091403608595</v>
      </c>
      <c r="AU9" s="54" t="n">
        <v>0.994874138887982</v>
      </c>
      <c r="AV9" s="54" t="n">
        <v>1.15660153937241</v>
      </c>
      <c r="AW9" s="54" t="n">
        <v>1.11512120882705</v>
      </c>
      <c r="AX9" s="54" t="n">
        <v>1.09161161660227</v>
      </c>
      <c r="AY9" s="54" t="n">
        <v>0.996645781912536</v>
      </c>
      <c r="AZ9" s="54" t="n">
        <v>0.9495</v>
      </c>
      <c r="BA9" s="54" t="n">
        <v>0.9295</v>
      </c>
      <c r="BB9" s="54" t="n">
        <v>0.9295</v>
      </c>
      <c r="BC9" s="9" t="s">
        <v>39</v>
      </c>
      <c r="BE9" s="3" t="n">
        <v>36586</v>
      </c>
      <c r="BF9" s="52" t="n">
        <v>0.9</v>
      </c>
    </row>
    <row r="10" customFormat="false" ht="12.75" hidden="false" customHeight="false" outlineLevel="0" collapsed="false">
      <c r="A10" s="44" t="n">
        <v>36571</v>
      </c>
      <c r="B10" s="45" t="n">
        <v>25.6949996948242</v>
      </c>
      <c r="C10" s="46" t="n">
        <v>26.1949996948242</v>
      </c>
      <c r="D10" s="45" t="n">
        <v>27.1949996948242</v>
      </c>
      <c r="E10" s="32"/>
      <c r="F10" s="47" t="n">
        <v>14.9599952697754</v>
      </c>
      <c r="G10" s="47" t="n">
        <v>15.2099952697754</v>
      </c>
      <c r="H10" s="47" t="n">
        <v>15.4599952697754</v>
      </c>
      <c r="I10" s="9"/>
      <c r="J10" s="3" t="n">
        <v>36617</v>
      </c>
      <c r="K10" s="48" t="n">
        <v>17.3549991607666</v>
      </c>
      <c r="L10" s="48" t="n">
        <v>17.5049991607666</v>
      </c>
      <c r="M10" s="48" t="n">
        <v>17.6549991607666</v>
      </c>
      <c r="O10" s="48" t="n">
        <v>13.5037498474121</v>
      </c>
      <c r="P10" s="48" t="n">
        <v>16.0037498474121</v>
      </c>
      <c r="Q10" s="48" t="n">
        <v>18.5037498474121</v>
      </c>
      <c r="S10" s="48" t="n">
        <v>0</v>
      </c>
      <c r="T10" s="48" t="n">
        <v>0</v>
      </c>
      <c r="U10" s="48" t="n">
        <v>0</v>
      </c>
      <c r="W10" s="48" t="n">
        <v>0.14</v>
      </c>
      <c r="X10" s="53" t="n">
        <v>0.28</v>
      </c>
      <c r="Y10" s="48" t="n">
        <v>0.42</v>
      </c>
      <c r="AA10" s="48" t="n">
        <v>0.03</v>
      </c>
      <c r="AB10" s="48" t="n">
        <v>0.06</v>
      </c>
      <c r="AC10" s="48" t="n">
        <v>0.09</v>
      </c>
      <c r="AE10" s="48" t="n">
        <v>-0.25</v>
      </c>
      <c r="AF10" s="53" t="n">
        <v>1.75</v>
      </c>
      <c r="AG10" s="48" t="n">
        <v>0.25</v>
      </c>
      <c r="AI10" s="48" t="n">
        <v>-0.1</v>
      </c>
      <c r="AJ10" s="48" t="n">
        <v>0.3</v>
      </c>
      <c r="AK10" s="48" t="n">
        <v>0.1</v>
      </c>
      <c r="AM10" s="9" t="n">
        <v>2</v>
      </c>
      <c r="AN10" s="50" t="n">
        <v>0</v>
      </c>
      <c r="AP10" s="9" t="n">
        <v>200</v>
      </c>
      <c r="AQ10" s="54" t="n">
        <v>0.822165459676005</v>
      </c>
      <c r="AR10" s="54" t="n">
        <v>0.822165459676005</v>
      </c>
      <c r="AS10" s="54" t="n">
        <v>0.832165459676005</v>
      </c>
      <c r="AT10" s="54" t="n">
        <v>0.882165459676005</v>
      </c>
      <c r="AU10" s="54" t="n">
        <v>0.896144177087074</v>
      </c>
      <c r="AV10" s="54" t="n">
        <v>0.958259325044405</v>
      </c>
      <c r="AW10" s="54" t="n">
        <v>1.01858897706272</v>
      </c>
      <c r="AX10" s="54" t="n">
        <v>0.985416926336782</v>
      </c>
      <c r="AY10" s="54" t="n">
        <v>0.874375039554458</v>
      </c>
      <c r="AZ10" s="54" t="n">
        <v>0.9012</v>
      </c>
      <c r="BA10" s="54" t="n">
        <v>0.8812</v>
      </c>
      <c r="BB10" s="54" t="n">
        <v>0.8812</v>
      </c>
      <c r="BC10" s="9" t="s">
        <v>39</v>
      </c>
      <c r="BE10" s="3" t="n">
        <v>36617</v>
      </c>
      <c r="BF10" s="52" t="n">
        <v>0.9</v>
      </c>
    </row>
    <row r="11" customFormat="false" ht="12.75" hidden="false" customHeight="false" outlineLevel="0" collapsed="false">
      <c r="A11" s="44" t="n">
        <v>36572</v>
      </c>
      <c r="B11" s="45" t="n">
        <v>25.6949996948242</v>
      </c>
      <c r="C11" s="46" t="n">
        <v>26.1949996948242</v>
      </c>
      <c r="D11" s="45" t="n">
        <v>27.1949996948242</v>
      </c>
      <c r="E11" s="32"/>
      <c r="F11" s="47" t="n">
        <v>14.9599952697754</v>
      </c>
      <c r="G11" s="47" t="n">
        <v>15.2099952697754</v>
      </c>
      <c r="H11" s="47" t="n">
        <v>15.4599952697754</v>
      </c>
      <c r="I11" s="9"/>
      <c r="J11" s="3" t="n">
        <v>36647</v>
      </c>
      <c r="K11" s="48" t="n">
        <v>21.125</v>
      </c>
      <c r="L11" s="48" t="n">
        <v>21.5</v>
      </c>
      <c r="M11" s="48" t="n">
        <v>21.875</v>
      </c>
      <c r="O11" s="48" t="n">
        <v>18</v>
      </c>
      <c r="P11" s="48" t="n">
        <v>20.5</v>
      </c>
      <c r="Q11" s="48" t="n">
        <v>23</v>
      </c>
      <c r="S11" s="48" t="n">
        <v>0</v>
      </c>
      <c r="T11" s="48" t="n">
        <v>0</v>
      </c>
      <c r="U11" s="48" t="n">
        <v>0</v>
      </c>
      <c r="W11" s="48" t="n">
        <v>0.18875</v>
      </c>
      <c r="X11" s="53" t="n">
        <v>0.3775</v>
      </c>
      <c r="Y11" s="48" t="n">
        <v>0.56625</v>
      </c>
      <c r="AA11" s="48" t="n">
        <v>0.03</v>
      </c>
      <c r="AB11" s="48" t="n">
        <v>0.06</v>
      </c>
      <c r="AC11" s="48" t="n">
        <v>0.09</v>
      </c>
      <c r="AE11" s="48" t="n">
        <v>-0.25</v>
      </c>
      <c r="AF11" s="53" t="n">
        <v>2.25</v>
      </c>
      <c r="AG11" s="48" t="n">
        <v>0.25</v>
      </c>
      <c r="AI11" s="48" t="n">
        <v>-0.1</v>
      </c>
      <c r="AJ11" s="48" t="n">
        <v>0.3</v>
      </c>
      <c r="AK11" s="48" t="n">
        <v>0.1</v>
      </c>
      <c r="AM11" s="9" t="n">
        <v>2</v>
      </c>
      <c r="AN11" s="50" t="n">
        <v>0</v>
      </c>
      <c r="AP11" s="9" t="n">
        <v>300</v>
      </c>
      <c r="AQ11" s="54" t="n">
        <v>0.746699835535835</v>
      </c>
      <c r="AR11" s="54" t="n">
        <v>0.746699835535835</v>
      </c>
      <c r="AS11" s="54" t="n">
        <v>0.796699835535835</v>
      </c>
      <c r="AT11" s="54" t="n">
        <v>0.846699835535835</v>
      </c>
      <c r="AU11" s="54" t="n">
        <v>0.848085148062294</v>
      </c>
      <c r="AV11" s="54" t="n">
        <v>0.80550621669627</v>
      </c>
      <c r="AW11" s="54" t="n">
        <v>0.970540276116969</v>
      </c>
      <c r="AX11" s="54" t="n">
        <v>0.884955752212389</v>
      </c>
      <c r="AY11" s="54" t="n">
        <v>0.819948104550344</v>
      </c>
      <c r="AZ11" s="54" t="n">
        <v>0.8657</v>
      </c>
      <c r="BA11" s="54" t="n">
        <v>0.8457</v>
      </c>
      <c r="BB11" s="54" t="n">
        <v>0.8457</v>
      </c>
      <c r="BC11" s="9" t="s">
        <v>39</v>
      </c>
      <c r="BE11" s="3" t="n">
        <v>36647</v>
      </c>
      <c r="BF11" s="52" t="n">
        <v>0.9</v>
      </c>
    </row>
    <row r="12" customFormat="false" ht="12.75" hidden="false" customHeight="false" outlineLevel="0" collapsed="false">
      <c r="A12" s="44" t="n">
        <v>36573</v>
      </c>
      <c r="B12" s="45" t="n">
        <v>25.6949996948242</v>
      </c>
      <c r="C12" s="46" t="n">
        <v>26.1949996948242</v>
      </c>
      <c r="D12" s="45" t="n">
        <v>27.1949996948242</v>
      </c>
      <c r="E12" s="32"/>
      <c r="F12" s="47" t="n">
        <v>14.9599952697754</v>
      </c>
      <c r="G12" s="47" t="n">
        <v>15.2099952697754</v>
      </c>
      <c r="H12" s="47" t="n">
        <v>15.4599952697754</v>
      </c>
      <c r="I12" s="9"/>
      <c r="J12" s="3" t="n">
        <v>36678</v>
      </c>
      <c r="K12" s="48" t="n">
        <v>21.375</v>
      </c>
      <c r="L12" s="48" t="n">
        <v>22.5</v>
      </c>
      <c r="M12" s="48" t="n">
        <v>23.625</v>
      </c>
      <c r="O12" s="48" t="n">
        <v>16</v>
      </c>
      <c r="P12" s="48" t="n">
        <v>18.5</v>
      </c>
      <c r="Q12" s="48" t="n">
        <v>21</v>
      </c>
      <c r="S12" s="48" t="n">
        <v>0</v>
      </c>
      <c r="T12" s="48" t="n">
        <v>0</v>
      </c>
      <c r="U12" s="48" t="n">
        <v>0</v>
      </c>
      <c r="W12" s="48" t="n">
        <v>0.21425</v>
      </c>
      <c r="X12" s="53" t="n">
        <v>0.4285</v>
      </c>
      <c r="Y12" s="48" t="n">
        <v>0.64275</v>
      </c>
      <c r="AA12" s="48" t="n">
        <v>0.03</v>
      </c>
      <c r="AB12" s="48" t="n">
        <v>0.06</v>
      </c>
      <c r="AC12" s="48" t="n">
        <v>0.09</v>
      </c>
      <c r="AE12" s="48" t="n">
        <v>-0.75</v>
      </c>
      <c r="AF12" s="53" t="n">
        <v>2.9</v>
      </c>
      <c r="AG12" s="48" t="n">
        <v>0.75</v>
      </c>
      <c r="AI12" s="48" t="n">
        <v>-0.1</v>
      </c>
      <c r="AJ12" s="48" t="n">
        <v>0.3</v>
      </c>
      <c r="AK12" s="48" t="n">
        <v>0.1</v>
      </c>
      <c r="AM12" s="9" t="n">
        <v>2</v>
      </c>
      <c r="AN12" s="50" t="n">
        <v>0</v>
      </c>
      <c r="AP12" s="9" t="n">
        <v>400</v>
      </c>
      <c r="AQ12" s="54" t="n">
        <v>0.7462</v>
      </c>
      <c r="AR12" s="54" t="n">
        <v>0.7462</v>
      </c>
      <c r="AS12" s="54" t="n">
        <v>0.797199950847743</v>
      </c>
      <c r="AT12" s="54" t="n">
        <v>0.847199950847743</v>
      </c>
      <c r="AU12" s="54" t="n">
        <v>0.822227300923961</v>
      </c>
      <c r="AV12" s="54" t="n">
        <v>0.747779751332149</v>
      </c>
      <c r="AW12" s="54" t="n">
        <v>0.874008044352647</v>
      </c>
      <c r="AX12" s="54" t="n">
        <v>0.832606257011093</v>
      </c>
      <c r="AY12" s="54" t="n">
        <v>0.832099234225682</v>
      </c>
      <c r="AZ12" s="54" t="n">
        <v>0.8662</v>
      </c>
      <c r="BA12" s="54" t="n">
        <v>0.8462</v>
      </c>
      <c r="BB12" s="54" t="n">
        <v>0.8462</v>
      </c>
      <c r="BC12" s="9" t="s">
        <v>39</v>
      </c>
      <c r="BE12" s="3" t="n">
        <v>36678</v>
      </c>
      <c r="BF12" s="52" t="n">
        <v>0.9</v>
      </c>
    </row>
    <row r="13" customFormat="false" ht="12.75" hidden="false" customHeight="false" outlineLevel="0" collapsed="false">
      <c r="A13" s="44" t="n">
        <v>36574</v>
      </c>
      <c r="B13" s="45" t="n">
        <v>25.6949996948242</v>
      </c>
      <c r="C13" s="46" t="n">
        <v>26.1949996948242</v>
      </c>
      <c r="D13" s="45" t="n">
        <v>27.1949996948242</v>
      </c>
      <c r="E13" s="32"/>
      <c r="F13" s="47" t="n">
        <v>14.9599952697754</v>
      </c>
      <c r="G13" s="47" t="n">
        <v>15.2099952697754</v>
      </c>
      <c r="H13" s="47" t="n">
        <v>15.4599952697754</v>
      </c>
      <c r="I13" s="9"/>
      <c r="J13" s="3" t="n">
        <v>36708</v>
      </c>
      <c r="K13" s="48" t="n">
        <v>30.622501373291</v>
      </c>
      <c r="L13" s="48" t="n">
        <v>32.497501373291</v>
      </c>
      <c r="M13" s="48" t="n">
        <v>34.372501373291</v>
      </c>
      <c r="O13" s="48" t="n">
        <v>25.002498626709</v>
      </c>
      <c r="P13" s="48" t="n">
        <v>27.502498626709</v>
      </c>
      <c r="Q13" s="48" t="n">
        <v>30.002498626709</v>
      </c>
      <c r="S13" s="48" t="n">
        <v>0</v>
      </c>
      <c r="T13" s="48" t="n">
        <v>0</v>
      </c>
      <c r="U13" s="48" t="n">
        <v>0</v>
      </c>
      <c r="W13" s="48" t="n">
        <v>0.275</v>
      </c>
      <c r="X13" s="53" t="n">
        <v>0.55</v>
      </c>
      <c r="Y13" s="48" t="n">
        <v>0.825</v>
      </c>
      <c r="AA13" s="48" t="n">
        <v>0.03</v>
      </c>
      <c r="AB13" s="48" t="n">
        <v>0.06</v>
      </c>
      <c r="AC13" s="48" t="n">
        <v>0.09</v>
      </c>
      <c r="AE13" s="48" t="n">
        <v>-1</v>
      </c>
      <c r="AF13" s="53" t="n">
        <v>4.5</v>
      </c>
      <c r="AG13" s="48" t="n">
        <v>1</v>
      </c>
      <c r="AI13" s="48" t="n">
        <v>-0.1</v>
      </c>
      <c r="AJ13" s="48" t="n">
        <v>0.3</v>
      </c>
      <c r="AK13" s="48" t="n">
        <v>0.1</v>
      </c>
      <c r="AM13" s="9" t="n">
        <v>3</v>
      </c>
      <c r="AN13" s="50" t="n">
        <v>0.1</v>
      </c>
      <c r="AP13" s="9" t="n">
        <v>500</v>
      </c>
      <c r="AQ13" s="54" t="n">
        <v>0.7665</v>
      </c>
      <c r="AR13" s="54" t="n">
        <v>0.7665</v>
      </c>
      <c r="AS13" s="54" t="n">
        <v>0.857490447810899</v>
      </c>
      <c r="AT13" s="54" t="n">
        <v>0.907490447810899</v>
      </c>
      <c r="AU13" s="54" t="n">
        <v>0.890136798458977</v>
      </c>
      <c r="AV13" s="54" t="n">
        <v>0.811130846654825</v>
      </c>
      <c r="AW13" s="54" t="n">
        <v>0.829655397325796</v>
      </c>
      <c r="AX13" s="54" t="n">
        <v>0.864265237442353</v>
      </c>
      <c r="AY13" s="54" t="n">
        <v>0.898424150370229</v>
      </c>
      <c r="AZ13" s="54" t="n">
        <v>0.9265</v>
      </c>
      <c r="BA13" s="54" t="n">
        <v>0.9065</v>
      </c>
      <c r="BB13" s="54" t="n">
        <v>0.9065</v>
      </c>
      <c r="BC13" s="9" t="s">
        <v>39</v>
      </c>
      <c r="BE13" s="3" t="n">
        <v>36708</v>
      </c>
      <c r="BF13" s="52" t="n">
        <v>0.9</v>
      </c>
    </row>
    <row r="14" customFormat="false" ht="12.75" hidden="false" customHeight="false" outlineLevel="0" collapsed="false">
      <c r="A14" s="44" t="n">
        <v>36575</v>
      </c>
      <c r="B14" s="45" t="n">
        <v>18.1749992370605</v>
      </c>
      <c r="C14" s="46" t="n">
        <v>18.6749992370605</v>
      </c>
      <c r="D14" s="45" t="n">
        <v>19.6749992370605</v>
      </c>
      <c r="E14" s="32"/>
      <c r="F14" s="47" t="n">
        <v>14.9599952697754</v>
      </c>
      <c r="G14" s="47" t="n">
        <v>15.2099952697754</v>
      </c>
      <c r="H14" s="47" t="n">
        <v>15.4599952697754</v>
      </c>
      <c r="I14" s="9"/>
      <c r="J14" s="3" t="n">
        <v>36739</v>
      </c>
      <c r="K14" s="48" t="n">
        <v>30.622501373291</v>
      </c>
      <c r="L14" s="48" t="n">
        <v>32.497501373291</v>
      </c>
      <c r="M14" s="48" t="n">
        <v>34.372501373291</v>
      </c>
      <c r="O14" s="48" t="n">
        <v>25</v>
      </c>
      <c r="P14" s="48" t="n">
        <v>27.5</v>
      </c>
      <c r="Q14" s="48" t="n">
        <v>30</v>
      </c>
      <c r="S14" s="48" t="n">
        <v>0</v>
      </c>
      <c r="T14" s="48" t="n">
        <v>0</v>
      </c>
      <c r="U14" s="48" t="n">
        <v>0</v>
      </c>
      <c r="W14" s="48" t="n">
        <v>0.26</v>
      </c>
      <c r="X14" s="53" t="n">
        <v>0.52</v>
      </c>
      <c r="Y14" s="48" t="n">
        <v>0.78</v>
      </c>
      <c r="AA14" s="48" t="n">
        <v>0.03</v>
      </c>
      <c r="AB14" s="48" t="n">
        <v>0.06</v>
      </c>
      <c r="AC14" s="48" t="n">
        <v>0.09</v>
      </c>
      <c r="AE14" s="48" t="n">
        <v>-1</v>
      </c>
      <c r="AF14" s="53" t="n">
        <v>4.5</v>
      </c>
      <c r="AG14" s="48" t="n">
        <v>1</v>
      </c>
      <c r="AI14" s="48" t="n">
        <v>-0.1</v>
      </c>
      <c r="AJ14" s="48" t="n">
        <v>0.3</v>
      </c>
      <c r="AK14" s="48" t="n">
        <v>0.1</v>
      </c>
      <c r="AM14" s="9" t="n">
        <v>3</v>
      </c>
      <c r="AN14" s="50" t="n">
        <v>0.1</v>
      </c>
      <c r="AP14" s="9" t="n">
        <v>600</v>
      </c>
      <c r="AQ14" s="54" t="n">
        <v>0.8234</v>
      </c>
      <c r="AR14" s="54" t="n">
        <v>0.8234</v>
      </c>
      <c r="AS14" s="54" t="n">
        <v>0.99535202187632</v>
      </c>
      <c r="AT14" s="54" t="n">
        <v>1.04535202187632</v>
      </c>
      <c r="AU14" s="54" t="n">
        <v>1.07923863005648</v>
      </c>
      <c r="AV14" s="54" t="n">
        <v>0.98963883955003</v>
      </c>
      <c r="AW14" s="54" t="n">
        <v>0.914664637460593</v>
      </c>
      <c r="AX14" s="54" t="n">
        <v>0.960239311978063</v>
      </c>
      <c r="AY14" s="54" t="n">
        <v>1.03968103284602</v>
      </c>
      <c r="AZ14" s="54" t="n">
        <v>1.0644</v>
      </c>
      <c r="BA14" s="54" t="n">
        <v>1.0444</v>
      </c>
      <c r="BB14" s="54" t="n">
        <v>1.0444</v>
      </c>
      <c r="BC14" s="9" t="s">
        <v>39</v>
      </c>
      <c r="BE14" s="3" t="n">
        <v>36739</v>
      </c>
      <c r="BF14" s="52" t="n">
        <v>0.9</v>
      </c>
    </row>
    <row r="15" customFormat="false" ht="12.75" hidden="false" customHeight="false" outlineLevel="0" collapsed="false">
      <c r="A15" s="44" t="n">
        <v>36576</v>
      </c>
      <c r="B15" s="45" t="n">
        <v>18.2749996185303</v>
      </c>
      <c r="C15" s="46" t="n">
        <v>18.7749996185303</v>
      </c>
      <c r="D15" s="45" t="n">
        <v>19.7749996185303</v>
      </c>
      <c r="E15" s="32"/>
      <c r="F15" s="47" t="n">
        <v>14.9599952697754</v>
      </c>
      <c r="G15" s="47" t="n">
        <v>15.2099952697754</v>
      </c>
      <c r="H15" s="47" t="n">
        <v>15.4599952697754</v>
      </c>
      <c r="I15" s="9"/>
      <c r="J15" s="3" t="n">
        <v>36770</v>
      </c>
      <c r="K15" s="48" t="n">
        <v>17.5549991607666</v>
      </c>
      <c r="L15" s="48" t="n">
        <v>18.0049991607666</v>
      </c>
      <c r="M15" s="48" t="n">
        <v>18.4549991607666</v>
      </c>
      <c r="O15" s="48" t="n">
        <v>17</v>
      </c>
      <c r="P15" s="48" t="n">
        <v>19.5</v>
      </c>
      <c r="Q15" s="48" t="n">
        <v>22</v>
      </c>
      <c r="S15" s="48" t="n">
        <v>0</v>
      </c>
      <c r="T15" s="48" t="n">
        <v>0</v>
      </c>
      <c r="U15" s="48" t="n">
        <v>0</v>
      </c>
      <c r="W15" s="48" t="n">
        <v>0.16</v>
      </c>
      <c r="X15" s="53" t="n">
        <v>0.32</v>
      </c>
      <c r="Y15" s="48" t="n">
        <v>0.48</v>
      </c>
      <c r="AA15" s="48" t="n">
        <v>0.03</v>
      </c>
      <c r="AB15" s="48" t="n">
        <v>0.06</v>
      </c>
      <c r="AC15" s="48" t="n">
        <v>0.09</v>
      </c>
      <c r="AE15" s="48" t="n">
        <v>-0.4</v>
      </c>
      <c r="AF15" s="53" t="n">
        <v>2.3</v>
      </c>
      <c r="AG15" s="48" t="n">
        <v>0.5</v>
      </c>
      <c r="AI15" s="48" t="n">
        <v>-0.1</v>
      </c>
      <c r="AJ15" s="48" t="n">
        <v>0.3</v>
      </c>
      <c r="AK15" s="48" t="n">
        <v>0.1</v>
      </c>
      <c r="AM15" s="9" t="n">
        <v>3</v>
      </c>
      <c r="AN15" s="50" t="n">
        <v>0.1</v>
      </c>
      <c r="AP15" s="9" t="n">
        <v>700</v>
      </c>
      <c r="AQ15" s="54" t="n">
        <v>2.03</v>
      </c>
      <c r="AR15" s="54" t="n">
        <v>2.03</v>
      </c>
      <c r="AS15" s="54" t="n">
        <v>1.796</v>
      </c>
      <c r="AT15" s="54" t="n">
        <v>1.49097568120843</v>
      </c>
      <c r="AU15" s="54" t="n">
        <v>1.29132521466584</v>
      </c>
      <c r="AV15" s="54" t="n">
        <v>1.13469508584962</v>
      </c>
      <c r="AW15" s="54" t="n">
        <v>1.01576258288944</v>
      </c>
      <c r="AX15" s="54" t="n">
        <v>1.11728779758195</v>
      </c>
      <c r="AY15" s="54" t="n">
        <v>1.41383456743244</v>
      </c>
      <c r="AZ15" s="54" t="n">
        <v>1.376</v>
      </c>
      <c r="BA15" s="54" t="n">
        <v>1.496</v>
      </c>
      <c r="BB15" s="54" t="n">
        <v>1.496</v>
      </c>
      <c r="BC15" s="9" t="s">
        <v>39</v>
      </c>
      <c r="BE15" s="3" t="n">
        <v>36770</v>
      </c>
      <c r="BF15" s="52" t="n">
        <v>0.9</v>
      </c>
    </row>
    <row r="16" customFormat="false" ht="12.75" hidden="false" customHeight="false" outlineLevel="0" collapsed="false">
      <c r="A16" s="44" t="n">
        <v>36577</v>
      </c>
      <c r="B16" s="45" t="n">
        <v>26.5049991607666</v>
      </c>
      <c r="C16" s="46" t="n">
        <v>27.0049991607666</v>
      </c>
      <c r="D16" s="45" t="n">
        <v>28.0049991607666</v>
      </c>
      <c r="E16" s="32"/>
      <c r="F16" s="47" t="n">
        <v>14.9599952697754</v>
      </c>
      <c r="G16" s="47" t="n">
        <v>15.2099952697754</v>
      </c>
      <c r="H16" s="47" t="n">
        <v>15.4599952697754</v>
      </c>
      <c r="I16" s="9"/>
      <c r="J16" s="3" t="n">
        <v>36800</v>
      </c>
      <c r="K16" s="48" t="n">
        <v>17.1629997253418</v>
      </c>
      <c r="L16" s="48" t="n">
        <v>17.5004997253418</v>
      </c>
      <c r="M16" s="48" t="n">
        <v>17.8379997253418</v>
      </c>
      <c r="O16" s="48" t="n">
        <v>14.0009994506836</v>
      </c>
      <c r="P16" s="48" t="n">
        <v>16.5009994506836</v>
      </c>
      <c r="Q16" s="48" t="n">
        <v>19.0009994506836</v>
      </c>
      <c r="S16" s="48" t="n">
        <v>0</v>
      </c>
      <c r="T16" s="48" t="n">
        <v>0</v>
      </c>
      <c r="U16" s="48" t="n">
        <v>0</v>
      </c>
      <c r="W16" s="48" t="n">
        <v>0.105</v>
      </c>
      <c r="X16" s="53" t="n">
        <v>0.21</v>
      </c>
      <c r="Y16" s="48" t="n">
        <v>0.315</v>
      </c>
      <c r="AA16" s="48" t="n">
        <v>0.03</v>
      </c>
      <c r="AB16" s="48" t="n">
        <v>0.06</v>
      </c>
      <c r="AC16" s="48" t="n">
        <v>0.09</v>
      </c>
      <c r="AE16" s="48" t="n">
        <v>-0.25</v>
      </c>
      <c r="AF16" s="53" t="n">
        <v>1.5</v>
      </c>
      <c r="AG16" s="48" t="n">
        <v>0.25</v>
      </c>
      <c r="AI16" s="48" t="n">
        <v>-0.1</v>
      </c>
      <c r="AJ16" s="48" t="n">
        <v>0.3</v>
      </c>
      <c r="AK16" s="48" t="n">
        <v>0.1</v>
      </c>
      <c r="AM16" s="9" t="n">
        <v>4</v>
      </c>
      <c r="AN16" s="50" t="n">
        <v>0.1</v>
      </c>
      <c r="AP16" s="9" t="n">
        <v>800</v>
      </c>
      <c r="AQ16" s="54" t="n">
        <v>1.14588481370903</v>
      </c>
      <c r="AR16" s="54" t="n">
        <v>1.14588481370903</v>
      </c>
      <c r="AS16" s="54" t="n">
        <v>1.1359</v>
      </c>
      <c r="AT16" s="54" t="n">
        <v>1.1232726508202</v>
      </c>
      <c r="AU16" s="54" t="n">
        <v>0.952862125039631</v>
      </c>
      <c r="AV16" s="54" t="n">
        <v>0.651059011030491</v>
      </c>
      <c r="AW16" s="54" t="n">
        <v>0.586251768676944</v>
      </c>
      <c r="AX16" s="54" t="n">
        <v>0.664938573901296</v>
      </c>
      <c r="AY16" s="54" t="n">
        <v>0.777104352443558</v>
      </c>
      <c r="AZ16" s="54" t="n">
        <v>1.0615</v>
      </c>
      <c r="BA16" s="54" t="n">
        <v>1.0715</v>
      </c>
      <c r="BB16" s="54" t="n">
        <v>1.0875</v>
      </c>
      <c r="BC16" s="9" t="s">
        <v>40</v>
      </c>
      <c r="BE16" s="3" t="n">
        <v>36800</v>
      </c>
      <c r="BF16" s="52" t="n">
        <v>0.9</v>
      </c>
    </row>
    <row r="17" customFormat="false" ht="12.75" hidden="false" customHeight="false" outlineLevel="0" collapsed="false">
      <c r="A17" s="44" t="n">
        <v>36578</v>
      </c>
      <c r="B17" s="45" t="n">
        <v>25.6949996948242</v>
      </c>
      <c r="C17" s="46" t="n">
        <v>26.1949996948242</v>
      </c>
      <c r="D17" s="45" t="n">
        <v>27.1949996948242</v>
      </c>
      <c r="E17" s="32"/>
      <c r="F17" s="47" t="n">
        <v>14.9599952697754</v>
      </c>
      <c r="G17" s="47" t="n">
        <v>15.2099952697754</v>
      </c>
      <c r="H17" s="47" t="n">
        <v>15.4599952697754</v>
      </c>
      <c r="I17" s="9"/>
      <c r="J17" s="3" t="n">
        <v>36831</v>
      </c>
      <c r="K17" s="48" t="n">
        <v>18.1672512054443</v>
      </c>
      <c r="L17" s="48" t="n">
        <v>18.5047512054443</v>
      </c>
      <c r="M17" s="48" t="n">
        <v>18.8422512054443</v>
      </c>
      <c r="O17" s="48" t="n">
        <v>15.0044994354248</v>
      </c>
      <c r="P17" s="48" t="n">
        <v>17.5044994354248</v>
      </c>
      <c r="Q17" s="48" t="n">
        <v>20.0044994354248</v>
      </c>
      <c r="S17" s="48" t="n">
        <v>0</v>
      </c>
      <c r="T17" s="48" t="n">
        <v>0</v>
      </c>
      <c r="U17" s="48" t="n">
        <v>0</v>
      </c>
      <c r="W17" s="48" t="n">
        <v>0.1</v>
      </c>
      <c r="X17" s="53" t="n">
        <v>0.2</v>
      </c>
      <c r="Y17" s="48" t="n">
        <v>0.3</v>
      </c>
      <c r="AA17" s="48" t="n">
        <v>0.03</v>
      </c>
      <c r="AB17" s="48" t="n">
        <v>0.06</v>
      </c>
      <c r="AC17" s="48" t="n">
        <v>0.09</v>
      </c>
      <c r="AE17" s="48" t="n">
        <v>-0.25</v>
      </c>
      <c r="AF17" s="53" t="n">
        <v>1.5</v>
      </c>
      <c r="AG17" s="48" t="n">
        <v>0.25</v>
      </c>
      <c r="AI17" s="48" t="n">
        <v>-0.1</v>
      </c>
      <c r="AJ17" s="48" t="n">
        <v>0.3</v>
      </c>
      <c r="AK17" s="48" t="n">
        <v>0.1</v>
      </c>
      <c r="AM17" s="9" t="n">
        <v>4</v>
      </c>
      <c r="AN17" s="50" t="n">
        <v>0.1</v>
      </c>
      <c r="AP17" s="9" t="n">
        <v>900</v>
      </c>
      <c r="AQ17" s="54" t="n">
        <v>1.19981175661928</v>
      </c>
      <c r="AR17" s="54" t="n">
        <v>1.19981175661928</v>
      </c>
      <c r="AS17" s="54" t="n">
        <v>1.1898</v>
      </c>
      <c r="AT17" s="54" t="n">
        <v>1.14131544612562</v>
      </c>
      <c r="AU17" s="54" t="n">
        <v>1.04253556562382</v>
      </c>
      <c r="AV17" s="54" t="n">
        <v>0.765675460302814</v>
      </c>
      <c r="AW17" s="54" t="n">
        <v>0.647077208075963</v>
      </c>
      <c r="AX17" s="54" t="n">
        <v>0.724650652256512</v>
      </c>
      <c r="AY17" s="54" t="n">
        <v>0.759819090692693</v>
      </c>
      <c r="AZ17" s="54" t="n">
        <v>1.1326</v>
      </c>
      <c r="BA17" s="54" t="n">
        <v>1.1426</v>
      </c>
      <c r="BB17" s="54" t="n">
        <v>1.1638</v>
      </c>
      <c r="BC17" s="9" t="s">
        <v>40</v>
      </c>
      <c r="BE17" s="3" t="n">
        <v>36831</v>
      </c>
      <c r="BF17" s="52" t="n">
        <v>0.9</v>
      </c>
    </row>
    <row r="18" customFormat="false" ht="12.75" hidden="false" customHeight="false" outlineLevel="0" collapsed="false">
      <c r="A18" s="44" t="n">
        <v>36579</v>
      </c>
      <c r="B18" s="45" t="n">
        <v>25.6949996948242</v>
      </c>
      <c r="C18" s="46" t="n">
        <v>26.1949996948242</v>
      </c>
      <c r="D18" s="45" t="n">
        <v>27.1949996948242</v>
      </c>
      <c r="E18" s="32"/>
      <c r="F18" s="47" t="n">
        <v>14.9599952697754</v>
      </c>
      <c r="G18" s="47" t="n">
        <v>15.2099952697754</v>
      </c>
      <c r="H18" s="47" t="n">
        <v>15.4599952697754</v>
      </c>
      <c r="I18" s="9"/>
      <c r="J18" s="3" t="n">
        <v>36861</v>
      </c>
      <c r="K18" s="48" t="n">
        <v>19.6674991607666</v>
      </c>
      <c r="L18" s="48" t="n">
        <v>20.0049991607666</v>
      </c>
      <c r="M18" s="48" t="n">
        <v>20.3424991607666</v>
      </c>
      <c r="O18" s="48" t="n">
        <v>15</v>
      </c>
      <c r="P18" s="48" t="n">
        <v>17.5</v>
      </c>
      <c r="Q18" s="48" t="n">
        <v>20</v>
      </c>
      <c r="S18" s="48" t="n">
        <v>0</v>
      </c>
      <c r="T18" s="48" t="n">
        <v>0</v>
      </c>
      <c r="U18" s="48" t="n">
        <v>0</v>
      </c>
      <c r="W18" s="48" t="n">
        <v>0.1</v>
      </c>
      <c r="X18" s="53" t="n">
        <v>0.2</v>
      </c>
      <c r="Y18" s="48" t="n">
        <v>0.3</v>
      </c>
      <c r="AA18" s="48" t="n">
        <v>0.01</v>
      </c>
      <c r="AB18" s="48" t="n">
        <v>0.02</v>
      </c>
      <c r="AC18" s="48" t="n">
        <v>0.03</v>
      </c>
      <c r="AE18" s="48" t="n">
        <v>-0.25</v>
      </c>
      <c r="AF18" s="53" t="n">
        <v>1.5</v>
      </c>
      <c r="AG18" s="48" t="n">
        <v>0.25</v>
      </c>
      <c r="AI18" s="48" t="n">
        <v>-0.1</v>
      </c>
      <c r="AJ18" s="48" t="n">
        <v>0.3</v>
      </c>
      <c r="AK18" s="48" t="n">
        <v>0.1</v>
      </c>
      <c r="AM18" s="9" t="n">
        <v>4</v>
      </c>
      <c r="AN18" s="50" t="n">
        <v>0.1</v>
      </c>
      <c r="AP18" s="9" t="n">
        <v>1000</v>
      </c>
      <c r="AQ18" s="54" t="n">
        <v>1.19616001156207</v>
      </c>
      <c r="AR18" s="54" t="n">
        <v>1.19616001156207</v>
      </c>
      <c r="AS18" s="54" t="n">
        <v>1.1862</v>
      </c>
      <c r="AT18" s="54" t="n">
        <v>1.09378612004454</v>
      </c>
      <c r="AU18" s="54" t="n">
        <v>1.06102662180267</v>
      </c>
      <c r="AV18" s="54" t="n">
        <v>0.856402298368494</v>
      </c>
      <c r="AW18" s="54" t="n">
        <v>0.774728802868524</v>
      </c>
      <c r="AX18" s="54" t="n">
        <v>0.92931988010301</v>
      </c>
      <c r="AY18" s="54" t="n">
        <v>0.948492117261458</v>
      </c>
      <c r="AZ18" s="54" t="n">
        <v>1.1291</v>
      </c>
      <c r="BA18" s="54" t="n">
        <v>1.1352</v>
      </c>
      <c r="BB18" s="54" t="n">
        <v>1.1579</v>
      </c>
      <c r="BC18" s="9" t="s">
        <v>40</v>
      </c>
      <c r="BE18" s="3" t="n">
        <v>36861</v>
      </c>
      <c r="BF18" s="52" t="n">
        <v>0.9</v>
      </c>
    </row>
    <row r="19" customFormat="false" ht="12.75" hidden="false" customHeight="false" outlineLevel="0" collapsed="false">
      <c r="A19" s="44" t="n">
        <v>36580</v>
      </c>
      <c r="B19" s="45" t="n">
        <v>25.6949996948242</v>
      </c>
      <c r="C19" s="46" t="n">
        <v>26.1949996948242</v>
      </c>
      <c r="D19" s="45" t="n">
        <v>27.1949996948242</v>
      </c>
      <c r="E19" s="32"/>
      <c r="F19" s="47" t="n">
        <v>14.9599952697754</v>
      </c>
      <c r="G19" s="47" t="n">
        <v>15.2099952697754</v>
      </c>
      <c r="H19" s="47" t="n">
        <v>15.4599952697754</v>
      </c>
      <c r="I19" s="9"/>
      <c r="J19" s="3" t="n">
        <v>36892</v>
      </c>
      <c r="K19" s="48" t="n">
        <v>25.8487487792969</v>
      </c>
      <c r="L19" s="48" t="n">
        <v>26.4987487792969</v>
      </c>
      <c r="M19" s="48" t="n">
        <v>26.9487487792969</v>
      </c>
      <c r="O19" s="48" t="n">
        <v>22.5025005340576</v>
      </c>
      <c r="P19" s="48" t="n">
        <v>25.0025005340576</v>
      </c>
      <c r="Q19" s="48" t="n">
        <v>27.5025005340576</v>
      </c>
      <c r="S19" s="48" t="n">
        <v>0</v>
      </c>
      <c r="T19" s="48" t="n">
        <v>0</v>
      </c>
      <c r="U19" s="48" t="n">
        <v>0</v>
      </c>
      <c r="W19" s="48" t="n">
        <v>0.12</v>
      </c>
      <c r="X19" s="53" t="n">
        <v>0.24</v>
      </c>
      <c r="Y19" s="48" t="n">
        <v>0.36</v>
      </c>
      <c r="AA19" s="48" t="n">
        <v>0.01</v>
      </c>
      <c r="AB19" s="48" t="n">
        <v>0.02</v>
      </c>
      <c r="AC19" s="48" t="n">
        <v>0.03</v>
      </c>
      <c r="AE19" s="48" t="n">
        <v>-0.4</v>
      </c>
      <c r="AF19" s="53" t="n">
        <v>2.25</v>
      </c>
      <c r="AG19" s="48" t="n">
        <v>0.5</v>
      </c>
      <c r="AI19" s="48" t="n">
        <v>-0.1</v>
      </c>
      <c r="AJ19" s="48" t="n">
        <v>0.3</v>
      </c>
      <c r="AK19" s="48" t="n">
        <v>0.1</v>
      </c>
      <c r="AM19" s="9" t="n">
        <v>5</v>
      </c>
      <c r="AN19" s="50" t="n">
        <v>0.1</v>
      </c>
      <c r="AP19" s="9" t="n">
        <v>1100</v>
      </c>
      <c r="AQ19" s="54" t="n">
        <v>1.17528545047035</v>
      </c>
      <c r="AR19" s="54" t="n">
        <v>1.17528545047035</v>
      </c>
      <c r="AS19" s="54" t="n">
        <v>1.1653</v>
      </c>
      <c r="AT19" s="54" t="n">
        <v>1.11633559035934</v>
      </c>
      <c r="AU19" s="54" t="n">
        <v>1.12549986193072</v>
      </c>
      <c r="AV19" s="54" t="n">
        <v>0.985110934026758</v>
      </c>
      <c r="AW19" s="54" t="n">
        <v>0.881559731558879</v>
      </c>
      <c r="AX19" s="54" t="n">
        <v>1.04887913201334</v>
      </c>
      <c r="AY19" s="54" t="n">
        <v>1.01294563565452</v>
      </c>
      <c r="AZ19" s="54" t="n">
        <v>1.1227</v>
      </c>
      <c r="BA19" s="54" t="n">
        <v>1.1133</v>
      </c>
      <c r="BB19" s="54" t="n">
        <v>1.1327</v>
      </c>
      <c r="BC19" s="9" t="s">
        <v>40</v>
      </c>
      <c r="BE19" s="3" t="n">
        <v>36892</v>
      </c>
      <c r="BF19" s="52" t="n">
        <v>0.9</v>
      </c>
    </row>
    <row r="20" customFormat="false" ht="12.75" hidden="false" customHeight="false" outlineLevel="0" collapsed="false">
      <c r="A20" s="44" t="n">
        <v>36581</v>
      </c>
      <c r="B20" s="45" t="n">
        <v>25.6949996948242</v>
      </c>
      <c r="C20" s="46" t="n">
        <v>26.1949996948242</v>
      </c>
      <c r="D20" s="45" t="n">
        <v>27.1949996948242</v>
      </c>
      <c r="E20" s="32"/>
      <c r="F20" s="47" t="n">
        <v>14.9599952697754</v>
      </c>
      <c r="G20" s="47" t="n">
        <v>15.2099952697754</v>
      </c>
      <c r="H20" s="47" t="n">
        <v>15.4599952697754</v>
      </c>
      <c r="I20" s="9"/>
      <c r="J20" s="3" t="n">
        <v>36923</v>
      </c>
      <c r="K20" s="48" t="n">
        <v>24.8462501525879</v>
      </c>
      <c r="L20" s="48" t="n">
        <v>25.4962501525879</v>
      </c>
      <c r="M20" s="48" t="n">
        <v>25.9462501525879</v>
      </c>
      <c r="O20" s="48" t="n">
        <v>20.4974994659424</v>
      </c>
      <c r="P20" s="48" t="n">
        <v>22.9974994659424</v>
      </c>
      <c r="Q20" s="48" t="n">
        <v>25.4974994659424</v>
      </c>
      <c r="S20" s="48" t="n">
        <v>0</v>
      </c>
      <c r="T20" s="48" t="n">
        <v>0</v>
      </c>
      <c r="U20" s="48" t="n">
        <v>0</v>
      </c>
      <c r="W20" s="48" t="n">
        <v>0.12</v>
      </c>
      <c r="X20" s="53" t="n">
        <v>0.24</v>
      </c>
      <c r="Y20" s="48" t="n">
        <v>0.36</v>
      </c>
      <c r="AA20" s="48" t="n">
        <v>0.0075</v>
      </c>
      <c r="AB20" s="48" t="n">
        <v>0.015</v>
      </c>
      <c r="AC20" s="48" t="n">
        <v>0.0225</v>
      </c>
      <c r="AE20" s="48" t="n">
        <v>-0.4</v>
      </c>
      <c r="AF20" s="53" t="n">
        <v>2.25</v>
      </c>
      <c r="AG20" s="48" t="n">
        <v>0.5</v>
      </c>
      <c r="AI20" s="48" t="n">
        <v>-0.1</v>
      </c>
      <c r="AJ20" s="48" t="n">
        <v>0.3</v>
      </c>
      <c r="AK20" s="48" t="n">
        <v>0.1</v>
      </c>
      <c r="AM20" s="9" t="n">
        <v>5</v>
      </c>
      <c r="AN20" s="50" t="n">
        <v>0.1</v>
      </c>
      <c r="AP20" s="9" t="n">
        <v>1200</v>
      </c>
      <c r="AQ20" s="54" t="n">
        <v>0.8804</v>
      </c>
      <c r="AR20" s="54" t="n">
        <v>0.8804</v>
      </c>
      <c r="AS20" s="54" t="n">
        <v>0.8904</v>
      </c>
      <c r="AT20" s="54" t="n">
        <v>1.11852454679246</v>
      </c>
      <c r="AU20" s="54" t="n">
        <v>1.11699070333514</v>
      </c>
      <c r="AV20" s="54" t="n">
        <v>1.06241664220107</v>
      </c>
      <c r="AW20" s="54" t="n">
        <v>1.05394393649242</v>
      </c>
      <c r="AX20" s="54" t="n">
        <v>1.09332545278001</v>
      </c>
      <c r="AY20" s="54" t="n">
        <v>1.07930346254555</v>
      </c>
      <c r="AZ20" s="54" t="n">
        <v>0.9474</v>
      </c>
      <c r="BA20" s="54" t="n">
        <v>0.9374</v>
      </c>
      <c r="BB20" s="54" t="n">
        <v>0.9204</v>
      </c>
      <c r="BC20" s="9" t="s">
        <v>40</v>
      </c>
      <c r="BE20" s="3" t="n">
        <v>36923</v>
      </c>
      <c r="BF20" s="52" t="n">
        <v>0.9</v>
      </c>
    </row>
    <row r="21" customFormat="false" ht="12.75" hidden="false" customHeight="false" outlineLevel="0" collapsed="false">
      <c r="A21" s="44" t="n">
        <v>36582</v>
      </c>
      <c r="B21" s="45" t="n">
        <v>17.875</v>
      </c>
      <c r="C21" s="46" t="n">
        <v>18.375</v>
      </c>
      <c r="D21" s="45" t="n">
        <v>19.375</v>
      </c>
      <c r="E21" s="32"/>
      <c r="F21" s="47" t="n">
        <v>14.9599952697754</v>
      </c>
      <c r="G21" s="47" t="n">
        <v>15.2099952697754</v>
      </c>
      <c r="H21" s="47" t="n">
        <v>15.4599952697754</v>
      </c>
      <c r="I21" s="9"/>
      <c r="J21" s="3" t="n">
        <v>36951</v>
      </c>
      <c r="K21" s="48" t="n">
        <v>18.3847496032715</v>
      </c>
      <c r="L21" s="48" t="n">
        <v>18.6847496032715</v>
      </c>
      <c r="M21" s="48" t="n">
        <v>18.9847496032715</v>
      </c>
      <c r="O21" s="48" t="n">
        <v>15.8144989013672</v>
      </c>
      <c r="P21" s="48" t="n">
        <v>18.3144989013672</v>
      </c>
      <c r="Q21" s="48" t="n">
        <v>20.8144989013672</v>
      </c>
      <c r="S21" s="48" t="n">
        <v>0</v>
      </c>
      <c r="T21" s="48" t="n">
        <v>0</v>
      </c>
      <c r="U21" s="48" t="n">
        <v>0</v>
      </c>
      <c r="W21" s="48" t="n">
        <v>0.1</v>
      </c>
      <c r="X21" s="53" t="n">
        <v>0.2</v>
      </c>
      <c r="Y21" s="48" t="n">
        <v>0.3</v>
      </c>
      <c r="AA21" s="48" t="n">
        <v>0.0075</v>
      </c>
      <c r="AB21" s="48" t="n">
        <v>0.015</v>
      </c>
      <c r="AC21" s="48" t="n">
        <v>0.0225</v>
      </c>
      <c r="AE21" s="48" t="n">
        <v>-0.25</v>
      </c>
      <c r="AF21" s="53" t="n">
        <v>1.1</v>
      </c>
      <c r="AG21" s="48" t="n">
        <v>0.25</v>
      </c>
      <c r="AI21" s="48" t="n">
        <v>-0.1</v>
      </c>
      <c r="AJ21" s="48" t="n">
        <v>0.3</v>
      </c>
      <c r="AK21" s="48" t="n">
        <v>0.1</v>
      </c>
      <c r="AM21" s="9" t="n">
        <v>5</v>
      </c>
      <c r="AN21" s="50" t="n">
        <v>0.1</v>
      </c>
      <c r="AP21" s="9" t="n">
        <v>1300</v>
      </c>
      <c r="AQ21" s="54" t="n">
        <v>0.8548</v>
      </c>
      <c r="AR21" s="54" t="n">
        <v>0.8548</v>
      </c>
      <c r="AS21" s="54" t="n">
        <v>0.8648</v>
      </c>
      <c r="AT21" s="54" t="n">
        <v>1.01643226256211</v>
      </c>
      <c r="AU21" s="54" t="n">
        <v>1.05251746320709</v>
      </c>
      <c r="AV21" s="54" t="n">
        <v>1.10402214486432</v>
      </c>
      <c r="AW21" s="54" t="n">
        <v>1.16159314463658</v>
      </c>
      <c r="AX21" s="54" t="n">
        <v>1.08467935998649</v>
      </c>
      <c r="AY21" s="54" t="n">
        <v>1.02056286964642</v>
      </c>
      <c r="AZ21" s="54" t="n">
        <v>0.8899</v>
      </c>
      <c r="BA21" s="54" t="n">
        <v>0.8829</v>
      </c>
      <c r="BB21" s="54" t="n">
        <v>0.8749</v>
      </c>
      <c r="BC21" s="9" t="s">
        <v>40</v>
      </c>
      <c r="BE21" s="3" t="n">
        <v>36951</v>
      </c>
      <c r="BF21" s="52" t="n">
        <v>0.9</v>
      </c>
    </row>
    <row r="22" customFormat="false" ht="12.75" hidden="false" customHeight="false" outlineLevel="0" collapsed="false">
      <c r="A22" s="44" t="n">
        <v>36583</v>
      </c>
      <c r="B22" s="45" t="n">
        <v>17.9750003814697</v>
      </c>
      <c r="C22" s="46" t="n">
        <v>18.4750003814697</v>
      </c>
      <c r="D22" s="45" t="n">
        <v>19.4750003814697</v>
      </c>
      <c r="E22" s="32"/>
      <c r="F22" s="47" t="n">
        <v>14.9599952697754</v>
      </c>
      <c r="G22" s="47" t="n">
        <v>15.2099952697754</v>
      </c>
      <c r="H22" s="47" t="n">
        <v>15.4599952697754</v>
      </c>
      <c r="I22" s="9"/>
      <c r="J22" s="3" t="n">
        <v>36982</v>
      </c>
      <c r="K22" s="48" t="n">
        <v>19.1800003051758</v>
      </c>
      <c r="L22" s="48" t="n">
        <v>19.3675003051758</v>
      </c>
      <c r="M22" s="48" t="n">
        <v>19.5550003051758</v>
      </c>
      <c r="O22" s="48" t="n">
        <v>15.5849990844727</v>
      </c>
      <c r="P22" s="48" t="n">
        <v>18.0849990844727</v>
      </c>
      <c r="Q22" s="48" t="n">
        <v>20.5849990844727</v>
      </c>
      <c r="S22" s="48" t="n">
        <v>0</v>
      </c>
      <c r="T22" s="48" t="n">
        <v>0</v>
      </c>
      <c r="U22" s="48" t="n">
        <v>0</v>
      </c>
      <c r="W22" s="48" t="n">
        <v>0.095</v>
      </c>
      <c r="X22" s="53" t="n">
        <v>0.19</v>
      </c>
      <c r="Y22" s="48" t="n">
        <v>0.285</v>
      </c>
      <c r="AA22" s="48" t="n">
        <v>0.0075</v>
      </c>
      <c r="AB22" s="48" t="n">
        <v>0.015</v>
      </c>
      <c r="AC22" s="48" t="n">
        <v>0.0225</v>
      </c>
      <c r="AE22" s="48" t="n">
        <v>-0.25</v>
      </c>
      <c r="AF22" s="53" t="n">
        <v>1.2</v>
      </c>
      <c r="AG22" s="48" t="n">
        <v>0.25</v>
      </c>
      <c r="AI22" s="48" t="n">
        <v>-0.1</v>
      </c>
      <c r="AJ22" s="48" t="n">
        <v>0.3</v>
      </c>
      <c r="AK22" s="48" t="n">
        <v>0.1</v>
      </c>
      <c r="AM22" s="9" t="n">
        <v>6</v>
      </c>
      <c r="AN22" s="50" t="n">
        <v>0.1</v>
      </c>
      <c r="AP22" s="9" t="n">
        <v>1400</v>
      </c>
      <c r="AQ22" s="54" t="n">
        <v>0.8272</v>
      </c>
      <c r="AR22" s="54" t="n">
        <v>0.8272</v>
      </c>
      <c r="AS22" s="54" t="n">
        <v>0.8372</v>
      </c>
      <c r="AT22" s="54" t="n">
        <v>1.01752674077867</v>
      </c>
      <c r="AU22" s="54" t="n">
        <v>1.05759023083138</v>
      </c>
      <c r="AV22" s="54" t="n">
        <v>1.22092018621818</v>
      </c>
      <c r="AW22" s="54" t="n">
        <v>1.20068871854028</v>
      </c>
      <c r="AX22" s="54" t="n">
        <v>1.19072909190695</v>
      </c>
      <c r="AY22" s="54" t="n">
        <v>1.10479189936462</v>
      </c>
      <c r="AZ22" s="54" t="n">
        <v>0.8652</v>
      </c>
      <c r="BA22" s="54" t="n">
        <v>0.8592</v>
      </c>
      <c r="BB22" s="54" t="n">
        <v>0.8372</v>
      </c>
      <c r="BC22" s="9" t="s">
        <v>40</v>
      </c>
      <c r="BE22" s="3" t="n">
        <v>36982</v>
      </c>
      <c r="BF22" s="52" t="n">
        <v>0.9</v>
      </c>
    </row>
    <row r="23" customFormat="false" ht="12.75" hidden="false" customHeight="false" outlineLevel="0" collapsed="false">
      <c r="A23" s="44" t="n">
        <v>36584</v>
      </c>
      <c r="B23" s="45" t="n">
        <v>25.9750003814697</v>
      </c>
      <c r="C23" s="46" t="n">
        <v>26.4750003814697</v>
      </c>
      <c r="D23" s="45" t="n">
        <v>27.4750003814697</v>
      </c>
      <c r="E23" s="32"/>
      <c r="F23" s="47" t="n">
        <v>14.9599952697754</v>
      </c>
      <c r="G23" s="47" t="n">
        <v>15.2099952697754</v>
      </c>
      <c r="H23" s="47" t="n">
        <v>15.4599952697754</v>
      </c>
      <c r="I23" s="9"/>
      <c r="J23" s="3" t="n">
        <v>37012</v>
      </c>
      <c r="K23" s="48" t="n">
        <v>18.8825000762939</v>
      </c>
      <c r="L23" s="48" t="n">
        <v>19.4825000762939</v>
      </c>
      <c r="M23" s="48" t="n">
        <v>20.0825000762939</v>
      </c>
      <c r="O23" s="48" t="n">
        <v>16.1149997711182</v>
      </c>
      <c r="P23" s="48" t="n">
        <v>18.6149997711182</v>
      </c>
      <c r="Q23" s="48" t="n">
        <v>21.1149997711182</v>
      </c>
      <c r="S23" s="48" t="n">
        <v>0</v>
      </c>
      <c r="T23" s="48" t="n">
        <v>0</v>
      </c>
      <c r="U23" s="48" t="n">
        <v>0</v>
      </c>
      <c r="W23" s="48" t="n">
        <v>0.105</v>
      </c>
      <c r="X23" s="53" t="n">
        <v>0.21</v>
      </c>
      <c r="Y23" s="48" t="n">
        <v>0.315</v>
      </c>
      <c r="AA23" s="48" t="n">
        <v>0.0075</v>
      </c>
      <c r="AB23" s="48" t="n">
        <v>0.015</v>
      </c>
      <c r="AC23" s="48" t="n">
        <v>0.0225</v>
      </c>
      <c r="AE23" s="48" t="n">
        <v>-0.25</v>
      </c>
      <c r="AF23" s="53" t="n">
        <v>2.15</v>
      </c>
      <c r="AG23" s="48" t="n">
        <v>0.25</v>
      </c>
      <c r="AI23" s="48" t="n">
        <v>-0.1</v>
      </c>
      <c r="AJ23" s="48" t="n">
        <v>0.3</v>
      </c>
      <c r="AK23" s="48" t="n">
        <v>0.1</v>
      </c>
      <c r="AM23" s="9" t="n">
        <v>6</v>
      </c>
      <c r="AN23" s="50" t="n">
        <v>0.1</v>
      </c>
      <c r="AP23" s="9" t="n">
        <v>1500</v>
      </c>
      <c r="AQ23" s="54" t="n">
        <v>0.7851</v>
      </c>
      <c r="AR23" s="54" t="n">
        <v>0.7851</v>
      </c>
      <c r="AS23" s="54" t="n">
        <v>0.7951</v>
      </c>
      <c r="AT23" s="54" t="n">
        <v>0.954368909575779</v>
      </c>
      <c r="AU23" s="54" t="n">
        <v>1.02584452376326</v>
      </c>
      <c r="AV23" s="54" t="n">
        <v>1.23031497714214</v>
      </c>
      <c r="AW23" s="54" t="n">
        <v>1.2506946851613</v>
      </c>
      <c r="AX23" s="54" t="n">
        <v>1.26057331025457</v>
      </c>
      <c r="AY23" s="54" t="n">
        <v>1.08736015234468</v>
      </c>
      <c r="AZ23" s="54" t="n">
        <v>0.8451</v>
      </c>
      <c r="BA23" s="54" t="n">
        <v>0.8391</v>
      </c>
      <c r="BB23" s="54" t="n">
        <v>0.7951</v>
      </c>
      <c r="BC23" s="9" t="s">
        <v>40</v>
      </c>
      <c r="BE23" s="3" t="n">
        <v>37012</v>
      </c>
      <c r="BF23" s="52" t="n">
        <v>0.9</v>
      </c>
    </row>
    <row r="24" customFormat="false" ht="12.75" hidden="false" customHeight="false" outlineLevel="0" collapsed="false">
      <c r="A24" s="44" t="n">
        <v>36585</v>
      </c>
      <c r="B24" s="45" t="n">
        <v>25.9750003814697</v>
      </c>
      <c r="C24" s="46" t="n">
        <v>26.4750003814697</v>
      </c>
      <c r="D24" s="45" t="n">
        <v>27.4750003814697</v>
      </c>
      <c r="E24" s="32"/>
      <c r="F24" s="47" t="n">
        <v>14.9599952697754</v>
      </c>
      <c r="G24" s="47" t="n">
        <v>15.2099952697754</v>
      </c>
      <c r="H24" s="47" t="n">
        <v>15.4599952697754</v>
      </c>
      <c r="I24" s="9"/>
      <c r="J24" s="3" t="n">
        <v>37043</v>
      </c>
      <c r="K24" s="48" t="n">
        <v>22.3337501525879</v>
      </c>
      <c r="L24" s="48" t="n">
        <v>24.0587501525879</v>
      </c>
      <c r="M24" s="48" t="n">
        <v>25.7837501525879</v>
      </c>
      <c r="O24" s="48" t="n">
        <v>15.0424995422363</v>
      </c>
      <c r="P24" s="48" t="n">
        <v>17.5424995422363</v>
      </c>
      <c r="Q24" s="48" t="n">
        <v>20.0424995422363</v>
      </c>
      <c r="S24" s="48" t="n">
        <v>0</v>
      </c>
      <c r="T24" s="48" t="n">
        <v>0</v>
      </c>
      <c r="U24" s="48" t="n">
        <v>0</v>
      </c>
      <c r="W24" s="48" t="n">
        <v>0.135</v>
      </c>
      <c r="X24" s="53" t="n">
        <v>0.27</v>
      </c>
      <c r="Y24" s="48" t="n">
        <v>0.405</v>
      </c>
      <c r="AA24" s="48" t="n">
        <v>0.0075</v>
      </c>
      <c r="AB24" s="48" t="n">
        <v>0.015</v>
      </c>
      <c r="AC24" s="48" t="n">
        <v>0.0225</v>
      </c>
      <c r="AE24" s="48" t="n">
        <v>-0.75</v>
      </c>
      <c r="AF24" s="53" t="n">
        <v>2.75</v>
      </c>
      <c r="AG24" s="48" t="n">
        <v>0.75</v>
      </c>
      <c r="AI24" s="48" t="n">
        <v>-0.1</v>
      </c>
      <c r="AJ24" s="48" t="n">
        <v>0.3</v>
      </c>
      <c r="AK24" s="48" t="n">
        <v>0.1</v>
      </c>
      <c r="AM24" s="9" t="n">
        <v>6</v>
      </c>
      <c r="AN24" s="50" t="n">
        <v>0.1</v>
      </c>
      <c r="AP24" s="9" t="n">
        <v>1600</v>
      </c>
      <c r="AQ24" s="54" t="n">
        <v>0.7693</v>
      </c>
      <c r="AR24" s="54" t="n">
        <v>0.7693</v>
      </c>
      <c r="AS24" s="54" t="n">
        <v>0.7793</v>
      </c>
      <c r="AT24" s="54" t="n">
        <v>0.891967555963749</v>
      </c>
      <c r="AU24" s="54" t="n">
        <v>0.985916933430152</v>
      </c>
      <c r="AV24" s="54" t="n">
        <v>1.23232814662584</v>
      </c>
      <c r="AW24" s="54" t="n">
        <v>1.32734019400042</v>
      </c>
      <c r="AX24" s="54" t="n">
        <v>1.24301093426774</v>
      </c>
      <c r="AY24" s="54" t="n">
        <v>1.05337556991925</v>
      </c>
      <c r="AZ24" s="54" t="n">
        <v>0.8393</v>
      </c>
      <c r="BA24" s="54" t="n">
        <v>0.8253</v>
      </c>
      <c r="BB24" s="54" t="n">
        <v>0.7813</v>
      </c>
      <c r="BC24" s="9" t="s">
        <v>40</v>
      </c>
      <c r="BE24" s="3" t="n">
        <v>37043</v>
      </c>
      <c r="BF24" s="52" t="n">
        <v>0.9</v>
      </c>
    </row>
    <row r="25" customFormat="false" ht="12.75" hidden="false" customHeight="false" outlineLevel="0" collapsed="false">
      <c r="A25" s="44" t="n">
        <v>36586</v>
      </c>
      <c r="B25" s="45" t="n">
        <v>25.2999996185303</v>
      </c>
      <c r="C25" s="46" t="n">
        <v>25.6499996185303</v>
      </c>
      <c r="D25" s="45" t="n">
        <v>26.4999996185303</v>
      </c>
      <c r="E25" s="32"/>
      <c r="F25" s="47" t="n">
        <v>14.7349998474121</v>
      </c>
      <c r="G25" s="47" t="n">
        <v>14.9099998474121</v>
      </c>
      <c r="H25" s="47" t="n">
        <v>15.0849998474121</v>
      </c>
      <c r="I25" s="9"/>
      <c r="J25" s="3" t="n">
        <v>37073</v>
      </c>
      <c r="K25" s="48" t="n">
        <v>36.2612495422363</v>
      </c>
      <c r="L25" s="48" t="n">
        <v>38.5112495422363</v>
      </c>
      <c r="M25" s="48" t="n">
        <v>40.7612495422363</v>
      </c>
      <c r="O25" s="48" t="n">
        <v>25.4974994659424</v>
      </c>
      <c r="P25" s="48" t="n">
        <v>27.9974994659424</v>
      </c>
      <c r="Q25" s="48" t="n">
        <v>30.4974994659424</v>
      </c>
      <c r="S25" s="48" t="n">
        <v>0</v>
      </c>
      <c r="T25" s="48" t="n">
        <v>0</v>
      </c>
      <c r="U25" s="48" t="n">
        <v>0</v>
      </c>
      <c r="W25" s="48" t="n">
        <v>0.165</v>
      </c>
      <c r="X25" s="53" t="n">
        <v>0.33</v>
      </c>
      <c r="Y25" s="48" t="n">
        <v>0.495</v>
      </c>
      <c r="AA25" s="48" t="n">
        <v>0.0075</v>
      </c>
      <c r="AB25" s="48" t="n">
        <v>0.015</v>
      </c>
      <c r="AC25" s="48" t="n">
        <v>0.0225</v>
      </c>
      <c r="AE25" s="48" t="n">
        <v>-1</v>
      </c>
      <c r="AF25" s="53" t="n">
        <v>3.75</v>
      </c>
      <c r="AG25" s="48" t="n">
        <v>1</v>
      </c>
      <c r="AI25" s="48" t="n">
        <v>-0.1</v>
      </c>
      <c r="AJ25" s="48" t="n">
        <v>0.3</v>
      </c>
      <c r="AK25" s="48" t="n">
        <v>0.1</v>
      </c>
      <c r="AM25" s="9" t="n">
        <v>7</v>
      </c>
      <c r="AN25" s="50" t="n">
        <v>0.15</v>
      </c>
      <c r="AP25" s="9" t="n">
        <v>1700</v>
      </c>
      <c r="AQ25" s="54" t="n">
        <v>0.8396</v>
      </c>
      <c r="AR25" s="54" t="n">
        <v>0.8396</v>
      </c>
      <c r="AS25" s="54" t="n">
        <v>0.8496</v>
      </c>
      <c r="AT25" s="54" t="n">
        <v>0.87001361056091</v>
      </c>
      <c r="AU25" s="54" t="n">
        <v>0.99933522198472</v>
      </c>
      <c r="AV25" s="54" t="n">
        <v>1.25232563016399</v>
      </c>
      <c r="AW25" s="54" t="n">
        <v>1.35388881627921</v>
      </c>
      <c r="AX25" s="54" t="n">
        <v>1.21504622788872</v>
      </c>
      <c r="AY25" s="54" t="n">
        <v>1.13452840898687</v>
      </c>
      <c r="AZ25" s="54" t="n">
        <v>0.8896</v>
      </c>
      <c r="BA25" s="54" t="n">
        <v>0.8866</v>
      </c>
      <c r="BB25" s="54" t="n">
        <v>0.8796</v>
      </c>
      <c r="BC25" s="9" t="s">
        <v>40</v>
      </c>
      <c r="BE25" s="3" t="n">
        <v>37073</v>
      </c>
      <c r="BF25" s="52" t="n">
        <v>0.9</v>
      </c>
    </row>
    <row r="26" customFormat="false" ht="12.75" hidden="false" customHeight="false" outlineLevel="0" collapsed="false">
      <c r="A26" s="44" t="n">
        <v>36587</v>
      </c>
      <c r="B26" s="45" t="n">
        <v>25.2999996185303</v>
      </c>
      <c r="C26" s="46" t="n">
        <v>25.6499996185303</v>
      </c>
      <c r="D26" s="45" t="n">
        <v>26.4999996185303</v>
      </c>
      <c r="E26" s="32"/>
      <c r="F26" s="47" t="n">
        <v>14.7349998474121</v>
      </c>
      <c r="G26" s="47" t="n">
        <v>14.9099998474121</v>
      </c>
      <c r="H26" s="47" t="n">
        <v>15.0849998474121</v>
      </c>
      <c r="I26" s="9"/>
      <c r="J26" s="3" t="n">
        <v>37104</v>
      </c>
      <c r="K26" s="48" t="n">
        <v>38.5224990844727</v>
      </c>
      <c r="L26" s="48" t="n">
        <v>40.7724990844727</v>
      </c>
      <c r="M26" s="48" t="n">
        <v>43.0224990844727</v>
      </c>
      <c r="O26" s="48" t="n">
        <v>26.9950008392334</v>
      </c>
      <c r="P26" s="48" t="n">
        <v>29.4950008392334</v>
      </c>
      <c r="Q26" s="48" t="n">
        <v>31.9950008392334</v>
      </c>
      <c r="S26" s="48" t="n">
        <v>0</v>
      </c>
      <c r="T26" s="48" t="n">
        <v>0</v>
      </c>
      <c r="U26" s="48" t="n">
        <v>0</v>
      </c>
      <c r="W26" s="48" t="n">
        <v>0.165</v>
      </c>
      <c r="X26" s="53" t="n">
        <v>0.33</v>
      </c>
      <c r="Y26" s="48" t="n">
        <v>0.495</v>
      </c>
      <c r="AA26" s="48" t="n">
        <v>0.0075</v>
      </c>
      <c r="AB26" s="48" t="n">
        <v>0.015</v>
      </c>
      <c r="AC26" s="48" t="n">
        <v>0.0225</v>
      </c>
      <c r="AE26" s="48" t="n">
        <v>-1</v>
      </c>
      <c r="AF26" s="53" t="n">
        <v>3.75</v>
      </c>
      <c r="AG26" s="48" t="n">
        <v>1</v>
      </c>
      <c r="AI26" s="48" t="n">
        <v>-0.1</v>
      </c>
      <c r="AJ26" s="48" t="n">
        <v>0.3</v>
      </c>
      <c r="AK26" s="48" t="n">
        <v>0.1</v>
      </c>
      <c r="AM26" s="9" t="n">
        <v>7</v>
      </c>
      <c r="AN26" s="50" t="n">
        <v>0.15</v>
      </c>
      <c r="AP26" s="9" t="n">
        <v>1800</v>
      </c>
      <c r="AQ26" s="54" t="n">
        <v>1.168266924108</v>
      </c>
      <c r="AR26" s="54" t="n">
        <v>1.168266924108</v>
      </c>
      <c r="AS26" s="54" t="n">
        <v>1.1583</v>
      </c>
      <c r="AT26" s="54" t="n">
        <v>0.858698637233787</v>
      </c>
      <c r="AU26" s="54" t="n">
        <v>0.960389457643412</v>
      </c>
      <c r="AV26" s="54" t="n">
        <v>1.21514910036489</v>
      </c>
      <c r="AW26" s="54" t="n">
        <v>1.32033935867348</v>
      </c>
      <c r="AX26" s="54" t="n">
        <v>1.12520791995609</v>
      </c>
      <c r="AY26" s="54" t="n">
        <v>1.1066962078626</v>
      </c>
      <c r="AZ26" s="54" t="n">
        <v>1.2001</v>
      </c>
      <c r="BA26" s="54" t="n">
        <v>1.2171</v>
      </c>
      <c r="BB26" s="54" t="n">
        <v>1.23965925286319</v>
      </c>
      <c r="BC26" s="9" t="s">
        <v>40</v>
      </c>
      <c r="BE26" s="3" t="n">
        <v>37104</v>
      </c>
      <c r="BF26" s="52" t="n">
        <v>0.9</v>
      </c>
    </row>
    <row r="27" customFormat="false" ht="12.75" hidden="false" customHeight="false" outlineLevel="0" collapsed="false">
      <c r="A27" s="44" t="n">
        <v>36588</v>
      </c>
      <c r="B27" s="45" t="n">
        <v>25.2999996185303</v>
      </c>
      <c r="C27" s="46" t="n">
        <v>25.6499996185303</v>
      </c>
      <c r="D27" s="45" t="n">
        <v>26.4999996185303</v>
      </c>
      <c r="E27" s="32"/>
      <c r="F27" s="47" t="n">
        <v>14.7349998474121</v>
      </c>
      <c r="G27" s="47" t="n">
        <v>14.9099998474121</v>
      </c>
      <c r="H27" s="47" t="n">
        <v>15.0849998474121</v>
      </c>
      <c r="I27" s="9"/>
      <c r="J27" s="3" t="n">
        <v>37135</v>
      </c>
      <c r="K27" s="48" t="n">
        <v>17.4549995422363</v>
      </c>
      <c r="L27" s="48" t="n">
        <v>17.9799995422363</v>
      </c>
      <c r="M27" s="48" t="n">
        <v>18.5049995422363</v>
      </c>
      <c r="O27" s="48" t="n">
        <v>12.0600004196167</v>
      </c>
      <c r="P27" s="48" t="n">
        <v>14.5600004196167</v>
      </c>
      <c r="Q27" s="48" t="n">
        <v>17.0600004196167</v>
      </c>
      <c r="S27" s="48" t="n">
        <v>0</v>
      </c>
      <c r="T27" s="48" t="n">
        <v>0</v>
      </c>
      <c r="U27" s="48" t="n">
        <v>0</v>
      </c>
      <c r="W27" s="48" t="n">
        <v>0.1</v>
      </c>
      <c r="X27" s="53" t="n">
        <v>0.2</v>
      </c>
      <c r="Y27" s="48" t="n">
        <v>0.3</v>
      </c>
      <c r="AA27" s="48" t="n">
        <v>0.0075</v>
      </c>
      <c r="AB27" s="48" t="n">
        <v>0.015</v>
      </c>
      <c r="AC27" s="48" t="n">
        <v>0.0225</v>
      </c>
      <c r="AE27" s="48" t="n">
        <v>-0.4</v>
      </c>
      <c r="AF27" s="53" t="n">
        <v>2.25</v>
      </c>
      <c r="AG27" s="48" t="n">
        <v>0.5</v>
      </c>
      <c r="AI27" s="48" t="n">
        <v>-0.1</v>
      </c>
      <c r="AJ27" s="48" t="n">
        <v>0.3</v>
      </c>
      <c r="AK27" s="48" t="n">
        <v>0.1</v>
      </c>
      <c r="AM27" s="9" t="n">
        <v>7</v>
      </c>
      <c r="AN27" s="50" t="n">
        <v>0.15</v>
      </c>
      <c r="AP27" s="9" t="n">
        <v>1900</v>
      </c>
      <c r="AQ27" s="54" t="n">
        <v>1.28189922894351</v>
      </c>
      <c r="AR27" s="54" t="n">
        <v>1.28189922894351</v>
      </c>
      <c r="AS27" s="54" t="n">
        <v>1.2719</v>
      </c>
      <c r="AT27" s="54" t="n">
        <v>0.854095390617062</v>
      </c>
      <c r="AU27" s="54" t="n">
        <v>0.832097528048518</v>
      </c>
      <c r="AV27" s="54" t="n">
        <v>1.03758755190203</v>
      </c>
      <c r="AW27" s="54" t="n">
        <v>1.1027679439024</v>
      </c>
      <c r="AX27" s="54" t="n">
        <v>0.917161312112129</v>
      </c>
      <c r="AY27" s="54" t="n">
        <v>0.906450845036896</v>
      </c>
      <c r="AZ27" s="54" t="n">
        <v>1.2095</v>
      </c>
      <c r="BA27" s="54" t="n">
        <v>1.2269</v>
      </c>
      <c r="BB27" s="54" t="n">
        <v>1.2314</v>
      </c>
      <c r="BC27" s="9" t="s">
        <v>40</v>
      </c>
      <c r="BE27" s="3" t="n">
        <v>37135</v>
      </c>
      <c r="BF27" s="52" t="n">
        <v>0.9</v>
      </c>
    </row>
    <row r="28" customFormat="false" ht="12.75" hidden="false" customHeight="false" outlineLevel="0" collapsed="false">
      <c r="A28" s="44" t="n">
        <v>36589</v>
      </c>
      <c r="B28" s="45" t="n">
        <v>16.65</v>
      </c>
      <c r="C28" s="46" t="n">
        <v>17</v>
      </c>
      <c r="D28" s="45" t="n">
        <v>17.85</v>
      </c>
      <c r="E28" s="32"/>
      <c r="F28" s="47" t="n">
        <v>14.7349998474121</v>
      </c>
      <c r="G28" s="47" t="n">
        <v>14.9099998474121</v>
      </c>
      <c r="H28" s="47" t="n">
        <v>15.0849998474121</v>
      </c>
      <c r="I28" s="9"/>
      <c r="J28" s="3" t="n">
        <v>37165</v>
      </c>
      <c r="K28" s="48" t="n">
        <v>16.6194995880127</v>
      </c>
      <c r="L28" s="48" t="n">
        <v>17.0319995880127</v>
      </c>
      <c r="M28" s="48" t="n">
        <v>17.4444995880127</v>
      </c>
      <c r="O28" s="48" t="n">
        <v>12.2040004730225</v>
      </c>
      <c r="P28" s="48" t="n">
        <v>14.7040004730225</v>
      </c>
      <c r="Q28" s="48" t="n">
        <v>17.2040004730225</v>
      </c>
      <c r="S28" s="48" t="n">
        <v>0</v>
      </c>
      <c r="T28" s="48" t="n">
        <v>0</v>
      </c>
      <c r="U28" s="48" t="n">
        <v>0</v>
      </c>
      <c r="W28" s="48" t="n">
        <v>0.075</v>
      </c>
      <c r="X28" s="53" t="n">
        <v>0.15</v>
      </c>
      <c r="Y28" s="48" t="n">
        <v>0.225</v>
      </c>
      <c r="AA28" s="48" t="n">
        <v>0.0075</v>
      </c>
      <c r="AB28" s="48" t="n">
        <v>0.015</v>
      </c>
      <c r="AC28" s="48" t="n">
        <v>0.0225</v>
      </c>
      <c r="AE28" s="48" t="n">
        <v>-0.25</v>
      </c>
      <c r="AF28" s="53" t="n">
        <v>1.5</v>
      </c>
      <c r="AG28" s="48" t="n">
        <v>0.25</v>
      </c>
      <c r="AI28" s="48" t="n">
        <v>-0.1</v>
      </c>
      <c r="AJ28" s="48" t="n">
        <v>0.3</v>
      </c>
      <c r="AK28" s="48" t="n">
        <v>0.1</v>
      </c>
      <c r="AM28" s="9" t="n">
        <v>8</v>
      </c>
      <c r="AN28" s="50" t="n">
        <v>0.15</v>
      </c>
      <c r="AP28" s="9" t="n">
        <v>2000</v>
      </c>
      <c r="AQ28" s="54" t="n">
        <v>1.227</v>
      </c>
      <c r="AR28" s="54" t="n">
        <v>1.227</v>
      </c>
      <c r="AS28" s="54" t="n">
        <v>1.217</v>
      </c>
      <c r="AT28" s="54" t="n">
        <v>0.936808972307086</v>
      </c>
      <c r="AU28" s="54" t="n">
        <v>0.829970238399623</v>
      </c>
      <c r="AV28" s="54" t="n">
        <v>0.829694249884662</v>
      </c>
      <c r="AW28" s="54" t="n">
        <v>0.816006455315691</v>
      </c>
      <c r="AX28" s="54" t="n">
        <v>0.835023430573733</v>
      </c>
      <c r="AY28" s="54" t="n">
        <v>1.18462637101057</v>
      </c>
      <c r="AZ28" s="54" t="n">
        <v>1.1567</v>
      </c>
      <c r="BA28" s="54" t="n">
        <v>1.1767</v>
      </c>
      <c r="BB28" s="54" t="n">
        <v>1.18899630831453</v>
      </c>
      <c r="BC28" s="9" t="s">
        <v>40</v>
      </c>
      <c r="BE28" s="3" t="n">
        <v>37165</v>
      </c>
      <c r="BF28" s="52" t="n">
        <v>0.9</v>
      </c>
    </row>
    <row r="29" customFormat="false" ht="12.75" hidden="false" customHeight="false" outlineLevel="0" collapsed="false">
      <c r="A29" s="44" t="n">
        <v>36590</v>
      </c>
      <c r="B29" s="45" t="n">
        <v>16.65</v>
      </c>
      <c r="C29" s="46" t="n">
        <v>17</v>
      </c>
      <c r="D29" s="45" t="n">
        <v>17.85</v>
      </c>
      <c r="E29" s="32"/>
      <c r="F29" s="47" t="n">
        <v>14.7349998474121</v>
      </c>
      <c r="G29" s="47" t="n">
        <v>14.9099998474121</v>
      </c>
      <c r="H29" s="47" t="n">
        <v>15.0849998474121</v>
      </c>
      <c r="I29" s="9"/>
      <c r="J29" s="3" t="n">
        <v>37196</v>
      </c>
      <c r="K29" s="48" t="n">
        <v>16.0812496185303</v>
      </c>
      <c r="L29" s="48" t="n">
        <v>16.4937496185303</v>
      </c>
      <c r="M29" s="48" t="n">
        <v>16.9062496185303</v>
      </c>
      <c r="O29" s="48" t="n">
        <v>12.7250003814697</v>
      </c>
      <c r="P29" s="48" t="n">
        <v>15.2250003814697</v>
      </c>
      <c r="Q29" s="48" t="n">
        <v>17.7250003814697</v>
      </c>
      <c r="S29" s="48" t="n">
        <v>0</v>
      </c>
      <c r="T29" s="48" t="n">
        <v>0</v>
      </c>
      <c r="U29" s="48" t="n">
        <v>0</v>
      </c>
      <c r="W29" s="48" t="n">
        <v>0.075</v>
      </c>
      <c r="X29" s="53" t="n">
        <v>0.15</v>
      </c>
      <c r="Y29" s="48" t="n">
        <v>0.225</v>
      </c>
      <c r="AA29" s="48" t="n">
        <v>0.0075</v>
      </c>
      <c r="AB29" s="48" t="n">
        <v>0.015</v>
      </c>
      <c r="AC29" s="48" t="n">
        <v>0.0225</v>
      </c>
      <c r="AE29" s="48" t="n">
        <v>-0.25</v>
      </c>
      <c r="AF29" s="53" t="n">
        <v>1.5</v>
      </c>
      <c r="AG29" s="48" t="n">
        <v>0.25</v>
      </c>
      <c r="AI29" s="48" t="n">
        <v>-0.1</v>
      </c>
      <c r="AJ29" s="48" t="n">
        <v>0.3</v>
      </c>
      <c r="AK29" s="48" t="n">
        <v>0.1</v>
      </c>
      <c r="AM29" s="9" t="n">
        <v>8</v>
      </c>
      <c r="AN29" s="50" t="n">
        <v>0.15</v>
      </c>
      <c r="AP29" s="9" t="n">
        <v>2100</v>
      </c>
      <c r="AQ29" s="54" t="n">
        <v>1.15505237327277</v>
      </c>
      <c r="AR29" s="54" t="n">
        <v>1.15505237327277</v>
      </c>
      <c r="AS29" s="54" t="n">
        <v>1.1451</v>
      </c>
      <c r="AT29" s="54" t="n">
        <v>1.15433651784915</v>
      </c>
      <c r="AU29" s="54" t="n">
        <v>1.08769956124651</v>
      </c>
      <c r="AV29" s="54" t="n">
        <v>0.90163150610242</v>
      </c>
      <c r="AW29" s="54" t="n">
        <v>0.902562237539706</v>
      </c>
      <c r="AX29" s="54" t="n">
        <v>1.05063536961202</v>
      </c>
      <c r="AY29" s="54" t="n">
        <v>1.1944408840386</v>
      </c>
      <c r="AZ29" s="54" t="n">
        <v>1.0689</v>
      </c>
      <c r="BA29" s="54" t="n">
        <v>1.0889</v>
      </c>
      <c r="BB29" s="54" t="n">
        <v>1.15505237327277</v>
      </c>
      <c r="BC29" s="9" t="s">
        <v>40</v>
      </c>
      <c r="BE29" s="3" t="n">
        <v>37196</v>
      </c>
      <c r="BF29" s="52" t="n">
        <v>0.9</v>
      </c>
    </row>
    <row r="30" customFormat="false" ht="12.75" hidden="false" customHeight="false" outlineLevel="0" collapsed="false">
      <c r="A30" s="44" t="n">
        <v>36591</v>
      </c>
      <c r="B30" s="45" t="n">
        <v>25.2999996185303</v>
      </c>
      <c r="C30" s="46" t="n">
        <v>25.6499996185303</v>
      </c>
      <c r="D30" s="45" t="n">
        <v>26.4999996185303</v>
      </c>
      <c r="E30" s="32"/>
      <c r="F30" s="47" t="n">
        <v>14.7349998474121</v>
      </c>
      <c r="G30" s="47" t="n">
        <v>14.9099998474121</v>
      </c>
      <c r="H30" s="47" t="n">
        <v>15.0849998474121</v>
      </c>
      <c r="I30" s="9"/>
      <c r="J30" s="3" t="n">
        <v>37226</v>
      </c>
      <c r="K30" s="48" t="n">
        <v>20.2262500762939</v>
      </c>
      <c r="L30" s="48" t="n">
        <v>20.6387500762939</v>
      </c>
      <c r="M30" s="48" t="n">
        <v>21.0512500762939</v>
      </c>
      <c r="O30" s="48" t="n">
        <v>13.1750001907349</v>
      </c>
      <c r="P30" s="48" t="n">
        <v>15.6750001907349</v>
      </c>
      <c r="Q30" s="48" t="n">
        <v>18.1750001907349</v>
      </c>
      <c r="S30" s="48" t="n">
        <v>0</v>
      </c>
      <c r="T30" s="48" t="n">
        <v>0</v>
      </c>
      <c r="U30" s="48" t="n">
        <v>0</v>
      </c>
      <c r="W30" s="48" t="n">
        <v>0.075</v>
      </c>
      <c r="X30" s="53" t="n">
        <v>0.15</v>
      </c>
      <c r="Y30" s="48" t="n">
        <v>0.225</v>
      </c>
      <c r="AA30" s="48" t="n">
        <v>0.0075</v>
      </c>
      <c r="AB30" s="48" t="n">
        <v>0.015</v>
      </c>
      <c r="AC30" s="48" t="n">
        <v>0.0225</v>
      </c>
      <c r="AE30" s="48" t="n">
        <v>-0.25</v>
      </c>
      <c r="AF30" s="53" t="n">
        <v>1.5</v>
      </c>
      <c r="AG30" s="48" t="n">
        <v>0.25</v>
      </c>
      <c r="AI30" s="48" t="n">
        <v>-0.1</v>
      </c>
      <c r="AJ30" s="48" t="n">
        <v>0.3</v>
      </c>
      <c r="AK30" s="48" t="n">
        <v>0.1</v>
      </c>
      <c r="AM30" s="9" t="n">
        <v>8</v>
      </c>
      <c r="AN30" s="50" t="n">
        <v>0.15</v>
      </c>
      <c r="AP30" s="9" t="n">
        <v>2200</v>
      </c>
      <c r="AQ30" s="54" t="n">
        <v>0.8215</v>
      </c>
      <c r="AR30" s="54" t="n">
        <v>0.8215</v>
      </c>
      <c r="AS30" s="54" t="n">
        <v>0.8315</v>
      </c>
      <c r="AT30" s="54" t="n">
        <v>0.983581820797299</v>
      </c>
      <c r="AU30" s="54" t="n">
        <v>1.03746279799953</v>
      </c>
      <c r="AV30" s="54" t="n">
        <v>0.918676341064463</v>
      </c>
      <c r="AW30" s="54" t="n">
        <v>0.956386841611783</v>
      </c>
      <c r="AX30" s="54" t="n">
        <v>0.893384556929962</v>
      </c>
      <c r="AY30" s="54" t="n">
        <v>0.909087579880249</v>
      </c>
      <c r="AZ30" s="54" t="n">
        <v>0.8867</v>
      </c>
      <c r="BA30" s="54" t="n">
        <v>0.8662</v>
      </c>
      <c r="BB30" s="54" t="n">
        <v>0.8515</v>
      </c>
      <c r="BC30" s="9" t="s">
        <v>40</v>
      </c>
      <c r="BE30" s="3" t="n">
        <v>37226</v>
      </c>
      <c r="BF30" s="52" t="n">
        <v>0.9</v>
      </c>
    </row>
    <row r="31" customFormat="false" ht="12.75" hidden="false" customHeight="false" outlineLevel="0" collapsed="false">
      <c r="A31" s="44" t="n">
        <v>36592</v>
      </c>
      <c r="B31" s="45" t="n">
        <v>25.2999996185303</v>
      </c>
      <c r="C31" s="46" t="n">
        <v>25.6499996185303</v>
      </c>
      <c r="D31" s="45" t="n">
        <v>26.4999996185303</v>
      </c>
      <c r="E31" s="32"/>
      <c r="F31" s="47" t="n">
        <v>14.7349998474121</v>
      </c>
      <c r="G31" s="47" t="n">
        <v>14.9099998474121</v>
      </c>
      <c r="H31" s="47" t="n">
        <v>15.0849998474121</v>
      </c>
      <c r="I31" s="9"/>
      <c r="J31" s="3" t="n">
        <v>37257</v>
      </c>
      <c r="K31" s="48" t="n">
        <v>26.3737487792969</v>
      </c>
      <c r="L31" s="48" t="n">
        <v>27.0987487792969</v>
      </c>
      <c r="M31" s="48" t="n">
        <v>27.6237487792969</v>
      </c>
      <c r="O31" s="48" t="n">
        <v>22.6025005340576</v>
      </c>
      <c r="P31" s="48" t="n">
        <v>25.6025005340576</v>
      </c>
      <c r="Q31" s="48" t="n">
        <v>28.6025005340576</v>
      </c>
      <c r="S31" s="48" t="n">
        <v>0</v>
      </c>
      <c r="T31" s="48" t="n">
        <v>0</v>
      </c>
      <c r="U31" s="48" t="n">
        <v>0</v>
      </c>
      <c r="W31" s="48" t="n">
        <v>0.099</v>
      </c>
      <c r="X31" s="53" t="n">
        <v>0.198</v>
      </c>
      <c r="Y31" s="48" t="n">
        <v>0.297</v>
      </c>
      <c r="AA31" s="48" t="n">
        <v>0.0075</v>
      </c>
      <c r="AB31" s="48" t="n">
        <v>0.015</v>
      </c>
      <c r="AC31" s="48" t="n">
        <v>0.0225</v>
      </c>
      <c r="AE31" s="48" t="n">
        <v>-0.4</v>
      </c>
      <c r="AF31" s="53" t="n">
        <v>2</v>
      </c>
      <c r="AG31" s="48" t="n">
        <v>0.5</v>
      </c>
      <c r="AI31" s="48" t="n">
        <v>-0.1</v>
      </c>
      <c r="AJ31" s="48" t="n">
        <v>0.3</v>
      </c>
      <c r="AK31" s="48" t="n">
        <v>0.1</v>
      </c>
      <c r="AM31" s="9" t="n">
        <v>9</v>
      </c>
      <c r="AN31" s="50" t="n">
        <v>0.15</v>
      </c>
      <c r="AP31" s="9" t="n">
        <v>2300</v>
      </c>
      <c r="AQ31" s="54" t="n">
        <v>0.6725</v>
      </c>
      <c r="AR31" s="54" t="n">
        <v>0.6725</v>
      </c>
      <c r="AS31" s="54" t="n">
        <v>0.6825</v>
      </c>
      <c r="AT31" s="54" t="n">
        <v>0.868935227612237</v>
      </c>
      <c r="AU31" s="54" t="n">
        <v>0.832261165713818</v>
      </c>
      <c r="AV31" s="54" t="n">
        <v>0.736685819737449</v>
      </c>
      <c r="AW31" s="54" t="n">
        <v>0.66417015666642</v>
      </c>
      <c r="AX31" s="54" t="n">
        <v>0.723434795457424</v>
      </c>
      <c r="AY31" s="54" t="n">
        <v>0.720414553311483</v>
      </c>
      <c r="AZ31" s="54" t="n">
        <v>0.756</v>
      </c>
      <c r="BA31" s="54" t="n">
        <v>0.7305</v>
      </c>
      <c r="BB31" s="54" t="n">
        <v>0.7025</v>
      </c>
      <c r="BC31" s="9" t="s">
        <v>40</v>
      </c>
      <c r="BE31" s="3" t="n">
        <v>37257</v>
      </c>
      <c r="BF31" s="52" t="n">
        <v>0.9</v>
      </c>
    </row>
    <row r="32" customFormat="false" ht="12.75" hidden="false" customHeight="false" outlineLevel="0" collapsed="false">
      <c r="A32" s="44" t="n">
        <v>36593</v>
      </c>
      <c r="B32" s="45" t="n">
        <v>25.2999996185303</v>
      </c>
      <c r="C32" s="46" t="n">
        <v>25.6499996185303</v>
      </c>
      <c r="D32" s="45" t="n">
        <v>26.4999996185303</v>
      </c>
      <c r="E32" s="32"/>
      <c r="F32" s="47" t="n">
        <v>14.7349998474121</v>
      </c>
      <c r="G32" s="47" t="n">
        <v>14.9099998474121</v>
      </c>
      <c r="H32" s="47" t="n">
        <v>15.0849998474121</v>
      </c>
      <c r="I32" s="9"/>
      <c r="J32" s="3" t="n">
        <v>37288</v>
      </c>
      <c r="K32" s="48" t="n">
        <v>25.3712501525879</v>
      </c>
      <c r="L32" s="48" t="n">
        <v>26.0962501525879</v>
      </c>
      <c r="M32" s="48" t="n">
        <v>26.6212501525879</v>
      </c>
      <c r="O32" s="48" t="n">
        <v>20.5974994659424</v>
      </c>
      <c r="P32" s="48" t="n">
        <v>23.5974994659424</v>
      </c>
      <c r="Q32" s="48" t="n">
        <v>26.5974994659424</v>
      </c>
      <c r="S32" s="48" t="n">
        <v>0</v>
      </c>
      <c r="T32" s="48" t="n">
        <v>0</v>
      </c>
      <c r="U32" s="48" t="n">
        <v>0</v>
      </c>
      <c r="W32" s="48" t="n">
        <v>0.099</v>
      </c>
      <c r="X32" s="53" t="n">
        <v>0.198</v>
      </c>
      <c r="Y32" s="48" t="n">
        <v>0.297</v>
      </c>
      <c r="AA32" s="48" t="n">
        <v>0.005</v>
      </c>
      <c r="AB32" s="48" t="n">
        <v>0.01</v>
      </c>
      <c r="AC32" s="48" t="n">
        <v>0.015</v>
      </c>
      <c r="AE32" s="48" t="n">
        <v>-0.4</v>
      </c>
      <c r="AF32" s="53" t="n">
        <v>2</v>
      </c>
      <c r="AG32" s="48" t="n">
        <v>0.5</v>
      </c>
      <c r="AI32" s="48" t="n">
        <v>-0.1</v>
      </c>
      <c r="AJ32" s="48" t="n">
        <v>0.3</v>
      </c>
      <c r="AK32" s="48" t="n">
        <v>0.1</v>
      </c>
      <c r="AM32" s="9" t="n">
        <v>9</v>
      </c>
      <c r="AN32" s="50" t="n">
        <v>0.15</v>
      </c>
      <c r="AP32" s="9" t="n">
        <v>2400</v>
      </c>
      <c r="AQ32" s="54" t="n">
        <v>1.225</v>
      </c>
      <c r="AR32" s="54" t="n">
        <v>1.225</v>
      </c>
      <c r="AS32" s="54" t="n">
        <v>1.045</v>
      </c>
      <c r="AT32" s="54" t="n">
        <v>1.04967749498905</v>
      </c>
      <c r="AU32" s="54" t="n">
        <v>1.17796859185739</v>
      </c>
      <c r="AV32" s="54" t="n">
        <v>1.3963883955003</v>
      </c>
      <c r="AW32" s="54" t="n">
        <v>1.26165887596478</v>
      </c>
      <c r="AX32" s="54" t="n">
        <v>1.2636171008351</v>
      </c>
      <c r="AY32" s="54" t="n">
        <v>1.12499208910828</v>
      </c>
      <c r="AZ32" s="54" t="n">
        <v>1.0505</v>
      </c>
      <c r="BA32" s="54" t="n">
        <v>1.0505</v>
      </c>
      <c r="BB32" s="54" t="n">
        <v>1.0505</v>
      </c>
      <c r="BC32" s="9" t="s">
        <v>39</v>
      </c>
      <c r="BE32" s="3" t="n">
        <v>37288</v>
      </c>
      <c r="BF32" s="52" t="n">
        <v>0.9</v>
      </c>
    </row>
    <row r="33" customFormat="false" ht="12.75" hidden="false" customHeight="false" outlineLevel="0" collapsed="false">
      <c r="A33" s="44" t="n">
        <v>36594</v>
      </c>
      <c r="B33" s="45" t="n">
        <v>25.2999996185303</v>
      </c>
      <c r="C33" s="46" t="n">
        <v>25.6499996185303</v>
      </c>
      <c r="D33" s="45" t="n">
        <v>26.4999996185303</v>
      </c>
      <c r="E33" s="32"/>
      <c r="F33" s="47" t="n">
        <v>14.7349998474121</v>
      </c>
      <c r="G33" s="47" t="n">
        <v>14.9099998474121</v>
      </c>
      <c r="H33" s="47" t="n">
        <v>15.0849998474121</v>
      </c>
      <c r="I33" s="9"/>
      <c r="J33" s="3" t="n">
        <v>37316</v>
      </c>
      <c r="K33" s="48" t="n">
        <v>18.6972496032715</v>
      </c>
      <c r="L33" s="48" t="n">
        <v>19.0347496032715</v>
      </c>
      <c r="M33" s="48" t="n">
        <v>19.3722496032715</v>
      </c>
      <c r="O33" s="48" t="n">
        <v>15.6644989013672</v>
      </c>
      <c r="P33" s="48" t="n">
        <v>18.6644989013672</v>
      </c>
      <c r="Q33" s="48" t="n">
        <v>21.6644989013672</v>
      </c>
      <c r="S33" s="48" t="n">
        <v>0</v>
      </c>
      <c r="T33" s="48" t="n">
        <v>0</v>
      </c>
      <c r="U33" s="48" t="n">
        <v>0</v>
      </c>
      <c r="W33" s="48" t="n">
        <v>0.0825</v>
      </c>
      <c r="X33" s="53" t="n">
        <v>0.165</v>
      </c>
      <c r="Y33" s="48" t="n">
        <v>0.2475</v>
      </c>
      <c r="AA33" s="48" t="n">
        <v>0.005</v>
      </c>
      <c r="AB33" s="48" t="n">
        <v>0.01</v>
      </c>
      <c r="AC33" s="48" t="n">
        <v>0.015</v>
      </c>
      <c r="AE33" s="48" t="n">
        <v>-0.25</v>
      </c>
      <c r="AF33" s="53" t="n">
        <v>1.1</v>
      </c>
      <c r="AG33" s="48" t="n">
        <v>0.25</v>
      </c>
      <c r="AI33" s="48" t="n">
        <v>-0.1</v>
      </c>
      <c r="AJ33" s="48" t="n">
        <v>0.3</v>
      </c>
      <c r="AK33" s="48" t="n">
        <v>0.1</v>
      </c>
      <c r="AM33" s="9" t="n">
        <v>9</v>
      </c>
      <c r="AN33" s="50" t="n">
        <v>0.15</v>
      </c>
      <c r="BE33" s="3" t="n">
        <v>37316</v>
      </c>
      <c r="BF33" s="52" t="n">
        <v>0.9</v>
      </c>
    </row>
    <row r="34" customFormat="false" ht="12.75" hidden="false" customHeight="false" outlineLevel="0" collapsed="false">
      <c r="A34" s="44" t="n">
        <v>36595</v>
      </c>
      <c r="B34" s="45" t="n">
        <v>25.2999996185303</v>
      </c>
      <c r="C34" s="46" t="n">
        <v>25.6499996185303</v>
      </c>
      <c r="D34" s="45" t="n">
        <v>26.4999996185303</v>
      </c>
      <c r="E34" s="32"/>
      <c r="F34" s="47" t="n">
        <v>14.7349998474121</v>
      </c>
      <c r="G34" s="47" t="n">
        <v>14.9099998474121</v>
      </c>
      <c r="H34" s="47" t="n">
        <v>15.0849998474121</v>
      </c>
      <c r="I34" s="9"/>
      <c r="J34" s="3" t="n">
        <v>37347</v>
      </c>
      <c r="K34" s="48" t="n">
        <v>19.4925003051758</v>
      </c>
      <c r="L34" s="48" t="n">
        <v>19.7175003051758</v>
      </c>
      <c r="M34" s="48" t="n">
        <v>19.9425003051758</v>
      </c>
      <c r="O34" s="48" t="n">
        <v>15.4349990844727</v>
      </c>
      <c r="P34" s="48" t="n">
        <v>18.4349990844727</v>
      </c>
      <c r="Q34" s="48" t="n">
        <v>21.4349990844727</v>
      </c>
      <c r="S34" s="48" t="n">
        <v>0</v>
      </c>
      <c r="T34" s="48" t="n">
        <v>0</v>
      </c>
      <c r="U34" s="48" t="n">
        <v>0</v>
      </c>
      <c r="W34" s="48" t="n">
        <v>0.078375</v>
      </c>
      <c r="X34" s="53" t="n">
        <v>0.15675</v>
      </c>
      <c r="Y34" s="48" t="n">
        <v>0.235125</v>
      </c>
      <c r="AA34" s="48" t="n">
        <v>0.005</v>
      </c>
      <c r="AB34" s="48" t="n">
        <v>0.01</v>
      </c>
      <c r="AC34" s="48" t="n">
        <v>0.015</v>
      </c>
      <c r="AE34" s="48" t="n">
        <v>-0.25</v>
      </c>
      <c r="AF34" s="53" t="n">
        <v>1.2</v>
      </c>
      <c r="AG34" s="48" t="n">
        <v>0.25</v>
      </c>
      <c r="AI34" s="48" t="n">
        <v>-0.1</v>
      </c>
      <c r="AJ34" s="48" t="n">
        <v>0.3</v>
      </c>
      <c r="AK34" s="48" t="n">
        <v>0.1</v>
      </c>
      <c r="AM34" s="9" t="n">
        <v>10</v>
      </c>
      <c r="AN34" s="50" t="n">
        <v>0.15</v>
      </c>
      <c r="AP34" s="9" t="s">
        <v>41</v>
      </c>
      <c r="AS34" s="9" t="s">
        <v>42</v>
      </c>
      <c r="BE34" s="3" t="n">
        <v>37347</v>
      </c>
      <c r="BF34" s="52" t="n">
        <v>0.9</v>
      </c>
    </row>
    <row r="35" customFormat="false" ht="12.75" hidden="false" customHeight="false" outlineLevel="0" collapsed="false">
      <c r="A35" s="44" t="n">
        <v>36596</v>
      </c>
      <c r="B35" s="45" t="n">
        <v>16.65</v>
      </c>
      <c r="C35" s="46" t="n">
        <v>17</v>
      </c>
      <c r="D35" s="45" t="n">
        <v>17.85</v>
      </c>
      <c r="E35" s="32"/>
      <c r="F35" s="47" t="n">
        <v>14.7349998474121</v>
      </c>
      <c r="G35" s="47" t="n">
        <v>14.9099998474121</v>
      </c>
      <c r="H35" s="47" t="n">
        <v>15.0849998474121</v>
      </c>
      <c r="I35" s="9"/>
      <c r="J35" s="3" t="n">
        <v>37377</v>
      </c>
      <c r="K35" s="48" t="n">
        <v>19.0825000762939</v>
      </c>
      <c r="L35" s="48" t="n">
        <v>19.8325000762939</v>
      </c>
      <c r="M35" s="48" t="n">
        <v>20.5825000762939</v>
      </c>
      <c r="O35" s="48" t="n">
        <v>15.9649997711182</v>
      </c>
      <c r="P35" s="48" t="n">
        <v>18.9649997711182</v>
      </c>
      <c r="Q35" s="48" t="n">
        <v>21.9649997711182</v>
      </c>
      <c r="S35" s="48" t="n">
        <v>0</v>
      </c>
      <c r="T35" s="48" t="n">
        <v>0</v>
      </c>
      <c r="U35" s="48" t="n">
        <v>0</v>
      </c>
      <c r="W35" s="48" t="n">
        <v>0.086625</v>
      </c>
      <c r="X35" s="53" t="n">
        <v>0.17325</v>
      </c>
      <c r="Y35" s="48" t="n">
        <v>0.259875</v>
      </c>
      <c r="AA35" s="48" t="n">
        <v>0.005</v>
      </c>
      <c r="AB35" s="48" t="n">
        <v>0.01</v>
      </c>
      <c r="AC35" s="48" t="n">
        <v>0.015</v>
      </c>
      <c r="AE35" s="48" t="n">
        <v>-0.25</v>
      </c>
      <c r="AF35" s="53" t="n">
        <v>2</v>
      </c>
      <c r="AG35" s="48" t="n">
        <v>0.25</v>
      </c>
      <c r="AI35" s="48" t="n">
        <v>-0.1</v>
      </c>
      <c r="AJ35" s="48" t="n">
        <v>0.3</v>
      </c>
      <c r="AK35" s="48" t="n">
        <v>0.1</v>
      </c>
      <c r="AM35" s="9" t="n">
        <v>10</v>
      </c>
      <c r="AN35" s="50" t="n">
        <v>0.15</v>
      </c>
      <c r="AP35" s="50" t="n">
        <v>-5</v>
      </c>
      <c r="AQ35" s="55" t="n">
        <v>0.015</v>
      </c>
      <c r="AS35" s="50" t="n">
        <v>1</v>
      </c>
      <c r="BE35" s="3" t="n">
        <v>37377</v>
      </c>
      <c r="BF35" s="52" t="n">
        <v>0.9</v>
      </c>
    </row>
    <row r="36" customFormat="false" ht="12.75" hidden="false" customHeight="false" outlineLevel="0" collapsed="false">
      <c r="A36" s="44" t="n">
        <v>36597</v>
      </c>
      <c r="B36" s="45" t="n">
        <v>16.65</v>
      </c>
      <c r="C36" s="46" t="n">
        <v>17</v>
      </c>
      <c r="D36" s="45" t="n">
        <v>17.85</v>
      </c>
      <c r="E36" s="32"/>
      <c r="F36" s="47" t="n">
        <v>14.7349998474121</v>
      </c>
      <c r="G36" s="47" t="n">
        <v>14.9099998474121</v>
      </c>
      <c r="H36" s="47" t="n">
        <v>15.0849998474121</v>
      </c>
      <c r="I36" s="9"/>
      <c r="J36" s="3" t="n">
        <v>37408</v>
      </c>
      <c r="K36" s="48" t="n">
        <v>22.2337501525879</v>
      </c>
      <c r="L36" s="48" t="n">
        <v>24.4087501525879</v>
      </c>
      <c r="M36" s="48" t="n">
        <v>26.5837501525879</v>
      </c>
      <c r="O36" s="48" t="n">
        <v>14.8924995422363</v>
      </c>
      <c r="P36" s="48" t="n">
        <v>17.8924995422363</v>
      </c>
      <c r="Q36" s="48" t="n">
        <v>20.8924995422363</v>
      </c>
      <c r="S36" s="48" t="n">
        <v>0</v>
      </c>
      <c r="T36" s="48" t="n">
        <v>0</v>
      </c>
      <c r="U36" s="48" t="n">
        <v>0</v>
      </c>
      <c r="W36" s="48" t="n">
        <v>0.111375</v>
      </c>
      <c r="X36" s="53" t="n">
        <v>0.22275</v>
      </c>
      <c r="Y36" s="48" t="n">
        <v>0.334125</v>
      </c>
      <c r="AA36" s="48" t="n">
        <v>0.005</v>
      </c>
      <c r="AB36" s="48" t="n">
        <v>0.01</v>
      </c>
      <c r="AC36" s="48" t="n">
        <v>0.015</v>
      </c>
      <c r="AE36" s="48" t="n">
        <v>-0.75</v>
      </c>
      <c r="AF36" s="53" t="n">
        <v>2.5</v>
      </c>
      <c r="AG36" s="48" t="n">
        <v>0.75</v>
      </c>
      <c r="AI36" s="48" t="n">
        <v>-0.1</v>
      </c>
      <c r="AJ36" s="48" t="n">
        <v>0.3</v>
      </c>
      <c r="AK36" s="48" t="n">
        <v>0.1</v>
      </c>
      <c r="AM36" s="9" t="n">
        <v>10</v>
      </c>
      <c r="AN36" s="50" t="n">
        <v>0.15</v>
      </c>
      <c r="AP36" s="50" t="n">
        <v>-4.5</v>
      </c>
      <c r="AQ36" s="52" t="n">
        <v>0.015</v>
      </c>
      <c r="AS36" s="50" t="n">
        <v>2</v>
      </c>
      <c r="BE36" s="3" t="n">
        <v>37408</v>
      </c>
      <c r="BF36" s="52" t="n">
        <v>0.9</v>
      </c>
    </row>
    <row r="37" customFormat="false" ht="12.75" hidden="false" customHeight="false" outlineLevel="0" collapsed="false">
      <c r="A37" s="44" t="n">
        <v>36598</v>
      </c>
      <c r="B37" s="45" t="n">
        <v>24.2999996185303</v>
      </c>
      <c r="C37" s="46" t="n">
        <v>24.6499996185303</v>
      </c>
      <c r="D37" s="45" t="n">
        <v>25.4999996185303</v>
      </c>
      <c r="E37" s="32"/>
      <c r="F37" s="47" t="n">
        <v>14.7349998474121</v>
      </c>
      <c r="G37" s="47" t="n">
        <v>14.9099998474121</v>
      </c>
      <c r="H37" s="47" t="n">
        <v>15.0849998474121</v>
      </c>
      <c r="I37" s="9"/>
      <c r="J37" s="3" t="n">
        <v>37438</v>
      </c>
      <c r="K37" s="48" t="n">
        <v>35.8612495422363</v>
      </c>
      <c r="L37" s="48" t="n">
        <v>38.8612495422363</v>
      </c>
      <c r="M37" s="48" t="n">
        <v>41.8612495422363</v>
      </c>
      <c r="O37" s="48" t="n">
        <v>25.3474994659424</v>
      </c>
      <c r="P37" s="48" t="n">
        <v>28.3474994659424</v>
      </c>
      <c r="Q37" s="48" t="n">
        <v>31.3474994659424</v>
      </c>
      <c r="S37" s="48" t="n">
        <v>0</v>
      </c>
      <c r="T37" s="48" t="n">
        <v>0</v>
      </c>
      <c r="U37" s="48" t="n">
        <v>0</v>
      </c>
      <c r="W37" s="48" t="n">
        <v>0.136125</v>
      </c>
      <c r="X37" s="53" t="n">
        <v>0.27225</v>
      </c>
      <c r="Y37" s="48" t="n">
        <v>0.408375</v>
      </c>
      <c r="AA37" s="48" t="n">
        <v>0.005</v>
      </c>
      <c r="AB37" s="48" t="n">
        <v>0.01</v>
      </c>
      <c r="AC37" s="48" t="n">
        <v>0.015</v>
      </c>
      <c r="AE37" s="48" t="n">
        <v>-1</v>
      </c>
      <c r="AF37" s="53" t="n">
        <v>3.25</v>
      </c>
      <c r="AG37" s="48" t="n">
        <v>1</v>
      </c>
      <c r="AI37" s="48" t="n">
        <v>-0.1</v>
      </c>
      <c r="AJ37" s="48" t="n">
        <v>0.3</v>
      </c>
      <c r="AK37" s="48" t="n">
        <v>0.1</v>
      </c>
      <c r="AM37" s="9" t="n">
        <v>11</v>
      </c>
      <c r="AN37" s="50" t="n">
        <v>0.25</v>
      </c>
      <c r="AP37" s="56" t="n">
        <v>-4</v>
      </c>
      <c r="AQ37" s="55" t="n">
        <v>0.0125</v>
      </c>
      <c r="AS37" s="50" t="n">
        <v>3</v>
      </c>
      <c r="BE37" s="3" t="n">
        <v>37438</v>
      </c>
      <c r="BF37" s="52" t="n">
        <v>0.9</v>
      </c>
    </row>
    <row r="38" customFormat="false" ht="12.75" hidden="false" customHeight="false" outlineLevel="0" collapsed="false">
      <c r="A38" s="44" t="n">
        <v>36616</v>
      </c>
      <c r="B38" s="45" t="n">
        <v>24.65</v>
      </c>
      <c r="C38" s="46" t="n">
        <v>25</v>
      </c>
      <c r="D38" s="45" t="n">
        <v>25.85</v>
      </c>
      <c r="E38" s="32"/>
      <c r="F38" s="47" t="n">
        <v>14.7349998474121</v>
      </c>
      <c r="G38" s="47" t="n">
        <v>14.9099998474121</v>
      </c>
      <c r="H38" s="47" t="n">
        <v>15.0849998474121</v>
      </c>
      <c r="I38" s="9"/>
      <c r="J38" s="3" t="n">
        <v>37469</v>
      </c>
      <c r="K38" s="48" t="n">
        <v>38.1224990844727</v>
      </c>
      <c r="L38" s="48" t="n">
        <v>41.1224990844727</v>
      </c>
      <c r="M38" s="48" t="n">
        <v>44.1224990844727</v>
      </c>
      <c r="O38" s="48" t="n">
        <v>26.8450008392334</v>
      </c>
      <c r="P38" s="48" t="n">
        <v>29.8450008392334</v>
      </c>
      <c r="Q38" s="48" t="n">
        <v>32.8450008392334</v>
      </c>
      <c r="S38" s="48" t="n">
        <v>0</v>
      </c>
      <c r="T38" s="48" t="n">
        <v>0</v>
      </c>
      <c r="U38" s="48" t="n">
        <v>0</v>
      </c>
      <c r="W38" s="48" t="n">
        <v>0.136125</v>
      </c>
      <c r="X38" s="53" t="n">
        <v>0.27225</v>
      </c>
      <c r="Y38" s="48" t="n">
        <v>0.408375</v>
      </c>
      <c r="AA38" s="48" t="n">
        <v>0.005</v>
      </c>
      <c r="AB38" s="48" t="n">
        <v>0.01</v>
      </c>
      <c r="AC38" s="48" t="n">
        <v>0.015</v>
      </c>
      <c r="AE38" s="48" t="n">
        <v>-1</v>
      </c>
      <c r="AF38" s="53" t="n">
        <v>3.25</v>
      </c>
      <c r="AG38" s="48" t="n">
        <v>1</v>
      </c>
      <c r="AI38" s="48" t="n">
        <v>-0.1</v>
      </c>
      <c r="AJ38" s="48" t="n">
        <v>0.3</v>
      </c>
      <c r="AK38" s="48" t="n">
        <v>0.1</v>
      </c>
      <c r="AM38" s="9" t="n">
        <v>11</v>
      </c>
      <c r="AN38" s="50" t="n">
        <v>0.25</v>
      </c>
      <c r="AP38" s="50" t="n">
        <v>-3.5</v>
      </c>
      <c r="AQ38" s="55" t="n">
        <v>0.0125</v>
      </c>
      <c r="AS38" s="50" t="n">
        <v>4</v>
      </c>
      <c r="BE38" s="3" t="n">
        <v>37469</v>
      </c>
      <c r="BF38" s="52" t="n">
        <v>0.9</v>
      </c>
    </row>
    <row r="39" customFormat="false" ht="12.75" hidden="false" customHeight="false" outlineLevel="0" collapsed="false">
      <c r="A39" s="44" t="n">
        <v>36617</v>
      </c>
      <c r="B39" s="45" t="n">
        <v>25.1999992370606</v>
      </c>
      <c r="C39" s="46" t="n">
        <v>25.3999992370606</v>
      </c>
      <c r="D39" s="45" t="n">
        <v>26.0999992370605</v>
      </c>
      <c r="E39" s="32"/>
      <c r="F39" s="47" t="n">
        <v>14.6349987030029</v>
      </c>
      <c r="G39" s="47" t="n">
        <v>14.7349987030029</v>
      </c>
      <c r="H39" s="47" t="n">
        <v>14.8349987030029</v>
      </c>
      <c r="I39" s="9"/>
      <c r="J39" s="3" t="n">
        <v>37500</v>
      </c>
      <c r="K39" s="48" t="n">
        <v>17.7299995422363</v>
      </c>
      <c r="L39" s="48" t="n">
        <v>18.3299995422363</v>
      </c>
      <c r="M39" s="48" t="n">
        <v>18.9299995422363</v>
      </c>
      <c r="O39" s="48" t="n">
        <v>11.9100004196167</v>
      </c>
      <c r="P39" s="48" t="n">
        <v>14.9100004196167</v>
      </c>
      <c r="Q39" s="48" t="n">
        <v>17.9100004196167</v>
      </c>
      <c r="S39" s="48" t="n">
        <v>0</v>
      </c>
      <c r="T39" s="48" t="n">
        <v>0</v>
      </c>
      <c r="U39" s="48" t="n">
        <v>0</v>
      </c>
      <c r="W39" s="48" t="n">
        <v>0.0875</v>
      </c>
      <c r="X39" s="53" t="n">
        <v>0.175</v>
      </c>
      <c r="Y39" s="48" t="n">
        <v>0.2625</v>
      </c>
      <c r="AA39" s="48" t="n">
        <v>0.005</v>
      </c>
      <c r="AB39" s="48" t="n">
        <v>0.01</v>
      </c>
      <c r="AC39" s="48" t="n">
        <v>0.015</v>
      </c>
      <c r="AE39" s="48" t="n">
        <v>-0.4</v>
      </c>
      <c r="AF39" s="53" t="n">
        <v>2</v>
      </c>
      <c r="AG39" s="48" t="n">
        <v>0.5</v>
      </c>
      <c r="AI39" s="48" t="n">
        <v>-0.1</v>
      </c>
      <c r="AJ39" s="48" t="n">
        <v>0.3</v>
      </c>
      <c r="AK39" s="48" t="n">
        <v>0.1</v>
      </c>
      <c r="AM39" s="9" t="n">
        <v>11</v>
      </c>
      <c r="AN39" s="50" t="n">
        <v>0.25</v>
      </c>
      <c r="AP39" s="50" t="n">
        <v>-3</v>
      </c>
      <c r="AQ39" s="55" t="n">
        <v>0.01</v>
      </c>
      <c r="AS39" s="50" t="n">
        <v>10</v>
      </c>
      <c r="BE39" s="3" t="n">
        <v>37500</v>
      </c>
      <c r="BF39" s="52" t="n">
        <v>0.9</v>
      </c>
    </row>
    <row r="40" customFormat="false" ht="12.75" hidden="false" customHeight="false" outlineLevel="0" collapsed="false">
      <c r="A40" s="44" t="n">
        <v>36647</v>
      </c>
      <c r="B40" s="45" t="n">
        <v>30.2000007629395</v>
      </c>
      <c r="C40" s="46" t="n">
        <v>30.7000007629395</v>
      </c>
      <c r="D40" s="45" t="n">
        <v>31.7000007629395</v>
      </c>
      <c r="E40" s="32"/>
      <c r="F40" s="47" t="n">
        <v>14.6725006103516</v>
      </c>
      <c r="G40" s="47" t="n">
        <v>14.9225006103516</v>
      </c>
      <c r="H40" s="47" t="n">
        <v>15.1725006103516</v>
      </c>
      <c r="I40" s="9"/>
      <c r="J40" s="3" t="n">
        <v>37530</v>
      </c>
      <c r="K40" s="48" t="n">
        <v>16.8944995880127</v>
      </c>
      <c r="L40" s="48" t="n">
        <v>17.3819995880127</v>
      </c>
      <c r="M40" s="48" t="n">
        <v>17.8694995880127</v>
      </c>
      <c r="O40" s="48" t="n">
        <v>12.0540004730225</v>
      </c>
      <c r="P40" s="48" t="n">
        <v>15.0540004730225</v>
      </c>
      <c r="Q40" s="48" t="n">
        <v>18.0540004730225</v>
      </c>
      <c r="S40" s="48" t="n">
        <v>0</v>
      </c>
      <c r="T40" s="48" t="n">
        <v>0</v>
      </c>
      <c r="U40" s="48" t="n">
        <v>0</v>
      </c>
      <c r="W40" s="48" t="n">
        <v>0.061875</v>
      </c>
      <c r="X40" s="53" t="n">
        <v>0.12375</v>
      </c>
      <c r="Y40" s="48" t="n">
        <v>0.185625</v>
      </c>
      <c r="AA40" s="48" t="n">
        <v>0.005</v>
      </c>
      <c r="AB40" s="48" t="n">
        <v>0.01</v>
      </c>
      <c r="AC40" s="48" t="n">
        <v>0.015</v>
      </c>
      <c r="AE40" s="48" t="n">
        <v>-0.25</v>
      </c>
      <c r="AF40" s="53" t="n">
        <v>1.5</v>
      </c>
      <c r="AG40" s="48" t="n">
        <v>0.25</v>
      </c>
      <c r="AI40" s="48" t="n">
        <v>-0.1</v>
      </c>
      <c r="AJ40" s="48" t="n">
        <v>0.3</v>
      </c>
      <c r="AK40" s="48" t="n">
        <v>0.1</v>
      </c>
      <c r="AM40" s="9" t="n">
        <v>12</v>
      </c>
      <c r="AN40" s="50" t="n">
        <v>0.25</v>
      </c>
      <c r="AP40" s="50" t="n">
        <v>-2.5</v>
      </c>
      <c r="AQ40" s="52" t="n">
        <v>0.005</v>
      </c>
      <c r="AS40" s="50" t="n">
        <v>0</v>
      </c>
      <c r="BE40" s="3" t="n">
        <v>37530</v>
      </c>
      <c r="BF40" s="52" t="n">
        <v>0.9</v>
      </c>
    </row>
    <row r="41" customFormat="false" ht="12.75" hidden="false" customHeight="false" outlineLevel="0" collapsed="false">
      <c r="A41" s="44" t="n">
        <v>36678</v>
      </c>
      <c r="B41" s="45" t="n">
        <v>56.5750007629395</v>
      </c>
      <c r="C41" s="46" t="n">
        <v>58.0750007629395</v>
      </c>
      <c r="D41" s="45" t="n">
        <v>60.0750007629395</v>
      </c>
      <c r="E41" s="32"/>
      <c r="F41" s="47" t="n">
        <v>15.4450016021729</v>
      </c>
      <c r="G41" s="47" t="n">
        <v>16.1950016021729</v>
      </c>
      <c r="H41" s="47" t="n">
        <v>16.9450016021729</v>
      </c>
      <c r="I41" s="9"/>
      <c r="J41" s="3" t="n">
        <v>37561</v>
      </c>
      <c r="K41" s="48" t="n">
        <v>16.3562496185303</v>
      </c>
      <c r="L41" s="48" t="n">
        <v>16.8437496185303</v>
      </c>
      <c r="M41" s="48" t="n">
        <v>17.3312496185303</v>
      </c>
      <c r="O41" s="48" t="n">
        <v>12.5750003814697</v>
      </c>
      <c r="P41" s="48" t="n">
        <v>15.5750003814697</v>
      </c>
      <c r="Q41" s="48" t="n">
        <v>18.5750003814697</v>
      </c>
      <c r="S41" s="48" t="n">
        <v>0</v>
      </c>
      <c r="T41" s="48" t="n">
        <v>0</v>
      </c>
      <c r="U41" s="48" t="n">
        <v>0</v>
      </c>
      <c r="W41" s="48" t="n">
        <v>0.061875</v>
      </c>
      <c r="X41" s="53" t="n">
        <v>0.12375</v>
      </c>
      <c r="Y41" s="48" t="n">
        <v>0.185625</v>
      </c>
      <c r="AA41" s="48" t="n">
        <v>0.005</v>
      </c>
      <c r="AB41" s="48" t="n">
        <v>0.01</v>
      </c>
      <c r="AC41" s="48" t="n">
        <v>0.015</v>
      </c>
      <c r="AE41" s="48" t="n">
        <v>-0.25</v>
      </c>
      <c r="AF41" s="53" t="n">
        <v>1.5</v>
      </c>
      <c r="AG41" s="48" t="n">
        <v>0.25</v>
      </c>
      <c r="AI41" s="48" t="n">
        <v>-0.1</v>
      </c>
      <c r="AJ41" s="48" t="n">
        <v>0.3</v>
      </c>
      <c r="AK41" s="48" t="n">
        <v>0.1</v>
      </c>
      <c r="AM41" s="9" t="n">
        <v>12</v>
      </c>
      <c r="AN41" s="50" t="n">
        <v>0.25</v>
      </c>
      <c r="AP41" s="50" t="n">
        <v>-2</v>
      </c>
      <c r="AQ41" s="52" t="n">
        <v>0.0025</v>
      </c>
      <c r="AS41" s="50" t="n">
        <v>0</v>
      </c>
      <c r="BE41" s="3" t="n">
        <v>37561</v>
      </c>
      <c r="BF41" s="52" t="n">
        <v>0.9</v>
      </c>
    </row>
    <row r="42" customFormat="false" ht="12.75" hidden="false" customHeight="false" outlineLevel="0" collapsed="false">
      <c r="A42" s="44" t="n">
        <v>36708</v>
      </c>
      <c r="B42" s="45" t="n">
        <v>101.25</v>
      </c>
      <c r="C42" s="46" t="n">
        <v>103.75</v>
      </c>
      <c r="D42" s="45" t="n">
        <v>106.75</v>
      </c>
      <c r="E42" s="32"/>
      <c r="F42" s="47" t="n">
        <v>19.7474975585938</v>
      </c>
      <c r="G42" s="47" t="n">
        <v>20.9974975585938</v>
      </c>
      <c r="H42" s="47" t="n">
        <v>22.2474975585938</v>
      </c>
      <c r="I42" s="9"/>
      <c r="J42" s="3" t="n">
        <v>37591</v>
      </c>
      <c r="K42" s="48" t="n">
        <v>20.5012500762939</v>
      </c>
      <c r="L42" s="48" t="n">
        <v>20.9887500762939</v>
      </c>
      <c r="M42" s="48" t="n">
        <v>21.4762500762939</v>
      </c>
      <c r="O42" s="48" t="n">
        <v>13.0250001907349</v>
      </c>
      <c r="P42" s="48" t="n">
        <v>16.0250001907349</v>
      </c>
      <c r="Q42" s="48" t="n">
        <v>19.0250001907349</v>
      </c>
      <c r="S42" s="48" t="n">
        <v>0</v>
      </c>
      <c r="T42" s="48" t="n">
        <v>0</v>
      </c>
      <c r="U42" s="48" t="n">
        <v>0</v>
      </c>
      <c r="W42" s="48" t="n">
        <v>0.061875</v>
      </c>
      <c r="X42" s="53" t="n">
        <v>0.12375</v>
      </c>
      <c r="Y42" s="48" t="n">
        <v>0.185625</v>
      </c>
      <c r="AA42" s="48" t="n">
        <v>0.005</v>
      </c>
      <c r="AB42" s="48" t="n">
        <v>0.01</v>
      </c>
      <c r="AC42" s="48" t="n">
        <v>0.015</v>
      </c>
      <c r="AE42" s="48" t="n">
        <v>-0.25</v>
      </c>
      <c r="AF42" s="53" t="n">
        <v>1.5</v>
      </c>
      <c r="AG42" s="48" t="n">
        <v>0.25</v>
      </c>
      <c r="AI42" s="48" t="n">
        <v>-0.1</v>
      </c>
      <c r="AJ42" s="48" t="n">
        <v>0.3</v>
      </c>
      <c r="AK42" s="48" t="n">
        <v>0.1</v>
      </c>
      <c r="AM42" s="9" t="n">
        <v>12</v>
      </c>
      <c r="AN42" s="50" t="n">
        <v>0.25</v>
      </c>
      <c r="AP42" s="50" t="n">
        <v>-1.5</v>
      </c>
      <c r="AQ42" s="52" t="n">
        <v>0</v>
      </c>
      <c r="AS42" s="50" t="n">
        <v>0</v>
      </c>
      <c r="BE42" s="3" t="n">
        <v>37591</v>
      </c>
      <c r="BF42" s="52" t="n">
        <v>0.9</v>
      </c>
    </row>
    <row r="43" customFormat="false" ht="12.75" hidden="false" customHeight="false" outlineLevel="0" collapsed="false">
      <c r="A43" s="44" t="n">
        <v>36739</v>
      </c>
      <c r="B43" s="45" t="n">
        <v>88.25</v>
      </c>
      <c r="C43" s="46" t="n">
        <v>90.75</v>
      </c>
      <c r="D43" s="45" t="n">
        <v>93.75</v>
      </c>
      <c r="E43" s="32"/>
      <c r="F43" s="47" t="n">
        <v>19.7974967956543</v>
      </c>
      <c r="G43" s="47" t="n">
        <v>21.0474967956543</v>
      </c>
      <c r="H43" s="47" t="n">
        <v>22.2974967956543</v>
      </c>
      <c r="I43" s="9"/>
      <c r="J43" s="3" t="n">
        <v>37622</v>
      </c>
      <c r="K43" s="48" t="n">
        <v>26.9987487792969</v>
      </c>
      <c r="L43" s="48" t="n">
        <v>27.7987487792969</v>
      </c>
      <c r="M43" s="48" t="n">
        <v>28.3987487792969</v>
      </c>
      <c r="O43" s="48" t="n">
        <v>23.0025005340576</v>
      </c>
      <c r="P43" s="48" t="n">
        <v>26.3025005340576</v>
      </c>
      <c r="Q43" s="48" t="n">
        <v>29.6025005340576</v>
      </c>
      <c r="S43" s="48" t="n">
        <v>0</v>
      </c>
      <c r="T43" s="48" t="n">
        <v>0</v>
      </c>
      <c r="U43" s="48" t="n">
        <v>0</v>
      </c>
      <c r="W43" s="48" t="n">
        <v>0.09306</v>
      </c>
      <c r="X43" s="53" t="n">
        <v>0.18612</v>
      </c>
      <c r="Y43" s="48" t="n">
        <v>0.27918</v>
      </c>
      <c r="AA43" s="48" t="n">
        <v>0.005</v>
      </c>
      <c r="AB43" s="48" t="n">
        <v>0.01</v>
      </c>
      <c r="AC43" s="48" t="n">
        <v>0.015</v>
      </c>
      <c r="AE43" s="48" t="n">
        <v>-0.4</v>
      </c>
      <c r="AF43" s="53" t="n">
        <v>2</v>
      </c>
      <c r="AG43" s="48" t="n">
        <v>0.5</v>
      </c>
      <c r="AI43" s="48" t="n">
        <v>-0.1</v>
      </c>
      <c r="AJ43" s="48" t="n">
        <v>0.3</v>
      </c>
      <c r="AK43" s="48" t="n">
        <v>0.1</v>
      </c>
      <c r="AM43" s="9" t="n">
        <v>13</v>
      </c>
      <c r="AN43" s="50" t="n">
        <v>0.25</v>
      </c>
      <c r="AP43" s="50" t="n">
        <v>-1</v>
      </c>
      <c r="AQ43" s="52" t="n">
        <v>0</v>
      </c>
      <c r="AS43" s="50" t="n">
        <v>0</v>
      </c>
      <c r="BE43" s="3" t="n">
        <v>37622</v>
      </c>
      <c r="BF43" s="52" t="n">
        <v>0.9</v>
      </c>
    </row>
    <row r="44" customFormat="false" ht="12.75" hidden="false" customHeight="false" outlineLevel="0" collapsed="false">
      <c r="A44" s="44" t="n">
        <v>36770</v>
      </c>
      <c r="B44" s="45" t="n">
        <v>34.9499992370605</v>
      </c>
      <c r="C44" s="46" t="n">
        <v>35.5499992370606</v>
      </c>
      <c r="D44" s="45" t="n">
        <v>36.6499992370606</v>
      </c>
      <c r="E44" s="32"/>
      <c r="F44" s="47" t="n">
        <v>14.0974990844727</v>
      </c>
      <c r="G44" s="47" t="n">
        <v>14.3974990844727</v>
      </c>
      <c r="H44" s="47" t="n">
        <v>14.6974990844727</v>
      </c>
      <c r="I44" s="9"/>
      <c r="J44" s="3" t="n">
        <v>37653</v>
      </c>
      <c r="K44" s="48" t="n">
        <v>25.9962501525879</v>
      </c>
      <c r="L44" s="48" t="n">
        <v>26.7962501525879</v>
      </c>
      <c r="M44" s="48" t="n">
        <v>27.3962501525879</v>
      </c>
      <c r="O44" s="48" t="n">
        <v>20.9974994659424</v>
      </c>
      <c r="P44" s="48" t="n">
        <v>24.2974994659424</v>
      </c>
      <c r="Q44" s="48" t="n">
        <v>27.5974994659424</v>
      </c>
      <c r="S44" s="48" t="n">
        <v>0</v>
      </c>
      <c r="T44" s="48" t="n">
        <v>0</v>
      </c>
      <c r="U44" s="48" t="n">
        <v>0</v>
      </c>
      <c r="W44" s="48" t="n">
        <v>0.09306</v>
      </c>
      <c r="X44" s="53" t="n">
        <v>0.18612</v>
      </c>
      <c r="Y44" s="48" t="n">
        <v>0.27918</v>
      </c>
      <c r="AA44" s="48" t="n">
        <v>0.0025</v>
      </c>
      <c r="AB44" s="48" t="n">
        <v>0.005</v>
      </c>
      <c r="AC44" s="48" t="n">
        <v>0.0075</v>
      </c>
      <c r="AE44" s="48" t="n">
        <v>-0.4</v>
      </c>
      <c r="AF44" s="53" t="n">
        <v>2</v>
      </c>
      <c r="AG44" s="48" t="n">
        <v>0.5</v>
      </c>
      <c r="AI44" s="48" t="n">
        <v>-0.1</v>
      </c>
      <c r="AJ44" s="48" t="n">
        <v>0.3</v>
      </c>
      <c r="AK44" s="48" t="n">
        <v>0.1</v>
      </c>
      <c r="AM44" s="9" t="n">
        <v>13</v>
      </c>
      <c r="AN44" s="50" t="n">
        <v>0.25</v>
      </c>
      <c r="AP44" s="50" t="n">
        <v>-0.5</v>
      </c>
      <c r="AQ44" s="52" t="n">
        <v>0</v>
      </c>
      <c r="AS44" s="50" t="n">
        <v>0</v>
      </c>
      <c r="BE44" s="3" t="n">
        <v>37653</v>
      </c>
      <c r="BF44" s="52" t="n">
        <v>0.9</v>
      </c>
    </row>
    <row r="45" customFormat="false" ht="12.75" hidden="false" customHeight="false" outlineLevel="0" collapsed="false">
      <c r="A45" s="44" t="n">
        <v>36800</v>
      </c>
      <c r="B45" s="45" t="n">
        <v>25.0000007629395</v>
      </c>
      <c r="C45" s="46" t="n">
        <v>25.4500007629395</v>
      </c>
      <c r="D45" s="45" t="n">
        <v>26.4000007629395</v>
      </c>
      <c r="E45" s="32"/>
      <c r="F45" s="47" t="n">
        <v>14.1349987030029</v>
      </c>
      <c r="G45" s="47" t="n">
        <v>14.3599987030029</v>
      </c>
      <c r="H45" s="47" t="n">
        <v>14.5849987030029</v>
      </c>
      <c r="I45" s="9"/>
      <c r="J45" s="3" t="n">
        <v>37681</v>
      </c>
      <c r="K45" s="48" t="n">
        <v>19.0097496032715</v>
      </c>
      <c r="L45" s="48" t="n">
        <v>19.3847496032715</v>
      </c>
      <c r="M45" s="48" t="n">
        <v>19.7597496032715</v>
      </c>
      <c r="O45" s="48" t="n">
        <v>15.7144989013672</v>
      </c>
      <c r="P45" s="48" t="n">
        <v>19.0144989013672</v>
      </c>
      <c r="Q45" s="48" t="n">
        <v>22.3144989013672</v>
      </c>
      <c r="S45" s="48" t="n">
        <v>0</v>
      </c>
      <c r="T45" s="48" t="n">
        <v>0</v>
      </c>
      <c r="U45" s="48" t="n">
        <v>0</v>
      </c>
      <c r="W45" s="48" t="n">
        <v>0.07755</v>
      </c>
      <c r="X45" s="53" t="n">
        <v>0.1551</v>
      </c>
      <c r="Y45" s="48" t="n">
        <v>0.23265</v>
      </c>
      <c r="AA45" s="48" t="n">
        <v>0.0025</v>
      </c>
      <c r="AB45" s="48" t="n">
        <v>0.005</v>
      </c>
      <c r="AC45" s="48" t="n">
        <v>0.0075</v>
      </c>
      <c r="AE45" s="48" t="n">
        <v>-0.25</v>
      </c>
      <c r="AF45" s="53" t="n">
        <v>1.1</v>
      </c>
      <c r="AG45" s="48" t="n">
        <v>0.25</v>
      </c>
      <c r="AI45" s="48" t="n">
        <v>-0.1</v>
      </c>
      <c r="AJ45" s="48" t="n">
        <v>0.3</v>
      </c>
      <c r="AK45" s="48" t="n">
        <v>0.1</v>
      </c>
      <c r="AM45" s="9" t="n">
        <v>13</v>
      </c>
      <c r="AN45" s="50" t="n">
        <v>0.25</v>
      </c>
      <c r="AP45" s="50" t="n">
        <v>0</v>
      </c>
      <c r="AQ45" s="52" t="n">
        <v>0</v>
      </c>
      <c r="AS45" s="50" t="n">
        <v>0</v>
      </c>
      <c r="BE45" s="3" t="n">
        <v>37681</v>
      </c>
      <c r="BF45" s="52" t="n">
        <v>0.9</v>
      </c>
    </row>
    <row r="46" customFormat="false" ht="12.75" hidden="false" customHeight="false" outlineLevel="0" collapsed="false">
      <c r="A46" s="44" t="n">
        <v>36831</v>
      </c>
      <c r="B46" s="45" t="n">
        <v>24.6999996185303</v>
      </c>
      <c r="C46" s="46" t="n">
        <v>25.1499996185303</v>
      </c>
      <c r="D46" s="45" t="n">
        <v>26.0999996185303</v>
      </c>
      <c r="E46" s="32"/>
      <c r="F46" s="47" t="n">
        <v>14.0599998474121</v>
      </c>
      <c r="G46" s="47" t="n">
        <v>14.2849998474121</v>
      </c>
      <c r="H46" s="47" t="n">
        <v>14.5099998474121</v>
      </c>
      <c r="I46" s="9"/>
      <c r="J46" s="3" t="n">
        <v>37712</v>
      </c>
      <c r="K46" s="48" t="n">
        <v>19.8050003051758</v>
      </c>
      <c r="L46" s="48" t="n">
        <v>20.0675003051758</v>
      </c>
      <c r="M46" s="48" t="n">
        <v>20.3300003051758</v>
      </c>
      <c r="O46" s="48" t="n">
        <v>15.4849990844727</v>
      </c>
      <c r="P46" s="48" t="n">
        <v>18.7849990844727</v>
      </c>
      <c r="Q46" s="48" t="n">
        <v>22.0849990844727</v>
      </c>
      <c r="S46" s="48" t="n">
        <v>0</v>
      </c>
      <c r="T46" s="48" t="n">
        <v>0</v>
      </c>
      <c r="U46" s="48" t="n">
        <v>0</v>
      </c>
      <c r="W46" s="48" t="n">
        <v>0.0736725</v>
      </c>
      <c r="X46" s="53" t="n">
        <v>0.147345</v>
      </c>
      <c r="Y46" s="48" t="n">
        <v>0.2210175</v>
      </c>
      <c r="AA46" s="48" t="n">
        <v>0.0025</v>
      </c>
      <c r="AB46" s="48" t="n">
        <v>0.005</v>
      </c>
      <c r="AC46" s="48" t="n">
        <v>0.0075</v>
      </c>
      <c r="AE46" s="48" t="n">
        <v>-0.25</v>
      </c>
      <c r="AF46" s="53" t="n">
        <v>1.2</v>
      </c>
      <c r="AG46" s="48" t="n">
        <v>0.25</v>
      </c>
      <c r="AI46" s="48" t="n">
        <v>-0.1</v>
      </c>
      <c r="AJ46" s="48" t="n">
        <v>0.3</v>
      </c>
      <c r="AK46" s="48" t="n">
        <v>0.1</v>
      </c>
      <c r="AM46" s="9" t="n">
        <v>14</v>
      </c>
      <c r="AN46" s="50" t="n">
        <v>0.25</v>
      </c>
      <c r="AP46" s="50" t="n">
        <v>1</v>
      </c>
      <c r="AQ46" s="52" t="n">
        <v>0</v>
      </c>
      <c r="AS46" s="50" t="n">
        <v>0</v>
      </c>
      <c r="BE46" s="3" t="n">
        <v>37712</v>
      </c>
      <c r="BF46" s="52" t="n">
        <v>0.9</v>
      </c>
    </row>
    <row r="47" customFormat="false" ht="12.75" hidden="false" customHeight="false" outlineLevel="0" collapsed="false">
      <c r="A47" s="44" t="n">
        <v>36861</v>
      </c>
      <c r="B47" s="45" t="n">
        <v>26.925</v>
      </c>
      <c r="C47" s="46" t="n">
        <v>27.375</v>
      </c>
      <c r="D47" s="45" t="n">
        <v>28.325</v>
      </c>
      <c r="E47" s="32"/>
      <c r="F47" s="47" t="n">
        <v>15.0350002288818</v>
      </c>
      <c r="G47" s="47" t="n">
        <v>15.2600002288818</v>
      </c>
      <c r="H47" s="47" t="n">
        <v>15.4850002288818</v>
      </c>
      <c r="I47" s="9"/>
      <c r="J47" s="3" t="n">
        <v>37742</v>
      </c>
      <c r="K47" s="48" t="n">
        <v>19.2450000762939</v>
      </c>
      <c r="L47" s="48" t="n">
        <v>20.1825000762939</v>
      </c>
      <c r="M47" s="48" t="n">
        <v>21.1200000762939</v>
      </c>
      <c r="O47" s="48" t="n">
        <v>16.0149997711182</v>
      </c>
      <c r="P47" s="48" t="n">
        <v>19.3149997711182</v>
      </c>
      <c r="Q47" s="48" t="n">
        <v>22.6149997711182</v>
      </c>
      <c r="S47" s="48" t="n">
        <v>0</v>
      </c>
      <c r="T47" s="48" t="n">
        <v>0</v>
      </c>
      <c r="U47" s="48" t="n">
        <v>0</v>
      </c>
      <c r="W47" s="48" t="n">
        <v>0.0814275</v>
      </c>
      <c r="X47" s="53" t="n">
        <v>0.162855</v>
      </c>
      <c r="Y47" s="48" t="n">
        <v>0.2442825</v>
      </c>
      <c r="AA47" s="48" t="n">
        <v>0.0025</v>
      </c>
      <c r="AB47" s="48" t="n">
        <v>0.005</v>
      </c>
      <c r="AC47" s="48" t="n">
        <v>0.0075</v>
      </c>
      <c r="AE47" s="48" t="n">
        <v>-0.25</v>
      </c>
      <c r="AF47" s="53" t="n">
        <v>2</v>
      </c>
      <c r="AG47" s="48" t="n">
        <v>0.25</v>
      </c>
      <c r="AI47" s="48" t="n">
        <v>-0.1</v>
      </c>
      <c r="AJ47" s="48" t="n">
        <v>0.3</v>
      </c>
      <c r="AK47" s="48" t="n">
        <v>0.1</v>
      </c>
      <c r="AM47" s="9" t="n">
        <v>14</v>
      </c>
      <c r="AN47" s="50" t="n">
        <v>0.25</v>
      </c>
      <c r="AP47" s="50" t="n">
        <v>2</v>
      </c>
      <c r="AQ47" s="52" t="n">
        <v>0</v>
      </c>
      <c r="AS47" s="50" t="n">
        <v>0</v>
      </c>
      <c r="BE47" s="3" t="n">
        <v>37742</v>
      </c>
      <c r="BF47" s="52" t="n">
        <v>0.9</v>
      </c>
    </row>
    <row r="48" customFormat="false" ht="12.75" hidden="false" customHeight="false" outlineLevel="0" collapsed="false">
      <c r="A48" s="44" t="n">
        <v>36892</v>
      </c>
      <c r="B48" s="45" t="n">
        <v>34.6249984741211</v>
      </c>
      <c r="C48" s="46" t="n">
        <v>35.2249984741211</v>
      </c>
      <c r="D48" s="45" t="n">
        <v>36.3249984741211</v>
      </c>
      <c r="E48" s="32"/>
      <c r="F48" s="47" t="n">
        <v>19.2599975585938</v>
      </c>
      <c r="G48" s="47" t="n">
        <v>19.5599975585938</v>
      </c>
      <c r="H48" s="47" t="n">
        <v>19.8599975585938</v>
      </c>
      <c r="I48" s="9"/>
      <c r="J48" s="3" t="n">
        <v>37773</v>
      </c>
      <c r="K48" s="48" t="n">
        <v>22.0362501525879</v>
      </c>
      <c r="L48" s="48" t="n">
        <v>24.7587501525879</v>
      </c>
      <c r="M48" s="48" t="n">
        <v>27.4812501525879</v>
      </c>
      <c r="O48" s="48" t="n">
        <v>14.9424995422363</v>
      </c>
      <c r="P48" s="48" t="n">
        <v>18.2424995422363</v>
      </c>
      <c r="Q48" s="48" t="n">
        <v>21.5424995422363</v>
      </c>
      <c r="S48" s="48" t="n">
        <v>0</v>
      </c>
      <c r="T48" s="48" t="n">
        <v>0</v>
      </c>
      <c r="U48" s="48" t="n">
        <v>0</v>
      </c>
      <c r="W48" s="48" t="n">
        <v>0.1046925</v>
      </c>
      <c r="X48" s="53" t="n">
        <v>0.209385</v>
      </c>
      <c r="Y48" s="48" t="n">
        <v>0.3140775</v>
      </c>
      <c r="AA48" s="48" t="n">
        <v>0.0025</v>
      </c>
      <c r="AB48" s="48" t="n">
        <v>0.005</v>
      </c>
      <c r="AC48" s="48" t="n">
        <v>0.0075</v>
      </c>
      <c r="AE48" s="48" t="n">
        <v>-0.75</v>
      </c>
      <c r="AF48" s="53" t="n">
        <v>2.25</v>
      </c>
      <c r="AG48" s="48" t="n">
        <v>0.75</v>
      </c>
      <c r="AI48" s="48" t="n">
        <v>-0.1</v>
      </c>
      <c r="AJ48" s="48" t="n">
        <v>0.3</v>
      </c>
      <c r="AK48" s="48" t="n">
        <v>0.1</v>
      </c>
      <c r="AM48" s="9" t="n">
        <v>14</v>
      </c>
      <c r="AN48" s="50" t="n">
        <v>0.25</v>
      </c>
      <c r="AP48" s="50" t="n">
        <v>3</v>
      </c>
      <c r="AQ48" s="52" t="n">
        <v>0.01</v>
      </c>
      <c r="AS48" s="50" t="n">
        <v>0</v>
      </c>
      <c r="BE48" s="3" t="n">
        <v>37773</v>
      </c>
      <c r="BF48" s="52" t="n">
        <v>0.9</v>
      </c>
    </row>
    <row r="49" customFormat="false" ht="12.75" hidden="false" customHeight="false" outlineLevel="0" collapsed="false">
      <c r="A49" s="44" t="n">
        <v>36923</v>
      </c>
      <c r="B49" s="45" t="n">
        <v>34.6249984741211</v>
      </c>
      <c r="C49" s="46" t="n">
        <v>35.2249984741211</v>
      </c>
      <c r="D49" s="45" t="n">
        <v>36.3249984741211</v>
      </c>
      <c r="E49" s="32"/>
      <c r="F49" s="47" t="n">
        <v>19.409997177124</v>
      </c>
      <c r="G49" s="47" t="n">
        <v>19.709997177124</v>
      </c>
      <c r="H49" s="47" t="n">
        <v>20.009997177124</v>
      </c>
      <c r="I49" s="9"/>
      <c r="J49" s="3" t="n">
        <v>37803</v>
      </c>
      <c r="K49" s="48" t="n">
        <v>36.2112495422363</v>
      </c>
      <c r="L49" s="48" t="n">
        <v>39.2112495422363</v>
      </c>
      <c r="M49" s="48" t="n">
        <v>42.2112495422363</v>
      </c>
      <c r="O49" s="48" t="n">
        <v>25.3974994659424</v>
      </c>
      <c r="P49" s="48" t="n">
        <v>28.6974994659424</v>
      </c>
      <c r="Q49" s="48" t="n">
        <v>31.9974994659424</v>
      </c>
      <c r="S49" s="48" t="n">
        <v>0</v>
      </c>
      <c r="T49" s="48" t="n">
        <v>0</v>
      </c>
      <c r="U49" s="48" t="n">
        <v>0</v>
      </c>
      <c r="W49" s="48" t="n">
        <v>0.1279575</v>
      </c>
      <c r="X49" s="53" t="n">
        <v>0.255915</v>
      </c>
      <c r="Y49" s="48" t="n">
        <v>0.3838725</v>
      </c>
      <c r="AA49" s="48" t="n">
        <v>0.0025</v>
      </c>
      <c r="AB49" s="48" t="n">
        <v>0.005</v>
      </c>
      <c r="AC49" s="48" t="n">
        <v>0.0075</v>
      </c>
      <c r="AE49" s="48" t="n">
        <v>-1</v>
      </c>
      <c r="AF49" s="53" t="n">
        <v>3</v>
      </c>
      <c r="AG49" s="48" t="n">
        <v>1</v>
      </c>
      <c r="AI49" s="48" t="n">
        <v>-0.1</v>
      </c>
      <c r="AJ49" s="48" t="n">
        <v>0.3</v>
      </c>
      <c r="AK49" s="48" t="n">
        <v>0.1</v>
      </c>
      <c r="AM49" s="9" t="n">
        <v>15</v>
      </c>
      <c r="AN49" s="50" t="n">
        <v>0.4</v>
      </c>
      <c r="AP49" s="50" t="n">
        <v>4</v>
      </c>
      <c r="AQ49" s="52" t="n">
        <v>0.015</v>
      </c>
      <c r="AS49" s="50" t="n">
        <v>0</v>
      </c>
      <c r="BE49" s="3" t="n">
        <v>37803</v>
      </c>
      <c r="BF49" s="52" t="n">
        <v>0.9</v>
      </c>
    </row>
    <row r="50" customFormat="false" ht="12.75" hidden="false" customHeight="false" outlineLevel="0" collapsed="false">
      <c r="A50" s="44" t="n">
        <v>36951</v>
      </c>
      <c r="B50" s="45" t="n">
        <v>25.1750007629395</v>
      </c>
      <c r="C50" s="46" t="n">
        <v>25.5750007629395</v>
      </c>
      <c r="D50" s="45" t="n">
        <v>26.4750007629395</v>
      </c>
      <c r="E50" s="32"/>
      <c r="F50" s="47" t="n">
        <v>16.7599990844727</v>
      </c>
      <c r="G50" s="47" t="n">
        <v>16.9599990844727</v>
      </c>
      <c r="H50" s="47" t="n">
        <v>17.1599990844727</v>
      </c>
      <c r="I50" s="9"/>
      <c r="J50" s="3" t="n">
        <v>37834</v>
      </c>
      <c r="K50" s="48" t="n">
        <v>38.4724990844727</v>
      </c>
      <c r="L50" s="48" t="n">
        <v>41.4724990844727</v>
      </c>
      <c r="M50" s="48" t="n">
        <v>44.4724990844727</v>
      </c>
      <c r="O50" s="48" t="n">
        <v>26.8950008392334</v>
      </c>
      <c r="P50" s="48" t="n">
        <v>30.1950008392334</v>
      </c>
      <c r="Q50" s="48" t="n">
        <v>33.4950008392334</v>
      </c>
      <c r="S50" s="48" t="n">
        <v>0</v>
      </c>
      <c r="T50" s="48" t="n">
        <v>0</v>
      </c>
      <c r="U50" s="48" t="n">
        <v>0</v>
      </c>
      <c r="W50" s="48" t="n">
        <v>0.1279575</v>
      </c>
      <c r="X50" s="53" t="n">
        <v>0.255915</v>
      </c>
      <c r="Y50" s="48" t="n">
        <v>0.3838725</v>
      </c>
      <c r="AA50" s="48" t="n">
        <v>0.0025</v>
      </c>
      <c r="AB50" s="48" t="n">
        <v>0.005</v>
      </c>
      <c r="AC50" s="48" t="n">
        <v>0.0075</v>
      </c>
      <c r="AE50" s="48" t="n">
        <v>-1</v>
      </c>
      <c r="AF50" s="53" t="n">
        <v>3</v>
      </c>
      <c r="AG50" s="48" t="n">
        <v>1</v>
      </c>
      <c r="AI50" s="48" t="n">
        <v>-0.1</v>
      </c>
      <c r="AJ50" s="48" t="n">
        <v>0.3</v>
      </c>
      <c r="AK50" s="48" t="n">
        <v>0.1</v>
      </c>
      <c r="AM50" s="9" t="n">
        <v>15</v>
      </c>
      <c r="AN50" s="50" t="n">
        <v>0.4</v>
      </c>
      <c r="AP50" s="50" t="n">
        <v>5</v>
      </c>
      <c r="AQ50" s="52" t="n">
        <v>0.0175</v>
      </c>
      <c r="AS50" s="50" t="n">
        <v>0</v>
      </c>
      <c r="BE50" s="3" t="n">
        <v>37834</v>
      </c>
      <c r="BF50" s="52" t="n">
        <v>0.9</v>
      </c>
    </row>
    <row r="51" customFormat="false" ht="12.75" hidden="false" customHeight="false" outlineLevel="0" collapsed="false">
      <c r="A51" s="44" t="n">
        <v>36982</v>
      </c>
      <c r="B51" s="45" t="n">
        <v>25.3250007629395</v>
      </c>
      <c r="C51" s="46" t="n">
        <v>25.5750007629395</v>
      </c>
      <c r="D51" s="45" t="n">
        <v>26.3250007629395</v>
      </c>
      <c r="E51" s="32"/>
      <c r="F51" s="47" t="n">
        <v>17.0849990844727</v>
      </c>
      <c r="G51" s="47" t="n">
        <v>17.2099990844727</v>
      </c>
      <c r="H51" s="47" t="n">
        <v>17.3349990844727</v>
      </c>
      <c r="I51" s="9"/>
      <c r="J51" s="3" t="n">
        <v>37865</v>
      </c>
      <c r="K51" s="48" t="n">
        <v>18.0049995422363</v>
      </c>
      <c r="L51" s="48" t="n">
        <v>18.6799995422363</v>
      </c>
      <c r="M51" s="48" t="n">
        <v>19.3549995422363</v>
      </c>
      <c r="O51" s="48" t="n">
        <v>11.9600004196167</v>
      </c>
      <c r="P51" s="48" t="n">
        <v>15.2600004196167</v>
      </c>
      <c r="Q51" s="48" t="n">
        <v>18.5600004196167</v>
      </c>
      <c r="S51" s="48" t="n">
        <v>0</v>
      </c>
      <c r="T51" s="48" t="n">
        <v>0</v>
      </c>
      <c r="U51" s="48" t="n">
        <v>0</v>
      </c>
      <c r="W51" s="48" t="n">
        <v>0.08225</v>
      </c>
      <c r="X51" s="53" t="n">
        <v>0.1645</v>
      </c>
      <c r="Y51" s="48" t="n">
        <v>0.24675</v>
      </c>
      <c r="AA51" s="48" t="n">
        <v>0.0025</v>
      </c>
      <c r="AB51" s="48" t="n">
        <v>0.005</v>
      </c>
      <c r="AC51" s="48" t="n">
        <v>0.0075</v>
      </c>
      <c r="AE51" s="48" t="n">
        <v>-0.4</v>
      </c>
      <c r="AF51" s="53" t="n">
        <v>1.75</v>
      </c>
      <c r="AG51" s="48" t="n">
        <v>0.5</v>
      </c>
      <c r="AI51" s="48" t="n">
        <v>-0.1</v>
      </c>
      <c r="AJ51" s="48" t="n">
        <v>0.3</v>
      </c>
      <c r="AK51" s="48" t="n">
        <v>0.1</v>
      </c>
      <c r="AM51" s="9" t="n">
        <v>15</v>
      </c>
      <c r="AN51" s="50" t="n">
        <v>0.4</v>
      </c>
      <c r="AP51" s="50" t="n">
        <v>6</v>
      </c>
      <c r="AQ51" s="52" t="n">
        <v>0.025</v>
      </c>
      <c r="AS51" s="50" t="n">
        <v>0</v>
      </c>
      <c r="BE51" s="3" t="n">
        <v>37865</v>
      </c>
      <c r="BF51" s="52" t="n">
        <v>0.9</v>
      </c>
    </row>
    <row r="52" customFormat="false" ht="12.75" hidden="false" customHeight="false" outlineLevel="0" collapsed="false">
      <c r="A52" s="44" t="n">
        <v>37012</v>
      </c>
      <c r="B52" s="45" t="n">
        <v>30.075</v>
      </c>
      <c r="C52" s="46" t="n">
        <v>30.875</v>
      </c>
      <c r="D52" s="45" t="n">
        <v>32.175</v>
      </c>
      <c r="E52" s="32"/>
      <c r="F52" s="47" t="n">
        <v>16.2599998474121</v>
      </c>
      <c r="G52" s="47" t="n">
        <v>16.6599998474121</v>
      </c>
      <c r="H52" s="47" t="n">
        <v>17.0599998474121</v>
      </c>
      <c r="I52" s="9"/>
      <c r="J52" s="3" t="n">
        <v>37895</v>
      </c>
      <c r="K52" s="48" t="n">
        <v>17.1694995880127</v>
      </c>
      <c r="L52" s="48" t="n">
        <v>17.7319995880127</v>
      </c>
      <c r="M52" s="48" t="n">
        <v>18.2944995880127</v>
      </c>
      <c r="O52" s="48" t="n">
        <v>12.1040004730225</v>
      </c>
      <c r="P52" s="48" t="n">
        <v>15.4040004730225</v>
      </c>
      <c r="Q52" s="48" t="n">
        <v>18.7040004730225</v>
      </c>
      <c r="S52" s="48" t="n">
        <v>0</v>
      </c>
      <c r="T52" s="48" t="n">
        <v>0</v>
      </c>
      <c r="U52" s="48" t="n">
        <v>0</v>
      </c>
      <c r="W52" s="48" t="n">
        <v>0.0581625</v>
      </c>
      <c r="X52" s="53" t="n">
        <v>0.116325</v>
      </c>
      <c r="Y52" s="48" t="n">
        <v>0.1744875</v>
      </c>
      <c r="AA52" s="48" t="n">
        <v>0.0025</v>
      </c>
      <c r="AB52" s="48" t="n">
        <v>0.005</v>
      </c>
      <c r="AC52" s="48" t="n">
        <v>0.0075</v>
      </c>
      <c r="AE52" s="48" t="n">
        <v>-0.25</v>
      </c>
      <c r="AF52" s="53" t="n">
        <v>1.5</v>
      </c>
      <c r="AG52" s="48" t="n">
        <v>0.25</v>
      </c>
      <c r="AI52" s="48" t="n">
        <v>-0.1</v>
      </c>
      <c r="AJ52" s="48" t="n">
        <v>0.3</v>
      </c>
      <c r="AK52" s="48" t="n">
        <v>0.1</v>
      </c>
      <c r="AM52" s="9" t="n">
        <v>16</v>
      </c>
      <c r="AN52" s="50" t="n">
        <v>0.4</v>
      </c>
      <c r="AP52" s="50" t="n">
        <v>7</v>
      </c>
      <c r="AQ52" s="52" t="n">
        <v>0.035</v>
      </c>
      <c r="AS52" s="50" t="n">
        <v>0</v>
      </c>
      <c r="BE52" s="3" t="n">
        <v>37895</v>
      </c>
      <c r="BF52" s="52" t="n">
        <v>0.9</v>
      </c>
    </row>
    <row r="53" customFormat="false" ht="12.75" hidden="false" customHeight="false" outlineLevel="0" collapsed="false">
      <c r="A53" s="44" t="n">
        <v>37043</v>
      </c>
      <c r="B53" s="45" t="n">
        <v>53.0499984741211</v>
      </c>
      <c r="C53" s="46" t="n">
        <v>55.3499984741211</v>
      </c>
      <c r="D53" s="45" t="n">
        <v>58.1499984741211</v>
      </c>
      <c r="E53" s="32"/>
      <c r="F53" s="47" t="n">
        <v>15.5700012207031</v>
      </c>
      <c r="G53" s="47" t="n">
        <v>16.7200012207031</v>
      </c>
      <c r="H53" s="47" t="n">
        <v>17.8700012207031</v>
      </c>
      <c r="I53" s="9"/>
      <c r="J53" s="3" t="n">
        <v>37926</v>
      </c>
      <c r="K53" s="48" t="n">
        <v>16.6312496185303</v>
      </c>
      <c r="L53" s="48" t="n">
        <v>17.1937496185303</v>
      </c>
      <c r="M53" s="48" t="n">
        <v>17.7562496185303</v>
      </c>
      <c r="O53" s="48" t="n">
        <v>12.6250003814697</v>
      </c>
      <c r="P53" s="48" t="n">
        <v>15.9250003814697</v>
      </c>
      <c r="Q53" s="48" t="n">
        <v>19.2250003814697</v>
      </c>
      <c r="S53" s="48" t="n">
        <v>0</v>
      </c>
      <c r="T53" s="48" t="n">
        <v>0</v>
      </c>
      <c r="U53" s="48" t="n">
        <v>0</v>
      </c>
      <c r="W53" s="48" t="n">
        <v>0.0581625</v>
      </c>
      <c r="X53" s="53" t="n">
        <v>0.116325</v>
      </c>
      <c r="Y53" s="48" t="n">
        <v>0.1744875</v>
      </c>
      <c r="AA53" s="48" t="n">
        <v>0.0025</v>
      </c>
      <c r="AB53" s="48" t="n">
        <v>0.005</v>
      </c>
      <c r="AC53" s="48" t="n">
        <v>0.0075</v>
      </c>
      <c r="AE53" s="48" t="n">
        <v>-0.25</v>
      </c>
      <c r="AF53" s="53" t="n">
        <v>1.5</v>
      </c>
      <c r="AG53" s="48" t="n">
        <v>0.25</v>
      </c>
      <c r="AI53" s="48" t="n">
        <v>-0.1</v>
      </c>
      <c r="AJ53" s="48" t="n">
        <v>0.3</v>
      </c>
      <c r="AK53" s="48" t="n">
        <v>0.1</v>
      </c>
      <c r="AM53" s="9" t="n">
        <v>16</v>
      </c>
      <c r="AN53" s="50" t="n">
        <v>0.4</v>
      </c>
      <c r="AP53" s="50" t="n">
        <v>8</v>
      </c>
      <c r="AQ53" s="52" t="n">
        <v>0.04</v>
      </c>
      <c r="AS53" s="50" t="n">
        <v>0</v>
      </c>
      <c r="BE53" s="3" t="n">
        <v>37926</v>
      </c>
      <c r="BF53" s="52" t="n">
        <v>0.9</v>
      </c>
    </row>
    <row r="54" customFormat="false" ht="12.75" hidden="false" customHeight="false" outlineLevel="0" collapsed="false">
      <c r="A54" s="44" t="n">
        <v>37073</v>
      </c>
      <c r="B54" s="45" t="n">
        <v>93.6999969482422</v>
      </c>
      <c r="C54" s="46" t="n">
        <v>96.6999969482422</v>
      </c>
      <c r="D54" s="45" t="n">
        <v>100.199996948242</v>
      </c>
      <c r="E54" s="32"/>
      <c r="F54" s="47" t="n">
        <v>14.9099998474121</v>
      </c>
      <c r="G54" s="47" t="n">
        <v>16.4099998474121</v>
      </c>
      <c r="H54" s="47" t="n">
        <v>17.9099998474121</v>
      </c>
      <c r="I54" s="9"/>
      <c r="J54" s="3" t="n">
        <v>37956</v>
      </c>
      <c r="K54" s="48" t="n">
        <v>20.7762500762939</v>
      </c>
      <c r="L54" s="48" t="n">
        <v>21.3387500762939</v>
      </c>
      <c r="M54" s="48" t="n">
        <v>21.9012500762939</v>
      </c>
      <c r="O54" s="48" t="n">
        <v>13.0750001907349</v>
      </c>
      <c r="P54" s="48" t="n">
        <v>16.3750001907349</v>
      </c>
      <c r="Q54" s="48" t="n">
        <v>19.6750001907349</v>
      </c>
      <c r="S54" s="48" t="n">
        <v>0</v>
      </c>
      <c r="T54" s="48" t="n">
        <v>0</v>
      </c>
      <c r="U54" s="48" t="n">
        <v>0</v>
      </c>
      <c r="W54" s="48" t="n">
        <v>0.0581625</v>
      </c>
      <c r="X54" s="53" t="n">
        <v>0.116325</v>
      </c>
      <c r="Y54" s="48" t="n">
        <v>0.1744875</v>
      </c>
      <c r="AA54" s="48" t="n">
        <v>0.0025</v>
      </c>
      <c r="AB54" s="48" t="n">
        <v>0.005</v>
      </c>
      <c r="AC54" s="48" t="n">
        <v>0.0075</v>
      </c>
      <c r="AE54" s="48" t="n">
        <v>-0.25</v>
      </c>
      <c r="AF54" s="53" t="n">
        <v>1.5</v>
      </c>
      <c r="AG54" s="48" t="n">
        <v>0.25</v>
      </c>
      <c r="AI54" s="48" t="n">
        <v>-0.1</v>
      </c>
      <c r="AJ54" s="48" t="n">
        <v>0.3</v>
      </c>
      <c r="AK54" s="48" t="n">
        <v>0.1</v>
      </c>
      <c r="AM54" s="9" t="n">
        <v>16</v>
      </c>
      <c r="AN54" s="50" t="n">
        <v>0.4</v>
      </c>
      <c r="AP54" s="50" t="n">
        <v>9</v>
      </c>
      <c r="AQ54" s="52" t="n">
        <v>0.055</v>
      </c>
      <c r="AS54" s="50" t="n">
        <v>0</v>
      </c>
      <c r="BE54" s="3" t="n">
        <v>37956</v>
      </c>
      <c r="BF54" s="52" t="n">
        <v>0.9</v>
      </c>
    </row>
    <row r="55" customFormat="false" ht="12.75" hidden="false" customHeight="false" outlineLevel="0" collapsed="false">
      <c r="A55" s="44" t="n">
        <v>37104</v>
      </c>
      <c r="B55" s="45" t="n">
        <v>80.6999969482422</v>
      </c>
      <c r="C55" s="46" t="n">
        <v>83.6999969482422</v>
      </c>
      <c r="D55" s="45" t="n">
        <v>87.1999969482422</v>
      </c>
      <c r="E55" s="32"/>
      <c r="F55" s="47" t="n">
        <v>14.9599990844727</v>
      </c>
      <c r="G55" s="47" t="n">
        <v>16.4599990844727</v>
      </c>
      <c r="H55" s="47" t="n">
        <v>17.9599990844727</v>
      </c>
      <c r="I55" s="9"/>
      <c r="J55" s="3" t="n">
        <v>37987</v>
      </c>
      <c r="K55" s="48" t="n">
        <v>27.7237487792969</v>
      </c>
      <c r="L55" s="48" t="n">
        <v>28.5987487792969</v>
      </c>
      <c r="M55" s="48" t="n">
        <v>29.2737487792969</v>
      </c>
      <c r="O55" s="48" t="n">
        <v>23.8025005340576</v>
      </c>
      <c r="P55" s="48" t="n">
        <v>27.1025005340576</v>
      </c>
      <c r="Q55" s="48" t="n">
        <v>30.4025005340576</v>
      </c>
      <c r="S55" s="48" t="n">
        <v>0</v>
      </c>
      <c r="T55" s="48" t="n">
        <v>0</v>
      </c>
      <c r="U55" s="48" t="n">
        <v>0</v>
      </c>
      <c r="W55" s="48" t="n">
        <v>0.0893376</v>
      </c>
      <c r="X55" s="53" t="n">
        <v>0.1786752</v>
      </c>
      <c r="Y55" s="48" t="n">
        <v>0.2680128</v>
      </c>
      <c r="AA55" s="48" t="n">
        <v>0.0025</v>
      </c>
      <c r="AB55" s="48" t="n">
        <v>0.005</v>
      </c>
      <c r="AC55" s="48" t="n">
        <v>0.0075</v>
      </c>
      <c r="AE55" s="48" t="n">
        <v>-0.4</v>
      </c>
      <c r="AF55" s="53" t="n">
        <v>1.9</v>
      </c>
      <c r="AG55" s="48" t="n">
        <v>0.5</v>
      </c>
      <c r="AI55" s="48" t="n">
        <v>-0.1</v>
      </c>
      <c r="AJ55" s="48" t="n">
        <v>0.3</v>
      </c>
      <c r="AK55" s="48" t="n">
        <v>0.1</v>
      </c>
      <c r="AM55" s="9" t="n">
        <v>17</v>
      </c>
      <c r="AN55" s="50" t="n">
        <v>0.4</v>
      </c>
      <c r="AP55" s="50" t="n">
        <v>10</v>
      </c>
      <c r="AQ55" s="52" t="n">
        <v>0.07</v>
      </c>
      <c r="BE55" s="3" t="n">
        <v>37987</v>
      </c>
      <c r="BF55" s="52" t="n">
        <v>0.9</v>
      </c>
    </row>
    <row r="56" customFormat="false" ht="12.75" hidden="false" customHeight="false" outlineLevel="0" collapsed="false">
      <c r="A56" s="44" t="n">
        <v>37135</v>
      </c>
      <c r="B56" s="45" t="n">
        <v>32.0249984741211</v>
      </c>
      <c r="C56" s="46" t="n">
        <v>32.7249984741211</v>
      </c>
      <c r="D56" s="45" t="n">
        <v>33.9249984741211</v>
      </c>
      <c r="E56" s="32"/>
      <c r="F56" s="47" t="n">
        <v>16.1099990844727</v>
      </c>
      <c r="G56" s="47" t="n">
        <v>16.4599990844727</v>
      </c>
      <c r="H56" s="47" t="n">
        <v>16.8099990844727</v>
      </c>
      <c r="I56" s="9"/>
      <c r="J56" s="3" t="n">
        <v>38018</v>
      </c>
      <c r="K56" s="48" t="n">
        <v>26.7212501525879</v>
      </c>
      <c r="L56" s="48" t="n">
        <v>27.5962501525879</v>
      </c>
      <c r="M56" s="48" t="n">
        <v>28.2712501525879</v>
      </c>
      <c r="O56" s="48" t="n">
        <v>21.7974994659424</v>
      </c>
      <c r="P56" s="48" t="n">
        <v>25.0974994659424</v>
      </c>
      <c r="Q56" s="48" t="n">
        <v>28.3974994659424</v>
      </c>
      <c r="S56" s="48" t="n">
        <v>0</v>
      </c>
      <c r="T56" s="48" t="n">
        <v>0</v>
      </c>
      <c r="U56" s="48" t="n">
        <v>0</v>
      </c>
      <c r="W56" s="48" t="n">
        <v>0.0893376</v>
      </c>
      <c r="X56" s="53" t="n">
        <v>0.1786752</v>
      </c>
      <c r="Y56" s="48" t="n">
        <v>0.2680128</v>
      </c>
      <c r="AA56" s="48" t="n">
        <v>0.0025</v>
      </c>
      <c r="AB56" s="48" t="n">
        <v>0.005</v>
      </c>
      <c r="AC56" s="48" t="n">
        <v>0.0075</v>
      </c>
      <c r="AE56" s="48" t="n">
        <v>-0.4</v>
      </c>
      <c r="AF56" s="53" t="n">
        <v>1.9</v>
      </c>
      <c r="AG56" s="48" t="n">
        <v>0.5</v>
      </c>
      <c r="AI56" s="48" t="n">
        <v>-0.1</v>
      </c>
      <c r="AJ56" s="48" t="n">
        <v>0.3</v>
      </c>
      <c r="AK56" s="48" t="n">
        <v>0.1</v>
      </c>
      <c r="AM56" s="9" t="n">
        <v>17</v>
      </c>
      <c r="AN56" s="50" t="n">
        <v>0.4</v>
      </c>
      <c r="BE56" s="3" t="n">
        <v>38018</v>
      </c>
      <c r="BF56" s="52" t="n">
        <v>0.9</v>
      </c>
    </row>
    <row r="57" customFormat="false" ht="12.75" hidden="false" customHeight="false" outlineLevel="0" collapsed="false">
      <c r="A57" s="44" t="n">
        <v>37165</v>
      </c>
      <c r="B57" s="45" t="n">
        <v>25.6750003814697</v>
      </c>
      <c r="C57" s="46" t="n">
        <v>26.2250003814697</v>
      </c>
      <c r="D57" s="45" t="n">
        <v>27.2750003814697</v>
      </c>
      <c r="E57" s="32"/>
      <c r="F57" s="47" t="n">
        <v>15.8849998474121</v>
      </c>
      <c r="G57" s="47" t="n">
        <v>16.1599998474121</v>
      </c>
      <c r="H57" s="47" t="n">
        <v>16.4349998474121</v>
      </c>
      <c r="I57" s="9"/>
      <c r="J57" s="3" t="n">
        <v>38047</v>
      </c>
      <c r="K57" s="48" t="n">
        <v>19.3222496032715</v>
      </c>
      <c r="L57" s="48" t="n">
        <v>19.7347496032715</v>
      </c>
      <c r="M57" s="48" t="n">
        <v>20.1472496032715</v>
      </c>
      <c r="O57" s="48" t="n">
        <v>16.0644989013672</v>
      </c>
      <c r="P57" s="48" t="n">
        <v>19.3644989013672</v>
      </c>
      <c r="Q57" s="48" t="n">
        <v>22.6644989013672</v>
      </c>
      <c r="S57" s="48" t="n">
        <v>0</v>
      </c>
      <c r="T57" s="48" t="n">
        <v>0</v>
      </c>
      <c r="U57" s="48" t="n">
        <v>0</v>
      </c>
      <c r="W57" s="48" t="n">
        <v>0.074448</v>
      </c>
      <c r="X57" s="53" t="n">
        <v>0.148896</v>
      </c>
      <c r="Y57" s="48" t="n">
        <v>0.223344</v>
      </c>
      <c r="AA57" s="48" t="n">
        <v>0.0025</v>
      </c>
      <c r="AB57" s="48" t="n">
        <v>0.005</v>
      </c>
      <c r="AC57" s="48" t="n">
        <v>0.0075</v>
      </c>
      <c r="AE57" s="48" t="n">
        <v>-0.25</v>
      </c>
      <c r="AF57" s="53" t="n">
        <v>1.1</v>
      </c>
      <c r="AG57" s="48" t="n">
        <v>0.25</v>
      </c>
      <c r="AI57" s="48" t="n">
        <v>-0.1</v>
      </c>
      <c r="AJ57" s="48" t="n">
        <v>0.3</v>
      </c>
      <c r="AK57" s="48" t="n">
        <v>0.1</v>
      </c>
      <c r="AM57" s="9" t="n">
        <v>17</v>
      </c>
      <c r="AN57" s="50" t="n">
        <v>0.4</v>
      </c>
      <c r="BE57" s="3" t="n">
        <v>38047</v>
      </c>
      <c r="BF57" s="52" t="n">
        <v>0.9</v>
      </c>
    </row>
    <row r="58" customFormat="false" ht="12.75" hidden="false" customHeight="false" outlineLevel="0" collapsed="false">
      <c r="A58" s="44" t="n">
        <v>37196</v>
      </c>
      <c r="B58" s="45" t="n">
        <v>25.3474990844727</v>
      </c>
      <c r="C58" s="46" t="n">
        <v>25.8974990844727</v>
      </c>
      <c r="D58" s="45" t="n">
        <v>26.9474990844727</v>
      </c>
      <c r="E58" s="32"/>
      <c r="F58" s="47" t="n">
        <v>14.1349998474121</v>
      </c>
      <c r="G58" s="47" t="n">
        <v>14.4099998474121</v>
      </c>
      <c r="H58" s="47" t="n">
        <v>14.6849998474121</v>
      </c>
      <c r="I58" s="9"/>
      <c r="J58" s="3" t="n">
        <v>38078</v>
      </c>
      <c r="K58" s="48" t="n">
        <v>20.1175003051758</v>
      </c>
      <c r="L58" s="48" t="n">
        <v>20.4175003051758</v>
      </c>
      <c r="M58" s="48" t="n">
        <v>20.7175003051758</v>
      </c>
      <c r="O58" s="48" t="n">
        <v>15.8349990844727</v>
      </c>
      <c r="P58" s="48" t="n">
        <v>19.1349990844727</v>
      </c>
      <c r="Q58" s="48" t="n">
        <v>22.4349990844727</v>
      </c>
      <c r="S58" s="48" t="n">
        <v>0</v>
      </c>
      <c r="T58" s="48" t="n">
        <v>0</v>
      </c>
      <c r="U58" s="48" t="n">
        <v>0</v>
      </c>
      <c r="W58" s="48" t="n">
        <v>0.0707256</v>
      </c>
      <c r="X58" s="53" t="n">
        <v>0.1414512</v>
      </c>
      <c r="Y58" s="48" t="n">
        <v>0.2121768</v>
      </c>
      <c r="AA58" s="48" t="n">
        <v>0.0025</v>
      </c>
      <c r="AB58" s="48" t="n">
        <v>0.005</v>
      </c>
      <c r="AC58" s="48" t="n">
        <v>0.0075</v>
      </c>
      <c r="AE58" s="48" t="n">
        <v>-0.25</v>
      </c>
      <c r="AF58" s="53" t="n">
        <v>1.2</v>
      </c>
      <c r="AG58" s="48" t="n">
        <v>0.25</v>
      </c>
      <c r="AI58" s="48" t="n">
        <v>-0.1</v>
      </c>
      <c r="AJ58" s="48" t="n">
        <v>0.3</v>
      </c>
      <c r="AK58" s="48" t="n">
        <v>0.1</v>
      </c>
      <c r="AM58" s="9" t="n">
        <v>18</v>
      </c>
      <c r="AN58" s="50" t="n">
        <v>0.4</v>
      </c>
      <c r="BE58" s="3" t="n">
        <v>38078</v>
      </c>
      <c r="BF58" s="52" t="n">
        <v>0.9</v>
      </c>
    </row>
    <row r="59" customFormat="false" ht="12.75" hidden="false" customHeight="false" outlineLevel="0" collapsed="false">
      <c r="A59" s="44" t="n">
        <v>37226</v>
      </c>
      <c r="B59" s="45" t="n">
        <v>27.0999996185303</v>
      </c>
      <c r="C59" s="46" t="n">
        <v>27.6499996185303</v>
      </c>
      <c r="D59" s="45" t="n">
        <v>28.6999996185303</v>
      </c>
      <c r="E59" s="32"/>
      <c r="F59" s="47" t="n">
        <v>14.9850002288818</v>
      </c>
      <c r="G59" s="47" t="n">
        <v>15.2600002288818</v>
      </c>
      <c r="H59" s="47" t="n">
        <v>15.5350002288818</v>
      </c>
      <c r="I59" s="9"/>
      <c r="J59" s="3" t="n">
        <v>38108</v>
      </c>
      <c r="K59" s="48" t="n">
        <v>19.497500076294</v>
      </c>
      <c r="L59" s="48" t="n">
        <v>20.532500076294</v>
      </c>
      <c r="M59" s="48" t="n">
        <v>21.567500076294</v>
      </c>
      <c r="O59" s="48" t="n">
        <v>16.3649997711182</v>
      </c>
      <c r="P59" s="48" t="n">
        <v>19.6649997711182</v>
      </c>
      <c r="Q59" s="48" t="n">
        <v>22.9649997711182</v>
      </c>
      <c r="S59" s="48" t="n">
        <v>0</v>
      </c>
      <c r="T59" s="48" t="n">
        <v>0</v>
      </c>
      <c r="U59" s="48" t="n">
        <v>0</v>
      </c>
      <c r="W59" s="48" t="n">
        <v>0.0781704</v>
      </c>
      <c r="X59" s="53" t="n">
        <v>0.1563408</v>
      </c>
      <c r="Y59" s="48" t="n">
        <v>0.2345112</v>
      </c>
      <c r="AA59" s="48" t="n">
        <v>0.0025</v>
      </c>
      <c r="AB59" s="48" t="n">
        <v>0.005</v>
      </c>
      <c r="AC59" s="48" t="n">
        <v>0.0075</v>
      </c>
      <c r="AE59" s="48" t="n">
        <v>-0.25</v>
      </c>
      <c r="AF59" s="53" t="n">
        <v>2</v>
      </c>
      <c r="AG59" s="48" t="n">
        <v>0.25</v>
      </c>
      <c r="AI59" s="48" t="n">
        <v>-0.1</v>
      </c>
      <c r="AJ59" s="48" t="n">
        <v>0.3</v>
      </c>
      <c r="AK59" s="48" t="n">
        <v>0.1</v>
      </c>
      <c r="AM59" s="9" t="n">
        <v>18</v>
      </c>
      <c r="AN59" s="50" t="n">
        <v>0.4</v>
      </c>
      <c r="BE59" s="3" t="n">
        <v>38108</v>
      </c>
      <c r="BF59" s="52" t="n">
        <v>0.9</v>
      </c>
    </row>
    <row r="60" customFormat="false" ht="12.75" hidden="false" customHeight="false" outlineLevel="0" collapsed="false">
      <c r="A60" s="44" t="n">
        <v>37257</v>
      </c>
      <c r="B60" s="45" t="n">
        <v>35.0749984741211</v>
      </c>
      <c r="C60" s="46" t="n">
        <v>35.7749984741211</v>
      </c>
      <c r="D60" s="45" t="n">
        <v>36.9749984741211</v>
      </c>
      <c r="E60" s="32"/>
      <c r="F60" s="47" t="n">
        <v>19.2099975585938</v>
      </c>
      <c r="G60" s="47" t="n">
        <v>19.5599975585938</v>
      </c>
      <c r="H60" s="47" t="n">
        <v>19.9099975585938</v>
      </c>
      <c r="I60" s="9"/>
      <c r="J60" s="3" t="n">
        <v>38139</v>
      </c>
      <c r="K60" s="48" t="n">
        <v>22.1087501525879</v>
      </c>
      <c r="L60" s="48" t="n">
        <v>25.1087501525879</v>
      </c>
      <c r="M60" s="48" t="n">
        <v>28.1087501525879</v>
      </c>
      <c r="O60" s="48" t="n">
        <v>15.2924995422363</v>
      </c>
      <c r="P60" s="48" t="n">
        <v>18.5924995422363</v>
      </c>
      <c r="Q60" s="48" t="n">
        <v>21.8924995422363</v>
      </c>
      <c r="S60" s="48" t="n">
        <v>0</v>
      </c>
      <c r="T60" s="48" t="n">
        <v>0</v>
      </c>
      <c r="U60" s="48" t="n">
        <v>0</v>
      </c>
      <c r="W60" s="48" t="n">
        <v>0.1005048</v>
      </c>
      <c r="X60" s="53" t="n">
        <v>0.2010096</v>
      </c>
      <c r="Y60" s="48" t="n">
        <v>0.3015144</v>
      </c>
      <c r="AA60" s="48" t="n">
        <v>0.0025</v>
      </c>
      <c r="AB60" s="48" t="n">
        <v>0.005</v>
      </c>
      <c r="AC60" s="48" t="n">
        <v>0.0075</v>
      </c>
      <c r="AE60" s="48" t="n">
        <v>-0.75</v>
      </c>
      <c r="AF60" s="53" t="n">
        <v>2.25</v>
      </c>
      <c r="AG60" s="48" t="n">
        <v>0.75</v>
      </c>
      <c r="AI60" s="48" t="n">
        <v>-0.1</v>
      </c>
      <c r="AJ60" s="48" t="n">
        <v>0.3</v>
      </c>
      <c r="AK60" s="48" t="n">
        <v>0.1</v>
      </c>
      <c r="AM60" s="9" t="n">
        <v>18</v>
      </c>
      <c r="AN60" s="50" t="n">
        <v>0.4</v>
      </c>
      <c r="BE60" s="3" t="n">
        <v>38139</v>
      </c>
      <c r="BF60" s="52" t="n">
        <v>0.9</v>
      </c>
    </row>
    <row r="61" customFormat="false" ht="12.75" hidden="false" customHeight="false" outlineLevel="0" collapsed="false">
      <c r="A61" s="44" t="n">
        <v>37288</v>
      </c>
      <c r="B61" s="45" t="n">
        <v>35.0749984741211</v>
      </c>
      <c r="C61" s="46" t="n">
        <v>35.7749984741211</v>
      </c>
      <c r="D61" s="45" t="n">
        <v>36.9749984741211</v>
      </c>
      <c r="E61" s="32"/>
      <c r="F61" s="47" t="n">
        <v>19.359997177124</v>
      </c>
      <c r="G61" s="47" t="n">
        <v>19.709997177124</v>
      </c>
      <c r="H61" s="47" t="n">
        <v>20.059997177124</v>
      </c>
      <c r="I61" s="9"/>
      <c r="J61" s="3" t="n">
        <v>38169</v>
      </c>
      <c r="K61" s="48" t="n">
        <v>36.5612495422363</v>
      </c>
      <c r="L61" s="48" t="n">
        <v>39.5612495422363</v>
      </c>
      <c r="M61" s="48" t="n">
        <v>42.5612495422363</v>
      </c>
      <c r="O61" s="48" t="n">
        <v>25.7474994659424</v>
      </c>
      <c r="P61" s="48" t="n">
        <v>29.0474994659424</v>
      </c>
      <c r="Q61" s="48" t="n">
        <v>32.3474994659424</v>
      </c>
      <c r="S61" s="48" t="n">
        <v>0</v>
      </c>
      <c r="T61" s="48" t="n">
        <v>0</v>
      </c>
      <c r="U61" s="48" t="n">
        <v>0</v>
      </c>
      <c r="W61" s="48" t="n">
        <v>0.1228392</v>
      </c>
      <c r="X61" s="53" t="n">
        <v>0.2456784</v>
      </c>
      <c r="Y61" s="48" t="n">
        <v>0.3685176</v>
      </c>
      <c r="AA61" s="48" t="n">
        <v>0.0025</v>
      </c>
      <c r="AB61" s="48" t="n">
        <v>0.005</v>
      </c>
      <c r="AC61" s="48" t="n">
        <v>0.0075</v>
      </c>
      <c r="AE61" s="48" t="n">
        <v>-1</v>
      </c>
      <c r="AF61" s="53" t="n">
        <v>3</v>
      </c>
      <c r="AG61" s="48" t="n">
        <v>1</v>
      </c>
      <c r="AI61" s="48" t="n">
        <v>-0.1</v>
      </c>
      <c r="AJ61" s="48" t="n">
        <v>0.3</v>
      </c>
      <c r="AK61" s="48" t="n">
        <v>0.1</v>
      </c>
      <c r="AM61" s="9" t="n">
        <v>19</v>
      </c>
      <c r="AN61" s="50" t="n">
        <v>0.4</v>
      </c>
      <c r="BE61" s="3" t="n">
        <v>38169</v>
      </c>
      <c r="BF61" s="52" t="n">
        <v>0.9</v>
      </c>
    </row>
    <row r="62" customFormat="false" ht="12.75" hidden="false" customHeight="false" outlineLevel="0" collapsed="false">
      <c r="A62" s="44" t="n">
        <v>37316</v>
      </c>
      <c r="B62" s="45" t="n">
        <v>25.4250007629395</v>
      </c>
      <c r="C62" s="46" t="n">
        <v>25.8750007629395</v>
      </c>
      <c r="D62" s="45" t="n">
        <v>26.8250007629395</v>
      </c>
      <c r="E62" s="32"/>
      <c r="F62" s="47" t="n">
        <v>16.7349990844727</v>
      </c>
      <c r="G62" s="47" t="n">
        <v>16.9599990844727</v>
      </c>
      <c r="H62" s="47" t="n">
        <v>17.1849990844727</v>
      </c>
      <c r="I62" s="9"/>
      <c r="J62" s="3" t="n">
        <v>38200</v>
      </c>
      <c r="K62" s="48" t="n">
        <v>38.8224990844727</v>
      </c>
      <c r="L62" s="48" t="n">
        <v>41.8224990844727</v>
      </c>
      <c r="M62" s="48" t="n">
        <v>44.8224990844727</v>
      </c>
      <c r="O62" s="48" t="n">
        <v>27.2450008392334</v>
      </c>
      <c r="P62" s="48" t="n">
        <v>30.5450008392334</v>
      </c>
      <c r="Q62" s="48" t="n">
        <v>33.8450008392334</v>
      </c>
      <c r="S62" s="48" t="n">
        <v>0</v>
      </c>
      <c r="T62" s="48" t="n">
        <v>0</v>
      </c>
      <c r="U62" s="48" t="n">
        <v>0</v>
      </c>
      <c r="W62" s="48" t="n">
        <v>0.1228392</v>
      </c>
      <c r="X62" s="53" t="n">
        <v>0.2456784</v>
      </c>
      <c r="Y62" s="48" t="n">
        <v>0.3685176</v>
      </c>
      <c r="AA62" s="48" t="n">
        <v>0.0025</v>
      </c>
      <c r="AB62" s="48" t="n">
        <v>0.005</v>
      </c>
      <c r="AC62" s="48" t="n">
        <v>0.0075</v>
      </c>
      <c r="AE62" s="48" t="n">
        <v>-1</v>
      </c>
      <c r="AF62" s="53" t="n">
        <v>3</v>
      </c>
      <c r="AG62" s="48" t="n">
        <v>1</v>
      </c>
      <c r="AI62" s="48" t="n">
        <v>-0.1</v>
      </c>
      <c r="AJ62" s="48" t="n">
        <v>0.3</v>
      </c>
      <c r="AK62" s="48" t="n">
        <v>0.1</v>
      </c>
      <c r="AM62" s="9" t="n">
        <v>19</v>
      </c>
      <c r="AN62" s="50" t="n">
        <v>0.4</v>
      </c>
      <c r="BE62" s="3" t="n">
        <v>38200</v>
      </c>
      <c r="BF62" s="52" t="n">
        <v>0.9</v>
      </c>
    </row>
    <row r="63" customFormat="false" ht="12.75" hidden="false" customHeight="false" outlineLevel="0" collapsed="false">
      <c r="A63" s="44" t="n">
        <v>37347</v>
      </c>
      <c r="B63" s="45" t="n">
        <v>25.4750007629395</v>
      </c>
      <c r="C63" s="46" t="n">
        <v>25.7750007629395</v>
      </c>
      <c r="D63" s="45" t="n">
        <v>26.5750007629395</v>
      </c>
      <c r="E63" s="32"/>
      <c r="F63" s="47" t="n">
        <v>17.0599990844727</v>
      </c>
      <c r="G63" s="47" t="n">
        <v>17.2099990844727</v>
      </c>
      <c r="H63" s="47" t="n">
        <v>17.3599990844727</v>
      </c>
      <c r="I63" s="9"/>
      <c r="J63" s="3" t="n">
        <v>38231</v>
      </c>
      <c r="K63" s="48" t="n">
        <v>18.2799995422363</v>
      </c>
      <c r="L63" s="48" t="n">
        <v>19.0299995422363</v>
      </c>
      <c r="M63" s="48" t="n">
        <v>19.7799995422363</v>
      </c>
      <c r="O63" s="48" t="n">
        <v>12.3100004196167</v>
      </c>
      <c r="P63" s="48" t="n">
        <v>15.6100004196167</v>
      </c>
      <c r="Q63" s="48" t="n">
        <v>18.9100004196167</v>
      </c>
      <c r="S63" s="48" t="n">
        <v>0</v>
      </c>
      <c r="T63" s="48" t="n">
        <v>0</v>
      </c>
      <c r="U63" s="48" t="n">
        <v>0</v>
      </c>
      <c r="W63" s="48" t="n">
        <v>0.07896</v>
      </c>
      <c r="X63" s="53" t="n">
        <v>0.15792</v>
      </c>
      <c r="Y63" s="48" t="n">
        <v>0.23688</v>
      </c>
      <c r="AA63" s="48" t="n">
        <v>0.0025</v>
      </c>
      <c r="AB63" s="48" t="n">
        <v>0.005</v>
      </c>
      <c r="AC63" s="48" t="n">
        <v>0.0075</v>
      </c>
      <c r="AE63" s="48" t="n">
        <v>-0.4</v>
      </c>
      <c r="AF63" s="53" t="n">
        <v>1.75</v>
      </c>
      <c r="AG63" s="48" t="n">
        <v>0.5</v>
      </c>
      <c r="AI63" s="48" t="n">
        <v>-0.1</v>
      </c>
      <c r="AJ63" s="48" t="n">
        <v>0.3</v>
      </c>
      <c r="AK63" s="48" t="n">
        <v>0.1</v>
      </c>
      <c r="AM63" s="9" t="n">
        <v>19</v>
      </c>
      <c r="AN63" s="50" t="n">
        <v>0.4</v>
      </c>
      <c r="BE63" s="3" t="n">
        <v>38231</v>
      </c>
      <c r="BF63" s="52" t="n">
        <v>0.9</v>
      </c>
    </row>
    <row r="64" customFormat="false" ht="12.75" hidden="false" customHeight="false" outlineLevel="0" collapsed="false">
      <c r="A64" s="44" t="n">
        <v>37377</v>
      </c>
      <c r="B64" s="45" t="n">
        <v>29.875</v>
      </c>
      <c r="C64" s="46" t="n">
        <v>30.875</v>
      </c>
      <c r="D64" s="45" t="n">
        <v>32.375</v>
      </c>
      <c r="E64" s="32"/>
      <c r="F64" s="47" t="n">
        <v>16.1599998474121</v>
      </c>
      <c r="G64" s="47" t="n">
        <v>16.6599998474121</v>
      </c>
      <c r="H64" s="47" t="n">
        <v>17.1599998474121</v>
      </c>
      <c r="I64" s="9"/>
      <c r="J64" s="3" t="n">
        <v>38261</v>
      </c>
      <c r="K64" s="48" t="n">
        <v>17.4444995880127</v>
      </c>
      <c r="L64" s="48" t="n">
        <v>18.0819995880127</v>
      </c>
      <c r="M64" s="48" t="n">
        <v>18.7194995880127</v>
      </c>
      <c r="O64" s="48" t="n">
        <v>12.4540004730225</v>
      </c>
      <c r="P64" s="48" t="n">
        <v>15.7540004730225</v>
      </c>
      <c r="Q64" s="48" t="n">
        <v>19.0540004730225</v>
      </c>
      <c r="S64" s="48" t="n">
        <v>0</v>
      </c>
      <c r="T64" s="48" t="n">
        <v>0</v>
      </c>
      <c r="U64" s="48" t="n">
        <v>0</v>
      </c>
      <c r="W64" s="48" t="n">
        <v>0.055836</v>
      </c>
      <c r="X64" s="53" t="n">
        <v>0.111672</v>
      </c>
      <c r="Y64" s="48" t="n">
        <v>0.167508</v>
      </c>
      <c r="AA64" s="48" t="n">
        <v>0.0025</v>
      </c>
      <c r="AB64" s="48" t="n">
        <v>0.005</v>
      </c>
      <c r="AC64" s="48" t="n">
        <v>0.0075</v>
      </c>
      <c r="AE64" s="48" t="n">
        <v>-0.25</v>
      </c>
      <c r="AF64" s="53" t="n">
        <v>1.5</v>
      </c>
      <c r="AG64" s="48" t="n">
        <v>0.25</v>
      </c>
      <c r="AI64" s="48" t="n">
        <v>-0.1</v>
      </c>
      <c r="AJ64" s="48" t="n">
        <v>0.3</v>
      </c>
      <c r="AK64" s="48" t="n">
        <v>0.1</v>
      </c>
      <c r="AM64" s="9" t="n">
        <v>20</v>
      </c>
      <c r="AN64" s="50" t="n">
        <v>0.4</v>
      </c>
      <c r="BE64" s="3" t="n">
        <v>38261</v>
      </c>
      <c r="BF64" s="52" t="n">
        <v>0.9</v>
      </c>
    </row>
    <row r="65" customFormat="false" ht="12.75" hidden="false" customHeight="false" outlineLevel="0" collapsed="false">
      <c r="A65" s="44" t="n">
        <v>37408</v>
      </c>
      <c r="B65" s="45" t="n">
        <v>51.9499984741211</v>
      </c>
      <c r="C65" s="46" t="n">
        <v>54.8499984741211</v>
      </c>
      <c r="D65" s="45" t="n">
        <v>58.2499984741211</v>
      </c>
      <c r="E65" s="32"/>
      <c r="F65" s="47" t="n">
        <v>15.2700012207031</v>
      </c>
      <c r="G65" s="47" t="n">
        <v>16.7200012207031</v>
      </c>
      <c r="H65" s="47" t="n">
        <v>18.1700012207031</v>
      </c>
      <c r="I65" s="9"/>
      <c r="J65" s="3" t="n">
        <v>38292</v>
      </c>
      <c r="K65" s="48" t="n">
        <v>16.9062496185303</v>
      </c>
      <c r="L65" s="48" t="n">
        <v>17.5437496185303</v>
      </c>
      <c r="M65" s="48" t="n">
        <v>18.1812496185303</v>
      </c>
      <c r="O65" s="48" t="n">
        <v>12.9750003814697</v>
      </c>
      <c r="P65" s="48" t="n">
        <v>16.2750003814697</v>
      </c>
      <c r="Q65" s="48" t="n">
        <v>19.5750003814697</v>
      </c>
      <c r="S65" s="48" t="n">
        <v>0</v>
      </c>
      <c r="T65" s="48" t="n">
        <v>0</v>
      </c>
      <c r="U65" s="48" t="n">
        <v>0</v>
      </c>
      <c r="W65" s="48" t="n">
        <v>0.055836</v>
      </c>
      <c r="X65" s="53" t="n">
        <v>0.111672</v>
      </c>
      <c r="Y65" s="48" t="n">
        <v>0.167508</v>
      </c>
      <c r="AA65" s="48" t="n">
        <v>0.0025</v>
      </c>
      <c r="AB65" s="48" t="n">
        <v>0.005</v>
      </c>
      <c r="AC65" s="48" t="n">
        <v>0.0075</v>
      </c>
      <c r="AE65" s="48" t="n">
        <v>-0.25</v>
      </c>
      <c r="AF65" s="53" t="n">
        <v>1.5</v>
      </c>
      <c r="AG65" s="48" t="n">
        <v>0.25</v>
      </c>
      <c r="AI65" s="48" t="n">
        <v>-0.1</v>
      </c>
      <c r="AJ65" s="48" t="n">
        <v>0.3</v>
      </c>
      <c r="AK65" s="48" t="n">
        <v>0.1</v>
      </c>
      <c r="AM65" s="9" t="n">
        <v>20</v>
      </c>
      <c r="AN65" s="50" t="n">
        <v>0.4</v>
      </c>
      <c r="BE65" s="3" t="n">
        <v>38292</v>
      </c>
      <c r="BF65" s="52" t="n">
        <v>0.9</v>
      </c>
    </row>
    <row r="66" customFormat="false" ht="12.75" hidden="false" customHeight="false" outlineLevel="0" collapsed="false">
      <c r="A66" s="44" t="n">
        <v>37438</v>
      </c>
      <c r="B66" s="45" t="n">
        <v>90.6999969482422</v>
      </c>
      <c r="C66" s="46" t="n">
        <v>94.6999969482422</v>
      </c>
      <c r="D66" s="45" t="n">
        <v>99.1999969482422</v>
      </c>
      <c r="E66" s="32"/>
      <c r="F66" s="47" t="n">
        <v>14.4099998474121</v>
      </c>
      <c r="G66" s="47" t="n">
        <v>16.4099998474121</v>
      </c>
      <c r="H66" s="47" t="n">
        <v>18.4099998474121</v>
      </c>
      <c r="I66" s="9"/>
      <c r="J66" s="3" t="n">
        <v>38322</v>
      </c>
      <c r="K66" s="48" t="n">
        <v>21.051250076294</v>
      </c>
      <c r="L66" s="48" t="n">
        <v>21.688750076294</v>
      </c>
      <c r="M66" s="48" t="n">
        <v>22.326250076294</v>
      </c>
      <c r="O66" s="48" t="n">
        <v>13.4250001907349</v>
      </c>
      <c r="P66" s="48" t="n">
        <v>16.7250001907349</v>
      </c>
      <c r="Q66" s="48" t="n">
        <v>20.0250001907349</v>
      </c>
      <c r="S66" s="48" t="n">
        <v>0</v>
      </c>
      <c r="T66" s="48" t="n">
        <v>0</v>
      </c>
      <c r="U66" s="48" t="n">
        <v>0</v>
      </c>
      <c r="W66" s="48" t="n">
        <v>0.055836</v>
      </c>
      <c r="X66" s="53" t="n">
        <v>0.111672</v>
      </c>
      <c r="Y66" s="48" t="n">
        <v>0.167508</v>
      </c>
      <c r="AA66" s="48" t="n">
        <v>0.0025</v>
      </c>
      <c r="AB66" s="48" t="n">
        <v>0.005</v>
      </c>
      <c r="AC66" s="48" t="n">
        <v>0.0075</v>
      </c>
      <c r="AE66" s="48" t="n">
        <v>-0.25</v>
      </c>
      <c r="AF66" s="53" t="n">
        <v>1.5</v>
      </c>
      <c r="AG66" s="48" t="n">
        <v>0.25</v>
      </c>
      <c r="AI66" s="48" t="n">
        <v>-0.1</v>
      </c>
      <c r="AJ66" s="48" t="n">
        <v>0.3</v>
      </c>
      <c r="AK66" s="48" t="n">
        <v>0.1</v>
      </c>
      <c r="AM66" s="9" t="n">
        <v>20</v>
      </c>
      <c r="AN66" s="50" t="n">
        <v>0.4</v>
      </c>
      <c r="BE66" s="3" t="n">
        <v>38322</v>
      </c>
      <c r="BF66" s="52" t="n">
        <v>0.9</v>
      </c>
    </row>
    <row r="67" customFormat="false" ht="12.75" hidden="false" customHeight="false" outlineLevel="0" collapsed="false">
      <c r="A67" s="44" t="n">
        <v>37469</v>
      </c>
      <c r="B67" s="45" t="n">
        <v>77.6999969482422</v>
      </c>
      <c r="C67" s="46" t="n">
        <v>81.6999969482422</v>
      </c>
      <c r="D67" s="45" t="n">
        <v>86.1999969482422</v>
      </c>
      <c r="E67" s="32"/>
      <c r="F67" s="47" t="n">
        <v>14.4599990844727</v>
      </c>
      <c r="G67" s="47" t="n">
        <v>16.4599990844727</v>
      </c>
      <c r="H67" s="47" t="n">
        <v>18.4599990844727</v>
      </c>
      <c r="I67" s="9"/>
      <c r="J67" s="3" t="n">
        <v>38353</v>
      </c>
      <c r="K67" s="48" t="n">
        <v>28.5487487792969</v>
      </c>
      <c r="L67" s="48" t="n">
        <v>29.4987487792969</v>
      </c>
      <c r="M67" s="48" t="n">
        <v>30.2487487792969</v>
      </c>
      <c r="O67" s="48" t="n">
        <v>24.7025005340576</v>
      </c>
      <c r="P67" s="48" t="n">
        <v>28.0025005340576</v>
      </c>
      <c r="Q67" s="48" t="n">
        <v>31.3025005340576</v>
      </c>
      <c r="S67" s="48" t="n">
        <v>0</v>
      </c>
      <c r="T67" s="48" t="n">
        <v>0</v>
      </c>
      <c r="U67" s="48" t="n">
        <v>0</v>
      </c>
      <c r="W67" s="48" t="n">
        <v>0.085764096</v>
      </c>
      <c r="X67" s="53" t="n">
        <v>0.171528192</v>
      </c>
      <c r="Y67" s="48" t="n">
        <v>0.257292288</v>
      </c>
      <c r="AA67" s="48" t="n">
        <v>0.0025</v>
      </c>
      <c r="AB67" s="48" t="n">
        <v>0.005</v>
      </c>
      <c r="AC67" s="48" t="n">
        <v>0.0075</v>
      </c>
      <c r="AE67" s="48" t="n">
        <v>-0.4</v>
      </c>
      <c r="AF67" s="53" t="n">
        <v>1.875</v>
      </c>
      <c r="AG67" s="48" t="n">
        <v>0.5</v>
      </c>
      <c r="AI67" s="48" t="n">
        <v>-0.1</v>
      </c>
      <c r="AJ67" s="48" t="n">
        <v>0.3</v>
      </c>
      <c r="AK67" s="48" t="n">
        <v>0.1</v>
      </c>
      <c r="AM67" s="9" t="n">
        <v>21</v>
      </c>
      <c r="AN67" s="50" t="n">
        <v>0.4</v>
      </c>
      <c r="BE67" s="3" t="n">
        <v>38353</v>
      </c>
      <c r="BF67" s="52" t="n">
        <v>0.9</v>
      </c>
    </row>
    <row r="68" customFormat="false" ht="12.75" hidden="false" customHeight="false" outlineLevel="0" collapsed="false">
      <c r="A68" s="44" t="n">
        <v>37500</v>
      </c>
      <c r="B68" s="45" t="n">
        <v>32.0249984741211</v>
      </c>
      <c r="C68" s="46" t="n">
        <v>32.8249984741211</v>
      </c>
      <c r="D68" s="45" t="n">
        <v>34.1249984741211</v>
      </c>
      <c r="E68" s="32"/>
      <c r="F68" s="47" t="n">
        <v>16.0599990844727</v>
      </c>
      <c r="G68" s="47" t="n">
        <v>16.4599990844727</v>
      </c>
      <c r="H68" s="47" t="n">
        <v>16.8599990844727</v>
      </c>
      <c r="I68" s="9"/>
      <c r="J68" s="3" t="n">
        <v>38384</v>
      </c>
      <c r="K68" s="48" t="n">
        <v>27.5462501525879</v>
      </c>
      <c r="L68" s="48" t="n">
        <v>28.4962501525879</v>
      </c>
      <c r="M68" s="48" t="n">
        <v>29.2462501525879</v>
      </c>
      <c r="O68" s="48" t="n">
        <v>22.6974994659424</v>
      </c>
      <c r="P68" s="48" t="n">
        <v>25.9974994659424</v>
      </c>
      <c r="Q68" s="48" t="n">
        <v>29.2974994659424</v>
      </c>
      <c r="S68" s="48" t="n">
        <v>0</v>
      </c>
      <c r="T68" s="48" t="n">
        <v>0</v>
      </c>
      <c r="U68" s="48" t="n">
        <v>0</v>
      </c>
      <c r="W68" s="48" t="n">
        <v>0.085764096</v>
      </c>
      <c r="X68" s="53" t="n">
        <v>0.171528192</v>
      </c>
      <c r="Y68" s="48" t="n">
        <v>0.257292288</v>
      </c>
      <c r="AA68" s="48" t="n">
        <v>0.0025</v>
      </c>
      <c r="AB68" s="48" t="n">
        <v>0.005</v>
      </c>
      <c r="AC68" s="48" t="n">
        <v>0.0075</v>
      </c>
      <c r="AE68" s="48" t="n">
        <v>-0.4</v>
      </c>
      <c r="AF68" s="53" t="n">
        <v>1.875</v>
      </c>
      <c r="AG68" s="48" t="n">
        <v>0.5</v>
      </c>
      <c r="AI68" s="48" t="n">
        <v>-0.1</v>
      </c>
      <c r="AJ68" s="48" t="n">
        <v>0.3</v>
      </c>
      <c r="AK68" s="48" t="n">
        <v>0.1</v>
      </c>
      <c r="AM68" s="9" t="n">
        <v>21</v>
      </c>
      <c r="AN68" s="50" t="n">
        <v>0.4</v>
      </c>
      <c r="BE68" s="3" t="n">
        <v>38384</v>
      </c>
      <c r="BF68" s="52" t="n">
        <v>0.9</v>
      </c>
    </row>
    <row r="69" customFormat="false" ht="12.75" hidden="false" customHeight="false" outlineLevel="0" collapsed="false">
      <c r="A69" s="44" t="n">
        <v>37530</v>
      </c>
      <c r="B69" s="45" t="n">
        <v>25.8250003814697</v>
      </c>
      <c r="C69" s="46" t="n">
        <v>26.4750003814697</v>
      </c>
      <c r="D69" s="45" t="n">
        <v>27.6250003814697</v>
      </c>
      <c r="E69" s="32"/>
      <c r="F69" s="47" t="n">
        <v>15.8349998474121</v>
      </c>
      <c r="G69" s="47" t="n">
        <v>16.1599998474121</v>
      </c>
      <c r="H69" s="47" t="n">
        <v>16.4849998474121</v>
      </c>
      <c r="I69" s="9"/>
      <c r="J69" s="3" t="n">
        <v>38412</v>
      </c>
      <c r="K69" s="48" t="n">
        <v>19.6347496032715</v>
      </c>
      <c r="L69" s="48" t="n">
        <v>20.0847496032715</v>
      </c>
      <c r="M69" s="48" t="n">
        <v>20.5347496032715</v>
      </c>
      <c r="O69" s="48" t="n">
        <v>16.4144989013672</v>
      </c>
      <c r="P69" s="48" t="n">
        <v>19.7144989013672</v>
      </c>
      <c r="Q69" s="48" t="n">
        <v>23.0144989013672</v>
      </c>
      <c r="S69" s="48" t="n">
        <v>0</v>
      </c>
      <c r="T69" s="48" t="n">
        <v>0</v>
      </c>
      <c r="U69" s="48" t="n">
        <v>0</v>
      </c>
      <c r="W69" s="48" t="n">
        <v>0.07147008</v>
      </c>
      <c r="X69" s="53" t="n">
        <v>0.14294016</v>
      </c>
      <c r="Y69" s="48" t="n">
        <v>0.21441024</v>
      </c>
      <c r="AA69" s="48" t="n">
        <v>0.0025</v>
      </c>
      <c r="AB69" s="48" t="n">
        <v>0.005</v>
      </c>
      <c r="AC69" s="48" t="n">
        <v>0.0075</v>
      </c>
      <c r="AE69" s="48" t="n">
        <v>-0.25</v>
      </c>
      <c r="AF69" s="53" t="n">
        <v>1.1</v>
      </c>
      <c r="AG69" s="48" t="n">
        <v>0.25</v>
      </c>
      <c r="AI69" s="48" t="n">
        <v>-0.1</v>
      </c>
      <c r="AJ69" s="48" t="n">
        <v>0.3</v>
      </c>
      <c r="AK69" s="48" t="n">
        <v>0.1</v>
      </c>
      <c r="AM69" s="9" t="n">
        <v>21</v>
      </c>
      <c r="AN69" s="50" t="n">
        <v>0.4</v>
      </c>
      <c r="BE69" s="3" t="n">
        <v>38412</v>
      </c>
      <c r="BF69" s="52" t="n">
        <v>0.9</v>
      </c>
    </row>
    <row r="70" customFormat="false" ht="12.75" hidden="false" customHeight="false" outlineLevel="0" collapsed="false">
      <c r="A70" s="44" t="n">
        <v>37561</v>
      </c>
      <c r="B70" s="45" t="n">
        <v>25.4974990844727</v>
      </c>
      <c r="C70" s="46" t="n">
        <v>26.1474990844727</v>
      </c>
      <c r="D70" s="45" t="n">
        <v>27.2974990844727</v>
      </c>
      <c r="E70" s="32"/>
      <c r="F70" s="47" t="n">
        <v>14.0849998474121</v>
      </c>
      <c r="G70" s="47" t="n">
        <v>14.4099998474121</v>
      </c>
      <c r="H70" s="47" t="n">
        <v>14.7349998474121</v>
      </c>
      <c r="I70" s="9"/>
      <c r="J70" s="3" t="n">
        <v>38443</v>
      </c>
      <c r="K70" s="48" t="n">
        <v>20.4300003051758</v>
      </c>
      <c r="L70" s="48" t="n">
        <v>20.7675003051758</v>
      </c>
      <c r="M70" s="48" t="n">
        <v>21.1050003051758</v>
      </c>
      <c r="O70" s="48" t="n">
        <v>16.1849990844727</v>
      </c>
      <c r="P70" s="48" t="n">
        <v>19.4849990844727</v>
      </c>
      <c r="Q70" s="48" t="n">
        <v>22.7849990844727</v>
      </c>
      <c r="S70" s="48" t="n">
        <v>0</v>
      </c>
      <c r="T70" s="48" t="n">
        <v>0</v>
      </c>
      <c r="U70" s="48" t="n">
        <v>0</v>
      </c>
      <c r="W70" s="48" t="n">
        <v>0.067896576</v>
      </c>
      <c r="X70" s="53" t="n">
        <v>0.135793152</v>
      </c>
      <c r="Y70" s="48" t="n">
        <v>0.203689728</v>
      </c>
      <c r="AA70" s="48" t="n">
        <v>0.0025</v>
      </c>
      <c r="AB70" s="48" t="n">
        <v>0.005</v>
      </c>
      <c r="AC70" s="48" t="n">
        <v>0.0075</v>
      </c>
      <c r="AE70" s="48" t="n">
        <v>-0.25</v>
      </c>
      <c r="AF70" s="53" t="n">
        <v>1.2</v>
      </c>
      <c r="AG70" s="48" t="n">
        <v>0.25</v>
      </c>
      <c r="AI70" s="48" t="n">
        <v>-0.1</v>
      </c>
      <c r="AJ70" s="48" t="n">
        <v>0.3</v>
      </c>
      <c r="AK70" s="48" t="n">
        <v>0.1</v>
      </c>
      <c r="AM70" s="9" t="n">
        <v>22</v>
      </c>
      <c r="AN70" s="50" t="n">
        <v>0.4</v>
      </c>
      <c r="BE70" s="3" t="n">
        <v>38443</v>
      </c>
      <c r="BF70" s="52" t="n">
        <v>0.9</v>
      </c>
    </row>
    <row r="71" customFormat="false" ht="12.75" hidden="false" customHeight="false" outlineLevel="0" collapsed="false">
      <c r="A71" s="44" t="n">
        <v>37591</v>
      </c>
      <c r="B71" s="45" t="n">
        <v>27.2499996185303</v>
      </c>
      <c r="C71" s="46" t="n">
        <v>27.8999996185303</v>
      </c>
      <c r="D71" s="45" t="n">
        <v>29.0499996185303</v>
      </c>
      <c r="E71" s="32"/>
      <c r="F71" s="47" t="n">
        <v>14.9350002288818</v>
      </c>
      <c r="G71" s="47" t="n">
        <v>15.2600002288818</v>
      </c>
      <c r="H71" s="47" t="n">
        <v>15.5850002288818</v>
      </c>
      <c r="I71" s="9"/>
      <c r="J71" s="3" t="n">
        <v>38473</v>
      </c>
      <c r="K71" s="48" t="n">
        <v>19.742500076294</v>
      </c>
      <c r="L71" s="48" t="n">
        <v>20.882500076294</v>
      </c>
      <c r="M71" s="48" t="n">
        <v>22.022500076294</v>
      </c>
      <c r="O71" s="48" t="n">
        <v>16.7149997711182</v>
      </c>
      <c r="P71" s="48" t="n">
        <v>20.0149997711182</v>
      </c>
      <c r="Q71" s="48" t="n">
        <v>23.3149997711182</v>
      </c>
      <c r="S71" s="48" t="n">
        <v>0</v>
      </c>
      <c r="T71" s="48" t="n">
        <v>0</v>
      </c>
      <c r="U71" s="48" t="n">
        <v>0</v>
      </c>
      <c r="W71" s="48" t="n">
        <v>0.075043584</v>
      </c>
      <c r="X71" s="53" t="n">
        <v>0.150087168</v>
      </c>
      <c r="Y71" s="48" t="n">
        <v>0.225130752</v>
      </c>
      <c r="AA71" s="48" t="n">
        <v>0.0025</v>
      </c>
      <c r="AB71" s="48" t="n">
        <v>0.005</v>
      </c>
      <c r="AC71" s="48" t="n">
        <v>0.0075</v>
      </c>
      <c r="AE71" s="48" t="n">
        <v>-0.25</v>
      </c>
      <c r="AF71" s="53" t="n">
        <v>2</v>
      </c>
      <c r="AG71" s="48" t="n">
        <v>0.25</v>
      </c>
      <c r="AI71" s="48" t="n">
        <v>-0.1</v>
      </c>
      <c r="AJ71" s="48" t="n">
        <v>0.3</v>
      </c>
      <c r="AK71" s="48" t="n">
        <v>0.1</v>
      </c>
      <c r="AM71" s="9" t="n">
        <v>22</v>
      </c>
      <c r="AN71" s="50" t="n">
        <v>0.4</v>
      </c>
      <c r="BE71" s="3" t="n">
        <v>38473</v>
      </c>
      <c r="BF71" s="52" t="n">
        <v>0.9</v>
      </c>
    </row>
    <row r="72" customFormat="false" ht="12.75" hidden="false" customHeight="false" outlineLevel="0" collapsed="false">
      <c r="A72" s="44" t="n">
        <v>37622</v>
      </c>
      <c r="B72" s="45" t="n">
        <v>35.5249984741211</v>
      </c>
      <c r="C72" s="46" t="n">
        <v>36.3249984741211</v>
      </c>
      <c r="D72" s="45" t="n">
        <v>37.6249984741211</v>
      </c>
      <c r="E72" s="32"/>
      <c r="F72" s="47" t="n">
        <v>19.1649975585938</v>
      </c>
      <c r="G72" s="47" t="n">
        <v>19.5649975585938</v>
      </c>
      <c r="H72" s="47" t="n">
        <v>19.9649975585937</v>
      </c>
      <c r="I72" s="9"/>
      <c r="J72" s="3" t="n">
        <v>38504</v>
      </c>
      <c r="K72" s="48" t="n">
        <v>22.1587501525879</v>
      </c>
      <c r="L72" s="48" t="n">
        <v>25.4587501525879</v>
      </c>
      <c r="M72" s="48" t="n">
        <v>28.7587501525879</v>
      </c>
      <c r="O72" s="48" t="n">
        <v>15.6424995422363</v>
      </c>
      <c r="P72" s="48" t="n">
        <v>18.9424995422363</v>
      </c>
      <c r="Q72" s="48" t="n">
        <v>22.2424995422363</v>
      </c>
      <c r="S72" s="48" t="n">
        <v>0</v>
      </c>
      <c r="T72" s="48" t="n">
        <v>0</v>
      </c>
      <c r="U72" s="48" t="n">
        <v>0</v>
      </c>
      <c r="W72" s="48" t="n">
        <v>0.096484608</v>
      </c>
      <c r="X72" s="53" t="n">
        <v>0.192969216</v>
      </c>
      <c r="Y72" s="48" t="n">
        <v>0.289453824</v>
      </c>
      <c r="AA72" s="48" t="n">
        <v>0.0025</v>
      </c>
      <c r="AB72" s="48" t="n">
        <v>0.005</v>
      </c>
      <c r="AC72" s="48" t="n">
        <v>0.0075</v>
      </c>
      <c r="AE72" s="48" t="n">
        <v>-0.75</v>
      </c>
      <c r="AF72" s="53" t="n">
        <v>2.25</v>
      </c>
      <c r="AG72" s="48" t="n">
        <v>0.75</v>
      </c>
      <c r="AI72" s="48" t="n">
        <v>-0.1</v>
      </c>
      <c r="AJ72" s="48" t="n">
        <v>0.3</v>
      </c>
      <c r="AK72" s="48" t="n">
        <v>0.1</v>
      </c>
      <c r="AM72" s="9" t="n">
        <v>22</v>
      </c>
      <c r="AN72" s="50" t="n">
        <v>0.4</v>
      </c>
      <c r="BE72" s="3" t="n">
        <v>38504</v>
      </c>
      <c r="BF72" s="52" t="n">
        <v>0.9</v>
      </c>
    </row>
    <row r="73" customFormat="false" ht="12.75" hidden="false" customHeight="false" outlineLevel="0" collapsed="false">
      <c r="A73" s="44" t="n">
        <v>37653</v>
      </c>
      <c r="B73" s="45" t="n">
        <v>35.5249984741211</v>
      </c>
      <c r="C73" s="46" t="n">
        <v>36.3249984741211</v>
      </c>
      <c r="D73" s="45" t="n">
        <v>37.6249984741211</v>
      </c>
      <c r="E73" s="32"/>
      <c r="F73" s="47" t="n">
        <v>19.314997177124</v>
      </c>
      <c r="G73" s="47" t="n">
        <v>19.714997177124</v>
      </c>
      <c r="H73" s="47" t="n">
        <v>20.114997177124</v>
      </c>
      <c r="I73" s="9"/>
      <c r="J73" s="3" t="n">
        <v>38534</v>
      </c>
      <c r="K73" s="48" t="n">
        <v>36.9112495422363</v>
      </c>
      <c r="L73" s="48" t="n">
        <v>39.9112495422363</v>
      </c>
      <c r="M73" s="48" t="n">
        <v>42.9112495422363</v>
      </c>
      <c r="O73" s="48" t="n">
        <v>26.0974994659424</v>
      </c>
      <c r="P73" s="48" t="n">
        <v>29.3974994659424</v>
      </c>
      <c r="Q73" s="48" t="n">
        <v>32.6974994659424</v>
      </c>
      <c r="S73" s="48" t="n">
        <v>0</v>
      </c>
      <c r="T73" s="48" t="n">
        <v>0</v>
      </c>
      <c r="U73" s="48" t="n">
        <v>0</v>
      </c>
      <c r="W73" s="48" t="n">
        <v>0.117925632</v>
      </c>
      <c r="X73" s="53" t="n">
        <v>0.235851264</v>
      </c>
      <c r="Y73" s="48" t="n">
        <v>0.353776896</v>
      </c>
      <c r="AA73" s="48" t="n">
        <v>0.0025</v>
      </c>
      <c r="AB73" s="48" t="n">
        <v>0.005</v>
      </c>
      <c r="AC73" s="48" t="n">
        <v>0.0075</v>
      </c>
      <c r="AE73" s="48" t="n">
        <v>-1</v>
      </c>
      <c r="AF73" s="53" t="n">
        <v>3</v>
      </c>
      <c r="AG73" s="48" t="n">
        <v>1</v>
      </c>
      <c r="AI73" s="48" t="n">
        <v>-0.1</v>
      </c>
      <c r="AJ73" s="48" t="n">
        <v>0.3</v>
      </c>
      <c r="AK73" s="48" t="n">
        <v>0.1</v>
      </c>
      <c r="AM73" s="9" t="n">
        <v>23</v>
      </c>
      <c r="AN73" s="50" t="n">
        <v>0.4</v>
      </c>
      <c r="BE73" s="3" t="n">
        <v>38534</v>
      </c>
      <c r="BF73" s="52" t="n">
        <v>0.9</v>
      </c>
    </row>
    <row r="74" customFormat="false" ht="12.75" hidden="false" customHeight="false" outlineLevel="0" collapsed="false">
      <c r="A74" s="44" t="n">
        <v>37681</v>
      </c>
      <c r="B74" s="45" t="n">
        <v>25.7000007629395</v>
      </c>
      <c r="C74" s="46" t="n">
        <v>26.2000007629395</v>
      </c>
      <c r="D74" s="45" t="n">
        <v>27.2000007629395</v>
      </c>
      <c r="E74" s="32"/>
      <c r="F74" s="47" t="n">
        <v>16.7149990844727</v>
      </c>
      <c r="G74" s="47" t="n">
        <v>16.9649990844727</v>
      </c>
      <c r="H74" s="47" t="n">
        <v>17.2149990844727</v>
      </c>
      <c r="I74" s="9"/>
      <c r="J74" s="3" t="n">
        <v>38565</v>
      </c>
      <c r="K74" s="48" t="n">
        <v>39.1724990844727</v>
      </c>
      <c r="L74" s="48" t="n">
        <v>42.1724990844727</v>
      </c>
      <c r="M74" s="48" t="n">
        <v>45.1724990844727</v>
      </c>
      <c r="O74" s="48" t="n">
        <v>27.5950008392334</v>
      </c>
      <c r="P74" s="48" t="n">
        <v>30.8950008392334</v>
      </c>
      <c r="Q74" s="48" t="n">
        <v>34.1950008392334</v>
      </c>
      <c r="S74" s="48" t="n">
        <v>0</v>
      </c>
      <c r="T74" s="48" t="n">
        <v>0</v>
      </c>
      <c r="U74" s="48" t="n">
        <v>0</v>
      </c>
      <c r="W74" s="48" t="n">
        <v>0.117925632</v>
      </c>
      <c r="X74" s="53" t="n">
        <v>0.235851264</v>
      </c>
      <c r="Y74" s="48" t="n">
        <v>0.353776896</v>
      </c>
      <c r="AA74" s="48" t="n">
        <v>0.0025</v>
      </c>
      <c r="AB74" s="48" t="n">
        <v>0.005</v>
      </c>
      <c r="AC74" s="48" t="n">
        <v>0.0075</v>
      </c>
      <c r="AE74" s="48" t="n">
        <v>-1</v>
      </c>
      <c r="AF74" s="53" t="n">
        <v>3</v>
      </c>
      <c r="AG74" s="48" t="n">
        <v>1</v>
      </c>
      <c r="AI74" s="48" t="n">
        <v>-0.1</v>
      </c>
      <c r="AJ74" s="48" t="n">
        <v>0.3</v>
      </c>
      <c r="AK74" s="48" t="n">
        <v>0.1</v>
      </c>
      <c r="AM74" s="9" t="n">
        <v>23</v>
      </c>
      <c r="AN74" s="50" t="n">
        <v>0.4</v>
      </c>
      <c r="BE74" s="3" t="n">
        <v>38565</v>
      </c>
      <c r="BF74" s="52" t="n">
        <v>0.9</v>
      </c>
    </row>
    <row r="75" customFormat="false" ht="12.75" hidden="false" customHeight="false" outlineLevel="0" collapsed="false">
      <c r="A75" s="44" t="n">
        <v>37712</v>
      </c>
      <c r="B75" s="45" t="n">
        <v>25.6250007629395</v>
      </c>
      <c r="C75" s="46" t="n">
        <v>25.9750007629395</v>
      </c>
      <c r="D75" s="45" t="n">
        <v>26.8250007629395</v>
      </c>
      <c r="E75" s="32"/>
      <c r="F75" s="47" t="n">
        <v>17.0399990844727</v>
      </c>
      <c r="G75" s="47" t="n">
        <v>17.2149990844727</v>
      </c>
      <c r="H75" s="47" t="n">
        <v>17.3899990844727</v>
      </c>
      <c r="I75" s="9"/>
      <c r="J75" s="3" t="n">
        <v>38596</v>
      </c>
      <c r="K75" s="48" t="n">
        <v>18.5549995422363</v>
      </c>
      <c r="L75" s="48" t="n">
        <v>19.3799995422363</v>
      </c>
      <c r="M75" s="48" t="n">
        <v>20.2049995422363</v>
      </c>
      <c r="O75" s="48" t="n">
        <v>12.6600004196167</v>
      </c>
      <c r="P75" s="48" t="n">
        <v>15.9600004196167</v>
      </c>
      <c r="Q75" s="48" t="n">
        <v>19.2600004196167</v>
      </c>
      <c r="S75" s="48" t="n">
        <v>0</v>
      </c>
      <c r="T75" s="48" t="n">
        <v>0</v>
      </c>
      <c r="U75" s="48" t="n">
        <v>0</v>
      </c>
      <c r="W75" s="48" t="n">
        <v>0.0758016</v>
      </c>
      <c r="X75" s="53" t="n">
        <v>0.1516032</v>
      </c>
      <c r="Y75" s="48" t="n">
        <v>0.2274048</v>
      </c>
      <c r="AA75" s="48" t="n">
        <v>0.0025</v>
      </c>
      <c r="AB75" s="48" t="n">
        <v>0.005</v>
      </c>
      <c r="AC75" s="48" t="n">
        <v>0.0075</v>
      </c>
      <c r="AE75" s="48" t="n">
        <v>-0.4</v>
      </c>
      <c r="AF75" s="53" t="n">
        <v>1.75</v>
      </c>
      <c r="AG75" s="48" t="n">
        <v>0.5</v>
      </c>
      <c r="AI75" s="48" t="n">
        <v>-0.1</v>
      </c>
      <c r="AJ75" s="48" t="n">
        <v>0.3</v>
      </c>
      <c r="AK75" s="48" t="n">
        <v>0.1</v>
      </c>
      <c r="AM75" s="9" t="n">
        <v>23</v>
      </c>
      <c r="AN75" s="50" t="n">
        <v>0.4</v>
      </c>
      <c r="BE75" s="3" t="n">
        <v>38596</v>
      </c>
      <c r="BF75" s="52" t="n">
        <v>0.9</v>
      </c>
    </row>
    <row r="76" customFormat="false" ht="12.75" hidden="false" customHeight="false" outlineLevel="0" collapsed="false">
      <c r="A76" s="44" t="n">
        <v>37742</v>
      </c>
      <c r="B76" s="45" t="n">
        <v>29.725</v>
      </c>
      <c r="C76" s="46" t="n">
        <v>30.975</v>
      </c>
      <c r="D76" s="45" t="n">
        <v>32.725</v>
      </c>
      <c r="E76" s="32"/>
      <c r="F76" s="47" t="n">
        <v>16.0399998474121</v>
      </c>
      <c r="G76" s="47" t="n">
        <v>16.6649998474121</v>
      </c>
      <c r="H76" s="47" t="n">
        <v>17.2899998474121</v>
      </c>
      <c r="I76" s="9"/>
      <c r="J76" s="3" t="n">
        <v>38626</v>
      </c>
      <c r="K76" s="48" t="n">
        <v>17.7194995880127</v>
      </c>
      <c r="L76" s="48" t="n">
        <v>18.4319995880127</v>
      </c>
      <c r="M76" s="48" t="n">
        <v>19.1444995880127</v>
      </c>
      <c r="O76" s="48" t="n">
        <v>12.8040004730225</v>
      </c>
      <c r="P76" s="48" t="n">
        <v>16.1040004730225</v>
      </c>
      <c r="Q76" s="48" t="n">
        <v>19.4040004730225</v>
      </c>
      <c r="S76" s="48" t="n">
        <v>0</v>
      </c>
      <c r="T76" s="48" t="n">
        <v>0</v>
      </c>
      <c r="U76" s="48" t="n">
        <v>0</v>
      </c>
      <c r="W76" s="48" t="n">
        <v>0.05360256</v>
      </c>
      <c r="X76" s="53" t="n">
        <v>0.10720512</v>
      </c>
      <c r="Y76" s="48" t="n">
        <v>0.16080768</v>
      </c>
      <c r="AA76" s="48" t="n">
        <v>0.0025</v>
      </c>
      <c r="AB76" s="48" t="n">
        <v>0.005</v>
      </c>
      <c r="AC76" s="48" t="n">
        <v>0.0075</v>
      </c>
      <c r="AE76" s="48" t="n">
        <v>-0.25</v>
      </c>
      <c r="AF76" s="53" t="n">
        <v>1.5</v>
      </c>
      <c r="AG76" s="48" t="n">
        <v>0.25</v>
      </c>
      <c r="AI76" s="48" t="n">
        <v>-0.1</v>
      </c>
      <c r="AJ76" s="48" t="n">
        <v>0.3</v>
      </c>
      <c r="AK76" s="48" t="n">
        <v>0.1</v>
      </c>
      <c r="AM76" s="9" t="n">
        <v>24</v>
      </c>
      <c r="AN76" s="50" t="n">
        <v>0.4</v>
      </c>
      <c r="BE76" s="3" t="n">
        <v>38626</v>
      </c>
      <c r="BF76" s="52" t="n">
        <v>0.9</v>
      </c>
    </row>
    <row r="77" customFormat="false" ht="12.75" hidden="false" customHeight="false" outlineLevel="0" collapsed="false">
      <c r="A77" s="44" t="n">
        <v>37773</v>
      </c>
      <c r="B77" s="45" t="n">
        <v>51.4699984741211</v>
      </c>
      <c r="C77" s="46" t="n">
        <v>55.0999984741211</v>
      </c>
      <c r="D77" s="45" t="n">
        <v>59.2299984741211</v>
      </c>
      <c r="E77" s="32"/>
      <c r="F77" s="47" t="n">
        <v>14.9100012207031</v>
      </c>
      <c r="G77" s="47" t="n">
        <v>16.7250012207031</v>
      </c>
      <c r="H77" s="47" t="n">
        <v>18.5400012207031</v>
      </c>
      <c r="I77" s="9"/>
      <c r="J77" s="3" t="n">
        <v>38657</v>
      </c>
      <c r="K77" s="48" t="n">
        <v>17.1812496185303</v>
      </c>
      <c r="L77" s="48" t="n">
        <v>17.8937496185303</v>
      </c>
      <c r="M77" s="48" t="n">
        <v>18.6062496185303</v>
      </c>
      <c r="O77" s="48" t="n">
        <v>13.3250003814697</v>
      </c>
      <c r="P77" s="48" t="n">
        <v>16.6250003814697</v>
      </c>
      <c r="Q77" s="48" t="n">
        <v>19.9250003814697</v>
      </c>
      <c r="S77" s="48" t="n">
        <v>0</v>
      </c>
      <c r="T77" s="48" t="n">
        <v>0</v>
      </c>
      <c r="U77" s="48" t="n">
        <v>0</v>
      </c>
      <c r="W77" s="48" t="n">
        <v>0.05360256</v>
      </c>
      <c r="X77" s="53" t="n">
        <v>0.10720512</v>
      </c>
      <c r="Y77" s="48" t="n">
        <v>0.16080768</v>
      </c>
      <c r="AA77" s="48" t="n">
        <v>0.0025</v>
      </c>
      <c r="AB77" s="48" t="n">
        <v>0.005</v>
      </c>
      <c r="AC77" s="48" t="n">
        <v>0.0075</v>
      </c>
      <c r="AE77" s="48" t="n">
        <v>-0.25</v>
      </c>
      <c r="AF77" s="53" t="n">
        <v>1.5</v>
      </c>
      <c r="AG77" s="48" t="n">
        <v>0.25</v>
      </c>
      <c r="AI77" s="48" t="n">
        <v>-0.1</v>
      </c>
      <c r="AJ77" s="48" t="n">
        <v>0.3</v>
      </c>
      <c r="AK77" s="48" t="n">
        <v>0.1</v>
      </c>
      <c r="AM77" s="9" t="n">
        <v>24</v>
      </c>
      <c r="AN77" s="50" t="n">
        <v>0.4</v>
      </c>
      <c r="BE77" s="3" t="n">
        <v>38657</v>
      </c>
      <c r="BF77" s="52" t="n">
        <v>0.9</v>
      </c>
    </row>
    <row r="78" customFormat="false" ht="12.75" hidden="false" customHeight="false" outlineLevel="0" collapsed="false">
      <c r="A78" s="44" t="n">
        <v>37803</v>
      </c>
      <c r="B78" s="45" t="n">
        <v>90.1999969482422</v>
      </c>
      <c r="C78" s="46" t="n">
        <v>94.1999969482422</v>
      </c>
      <c r="D78" s="45" t="n">
        <v>98.6999969482422</v>
      </c>
      <c r="E78" s="32"/>
      <c r="F78" s="47" t="n">
        <v>14.4149998474121</v>
      </c>
      <c r="G78" s="47" t="n">
        <v>16.4149998474121</v>
      </c>
      <c r="H78" s="47" t="n">
        <v>18.4149998474121</v>
      </c>
      <c r="I78" s="9"/>
      <c r="J78" s="3" t="n">
        <v>38687</v>
      </c>
      <c r="K78" s="48" t="n">
        <v>21.326250076294</v>
      </c>
      <c r="L78" s="48" t="n">
        <v>22.038750076294</v>
      </c>
      <c r="M78" s="48" t="n">
        <v>22.751250076294</v>
      </c>
      <c r="O78" s="48" t="n">
        <v>13.7750001907349</v>
      </c>
      <c r="P78" s="48" t="n">
        <v>17.0750001907349</v>
      </c>
      <c r="Q78" s="48" t="n">
        <v>20.3750001907349</v>
      </c>
      <c r="S78" s="48" t="n">
        <v>0</v>
      </c>
      <c r="T78" s="48" t="n">
        <v>0</v>
      </c>
      <c r="U78" s="48" t="n">
        <v>0</v>
      </c>
      <c r="W78" s="48" t="n">
        <v>0.05360256</v>
      </c>
      <c r="X78" s="53" t="n">
        <v>0.10720512</v>
      </c>
      <c r="Y78" s="48" t="n">
        <v>0.16080768</v>
      </c>
      <c r="AA78" s="48" t="n">
        <v>0.0025</v>
      </c>
      <c r="AB78" s="48" t="n">
        <v>0.005</v>
      </c>
      <c r="AC78" s="48" t="n">
        <v>0.0075</v>
      </c>
      <c r="AE78" s="48" t="n">
        <v>-0.25</v>
      </c>
      <c r="AF78" s="53" t="n">
        <v>1.5</v>
      </c>
      <c r="AG78" s="48" t="n">
        <v>0.25</v>
      </c>
      <c r="AI78" s="48" t="n">
        <v>-0.1</v>
      </c>
      <c r="AJ78" s="48" t="n">
        <v>0.3</v>
      </c>
      <c r="AK78" s="48" t="n">
        <v>0.1</v>
      </c>
      <c r="AM78" s="9" t="n">
        <v>24</v>
      </c>
      <c r="AN78" s="50" t="n">
        <v>0.4</v>
      </c>
      <c r="BE78" s="3" t="n">
        <v>38687</v>
      </c>
      <c r="BF78" s="52" t="n">
        <v>0.9</v>
      </c>
    </row>
    <row r="79" customFormat="false" ht="12.75" hidden="false" customHeight="false" outlineLevel="0" collapsed="false">
      <c r="A79" s="44" t="n">
        <v>37834</v>
      </c>
      <c r="B79" s="45" t="n">
        <v>77.1999969482422</v>
      </c>
      <c r="C79" s="46" t="n">
        <v>81.1999969482422</v>
      </c>
      <c r="D79" s="45" t="n">
        <v>85.6999969482422</v>
      </c>
      <c r="E79" s="32"/>
      <c r="F79" s="47" t="n">
        <v>14.4649990844727</v>
      </c>
      <c r="G79" s="47" t="n">
        <v>16.4649990844727</v>
      </c>
      <c r="H79" s="47" t="n">
        <v>18.4649990844727</v>
      </c>
      <c r="I79" s="9"/>
      <c r="J79" s="3" t="n">
        <v>38718</v>
      </c>
      <c r="K79" s="48" t="n">
        <v>29.4737487792969</v>
      </c>
      <c r="L79" s="48" t="n">
        <v>30.4987487792969</v>
      </c>
      <c r="M79" s="48" t="n">
        <v>31.3237487792969</v>
      </c>
      <c r="O79" s="48" t="n">
        <v>25.7025005340576</v>
      </c>
      <c r="P79" s="48" t="n">
        <v>29.0025005340576</v>
      </c>
      <c r="Q79" s="48" t="n">
        <v>32.3025005340576</v>
      </c>
      <c r="S79" s="48" t="n">
        <v>0</v>
      </c>
      <c r="T79" s="48" t="n">
        <v>0</v>
      </c>
      <c r="U79" s="48" t="n">
        <v>0</v>
      </c>
      <c r="W79" s="48" t="n">
        <v>0.08233353216</v>
      </c>
      <c r="X79" s="53" t="n">
        <v>0.16466706432</v>
      </c>
      <c r="Y79" s="48" t="n">
        <v>0.24700059648</v>
      </c>
      <c r="AA79" s="48" t="n">
        <v>0.0025</v>
      </c>
      <c r="AB79" s="48" t="n">
        <v>0.005</v>
      </c>
      <c r="AC79" s="48" t="n">
        <v>0.0075</v>
      </c>
      <c r="AE79" s="48" t="n">
        <v>-0.4</v>
      </c>
      <c r="AF79" s="53" t="n">
        <v>1.875</v>
      </c>
      <c r="AG79" s="48" t="n">
        <v>0.5</v>
      </c>
      <c r="AI79" s="48" t="n">
        <v>-0.1</v>
      </c>
      <c r="AJ79" s="48" t="n">
        <v>0.3</v>
      </c>
      <c r="AK79" s="48" t="n">
        <v>0.1</v>
      </c>
      <c r="AM79" s="9" t="n">
        <v>25</v>
      </c>
      <c r="AN79" s="50" t="n">
        <v>0.4</v>
      </c>
      <c r="BE79" s="3" t="n">
        <v>38718</v>
      </c>
      <c r="BF79" s="52" t="n">
        <v>0.9</v>
      </c>
    </row>
    <row r="80" customFormat="false" ht="12.75" hidden="false" customHeight="false" outlineLevel="0" collapsed="false">
      <c r="A80" s="44" t="n">
        <v>37865</v>
      </c>
      <c r="B80" s="45" t="n">
        <v>32.1749984741211</v>
      </c>
      <c r="C80" s="46" t="n">
        <v>33.0749984741211</v>
      </c>
      <c r="D80" s="45" t="n">
        <v>34.4749984741211</v>
      </c>
      <c r="E80" s="32"/>
      <c r="F80" s="47" t="n">
        <v>16.0149990844727</v>
      </c>
      <c r="G80" s="47" t="n">
        <v>16.4649990844727</v>
      </c>
      <c r="H80" s="47" t="n">
        <v>16.9149990844727</v>
      </c>
      <c r="I80" s="9"/>
      <c r="J80" s="3" t="n">
        <v>38749</v>
      </c>
      <c r="K80" s="48" t="n">
        <v>28.4712501525879</v>
      </c>
      <c r="L80" s="48" t="n">
        <v>29.4962501525879</v>
      </c>
      <c r="M80" s="48" t="n">
        <v>30.3212501525879</v>
      </c>
      <c r="O80" s="48" t="n">
        <v>23.6974994659424</v>
      </c>
      <c r="P80" s="48" t="n">
        <v>26.9974994659424</v>
      </c>
      <c r="Q80" s="48" t="n">
        <v>30.2974994659424</v>
      </c>
      <c r="S80" s="48" t="n">
        <v>0</v>
      </c>
      <c r="T80" s="48" t="n">
        <v>0</v>
      </c>
      <c r="U80" s="48" t="n">
        <v>0</v>
      </c>
      <c r="W80" s="48" t="n">
        <v>0.08233353216</v>
      </c>
      <c r="X80" s="53" t="n">
        <v>0.16466706432</v>
      </c>
      <c r="Y80" s="48" t="n">
        <v>0.24700059648</v>
      </c>
      <c r="AA80" s="48" t="n">
        <v>0.0025</v>
      </c>
      <c r="AB80" s="48" t="n">
        <v>0.005</v>
      </c>
      <c r="AC80" s="48" t="n">
        <v>0.0075</v>
      </c>
      <c r="AE80" s="48" t="n">
        <v>-0.4</v>
      </c>
      <c r="AF80" s="53" t="n">
        <v>1.875</v>
      </c>
      <c r="AG80" s="48" t="n">
        <v>0.5</v>
      </c>
      <c r="AI80" s="48" t="n">
        <v>-0.1</v>
      </c>
      <c r="AJ80" s="48" t="n">
        <v>0.3</v>
      </c>
      <c r="AK80" s="48" t="n">
        <v>0.1</v>
      </c>
      <c r="AM80" s="9" t="n">
        <v>25</v>
      </c>
      <c r="AN80" s="50" t="n">
        <v>0.4</v>
      </c>
      <c r="BE80" s="3" t="n">
        <v>38749</v>
      </c>
      <c r="BF80" s="52" t="n">
        <v>0.9</v>
      </c>
    </row>
    <row r="81" customFormat="false" ht="12.75" hidden="false" customHeight="false" outlineLevel="0" collapsed="false">
      <c r="A81" s="44" t="n">
        <v>37895</v>
      </c>
      <c r="B81" s="45" t="n">
        <v>25.9750003814697</v>
      </c>
      <c r="C81" s="46" t="n">
        <v>26.7250003814697</v>
      </c>
      <c r="D81" s="45" t="n">
        <v>27.9750003814697</v>
      </c>
      <c r="E81" s="32"/>
      <c r="F81" s="47" t="n">
        <v>15.7899998474121</v>
      </c>
      <c r="G81" s="47" t="n">
        <v>16.1649998474121</v>
      </c>
      <c r="H81" s="47" t="n">
        <v>16.5399998474121</v>
      </c>
      <c r="I81" s="9"/>
      <c r="J81" s="3" t="n">
        <v>38777</v>
      </c>
      <c r="K81" s="48" t="n">
        <v>19.9472496032715</v>
      </c>
      <c r="L81" s="48" t="n">
        <v>20.4347496032715</v>
      </c>
      <c r="M81" s="48" t="n">
        <v>20.9222496032715</v>
      </c>
      <c r="O81" s="48" t="n">
        <v>16.7644989013672</v>
      </c>
      <c r="P81" s="48" t="n">
        <v>20.0644989013672</v>
      </c>
      <c r="Q81" s="48" t="n">
        <v>23.3644989013672</v>
      </c>
      <c r="S81" s="48" t="n">
        <v>0</v>
      </c>
      <c r="T81" s="48" t="n">
        <v>0</v>
      </c>
      <c r="U81" s="48" t="n">
        <v>0</v>
      </c>
      <c r="W81" s="48" t="n">
        <v>0.0686112768</v>
      </c>
      <c r="X81" s="53" t="n">
        <v>0.1372225536</v>
      </c>
      <c r="Y81" s="48" t="n">
        <v>0.2058338304</v>
      </c>
      <c r="AA81" s="48" t="n">
        <v>0.0025</v>
      </c>
      <c r="AB81" s="48" t="n">
        <v>0.005</v>
      </c>
      <c r="AC81" s="48" t="n">
        <v>0.0075</v>
      </c>
      <c r="AE81" s="48" t="n">
        <v>-0.25</v>
      </c>
      <c r="AF81" s="53" t="n">
        <v>1.1</v>
      </c>
      <c r="AG81" s="48" t="n">
        <v>0.25</v>
      </c>
      <c r="AI81" s="48" t="n">
        <v>-0.1</v>
      </c>
      <c r="AJ81" s="48" t="n">
        <v>0.3</v>
      </c>
      <c r="AK81" s="48" t="n">
        <v>0.1</v>
      </c>
      <c r="AM81" s="9" t="n">
        <v>25</v>
      </c>
      <c r="AN81" s="50" t="n">
        <v>0.4</v>
      </c>
      <c r="BE81" s="3" t="n">
        <v>38777</v>
      </c>
      <c r="BF81" s="52" t="n">
        <v>0.9</v>
      </c>
    </row>
    <row r="82" customFormat="false" ht="12.75" hidden="false" customHeight="false" outlineLevel="0" collapsed="false">
      <c r="A82" s="44" t="n">
        <v>37926</v>
      </c>
      <c r="B82" s="45" t="n">
        <v>25.6474990844727</v>
      </c>
      <c r="C82" s="46" t="n">
        <v>26.3974990844727</v>
      </c>
      <c r="D82" s="45" t="n">
        <v>27.6474990844727</v>
      </c>
      <c r="E82" s="32"/>
      <c r="F82" s="47" t="n">
        <v>14.0399998474121</v>
      </c>
      <c r="G82" s="47" t="n">
        <v>14.4149998474121</v>
      </c>
      <c r="H82" s="47" t="n">
        <v>14.7899998474121</v>
      </c>
      <c r="I82" s="9"/>
      <c r="J82" s="3" t="n">
        <v>38808</v>
      </c>
      <c r="K82" s="48" t="n">
        <v>20.7425003051758</v>
      </c>
      <c r="L82" s="48" t="n">
        <v>21.1175003051758</v>
      </c>
      <c r="M82" s="48" t="n">
        <v>21.4925003051758</v>
      </c>
      <c r="O82" s="48" t="n">
        <v>16.5349990844727</v>
      </c>
      <c r="P82" s="48" t="n">
        <v>19.8349990844727</v>
      </c>
      <c r="Q82" s="48" t="n">
        <v>23.1349990844727</v>
      </c>
      <c r="S82" s="48" t="n">
        <v>0</v>
      </c>
      <c r="T82" s="48" t="n">
        <v>0</v>
      </c>
      <c r="U82" s="48" t="n">
        <v>0</v>
      </c>
      <c r="W82" s="48" t="n">
        <v>0.06518071296</v>
      </c>
      <c r="X82" s="53" t="n">
        <v>0.13036142592</v>
      </c>
      <c r="Y82" s="48" t="n">
        <v>0.19554213888</v>
      </c>
      <c r="AA82" s="48" t="n">
        <v>0.0025</v>
      </c>
      <c r="AB82" s="48" t="n">
        <v>0.005</v>
      </c>
      <c r="AC82" s="48" t="n">
        <v>0.0075</v>
      </c>
      <c r="AE82" s="48" t="n">
        <v>-0.25</v>
      </c>
      <c r="AF82" s="53" t="n">
        <v>1.2</v>
      </c>
      <c r="AG82" s="48" t="n">
        <v>0.25</v>
      </c>
      <c r="AI82" s="48" t="n">
        <v>-0.1</v>
      </c>
      <c r="AJ82" s="48" t="n">
        <v>0.3</v>
      </c>
      <c r="AK82" s="48" t="n">
        <v>0.1</v>
      </c>
      <c r="AM82" s="9" t="n">
        <v>26</v>
      </c>
      <c r="AN82" s="50" t="n">
        <v>0.4</v>
      </c>
      <c r="BE82" s="3" t="n">
        <v>38808</v>
      </c>
      <c r="BF82" s="52" t="n">
        <v>0.9</v>
      </c>
    </row>
    <row r="83" customFormat="false" ht="12.75" hidden="false" customHeight="false" outlineLevel="0" collapsed="false">
      <c r="A83" s="44" t="n">
        <v>37956</v>
      </c>
      <c r="B83" s="45" t="n">
        <v>27.3999996185303</v>
      </c>
      <c r="C83" s="46" t="n">
        <v>28.1499996185303</v>
      </c>
      <c r="D83" s="45" t="n">
        <v>29.3999996185303</v>
      </c>
      <c r="E83" s="32"/>
      <c r="F83" s="47" t="n">
        <v>14.8900002288818</v>
      </c>
      <c r="G83" s="47" t="n">
        <v>15.2650002288818</v>
      </c>
      <c r="H83" s="47" t="n">
        <v>15.6400002288818</v>
      </c>
      <c r="I83" s="9"/>
      <c r="J83" s="3" t="n">
        <v>38838</v>
      </c>
      <c r="K83" s="48" t="n">
        <v>19.972500076294</v>
      </c>
      <c r="L83" s="48" t="n">
        <v>21.232500076294</v>
      </c>
      <c r="M83" s="48" t="n">
        <v>22.492500076294</v>
      </c>
      <c r="O83" s="48" t="n">
        <v>17.0649997711182</v>
      </c>
      <c r="P83" s="48" t="n">
        <v>20.3649997711182</v>
      </c>
      <c r="Q83" s="48" t="n">
        <v>23.6649997711182</v>
      </c>
      <c r="S83" s="48" t="n">
        <v>0</v>
      </c>
      <c r="T83" s="48" t="n">
        <v>0</v>
      </c>
      <c r="U83" s="48" t="n">
        <v>0</v>
      </c>
      <c r="W83" s="48" t="n">
        <v>0.07204184064</v>
      </c>
      <c r="X83" s="53" t="n">
        <v>0.14408368128</v>
      </c>
      <c r="Y83" s="48" t="n">
        <v>0.21612552192</v>
      </c>
      <c r="AA83" s="48" t="n">
        <v>0.0025</v>
      </c>
      <c r="AB83" s="48" t="n">
        <v>0.005</v>
      </c>
      <c r="AC83" s="48" t="n">
        <v>0.0075</v>
      </c>
      <c r="AE83" s="48" t="n">
        <v>-0.25</v>
      </c>
      <c r="AF83" s="53" t="n">
        <v>2</v>
      </c>
      <c r="AG83" s="48" t="n">
        <v>0.25</v>
      </c>
      <c r="AI83" s="48" t="n">
        <v>-0.1</v>
      </c>
      <c r="AJ83" s="48" t="n">
        <v>0.3</v>
      </c>
      <c r="AK83" s="48" t="n">
        <v>0.1</v>
      </c>
      <c r="AM83" s="9" t="n">
        <v>26</v>
      </c>
      <c r="AN83" s="50" t="n">
        <v>0.4</v>
      </c>
      <c r="BE83" s="3" t="n">
        <v>38838</v>
      </c>
      <c r="BF83" s="52" t="n">
        <v>0.9</v>
      </c>
    </row>
    <row r="84" customFormat="false" ht="12.75" hidden="false" customHeight="false" outlineLevel="0" collapsed="false">
      <c r="A84" s="44" t="n">
        <v>37987</v>
      </c>
      <c r="B84" s="45" t="n">
        <v>35.9249984741211</v>
      </c>
      <c r="C84" s="46" t="n">
        <v>36.8249984741211</v>
      </c>
      <c r="D84" s="45" t="n">
        <v>38.2249984741211</v>
      </c>
      <c r="E84" s="32"/>
      <c r="F84" s="47" t="n">
        <v>19.2149975585938</v>
      </c>
      <c r="G84" s="47" t="n">
        <v>19.6649975585938</v>
      </c>
      <c r="H84" s="47" t="n">
        <v>20.1149975585938</v>
      </c>
      <c r="I84" s="9"/>
      <c r="J84" s="3" t="n">
        <v>38869</v>
      </c>
      <c r="K84" s="48" t="n">
        <v>22.1787501525879</v>
      </c>
      <c r="L84" s="48" t="n">
        <v>25.8087501525879</v>
      </c>
      <c r="M84" s="48" t="n">
        <v>29.4387501525879</v>
      </c>
      <c r="O84" s="48" t="n">
        <v>15.9924995422363</v>
      </c>
      <c r="P84" s="48" t="n">
        <v>19.2924995422363</v>
      </c>
      <c r="Q84" s="48" t="n">
        <v>22.5924995422363</v>
      </c>
      <c r="S84" s="48" t="n">
        <v>0</v>
      </c>
      <c r="T84" s="48" t="n">
        <v>0</v>
      </c>
      <c r="U84" s="48" t="n">
        <v>0</v>
      </c>
      <c r="W84" s="48" t="n">
        <v>0.09262522368</v>
      </c>
      <c r="X84" s="53" t="n">
        <v>0.18525044736</v>
      </c>
      <c r="Y84" s="48" t="n">
        <v>0.27787567104</v>
      </c>
      <c r="AA84" s="48" t="n">
        <v>0.0025</v>
      </c>
      <c r="AB84" s="48" t="n">
        <v>0.005</v>
      </c>
      <c r="AC84" s="48" t="n">
        <v>0.0075</v>
      </c>
      <c r="AE84" s="48" t="n">
        <v>-0.75</v>
      </c>
      <c r="AF84" s="53" t="n">
        <v>2.25</v>
      </c>
      <c r="AG84" s="48" t="n">
        <v>0.75</v>
      </c>
      <c r="AI84" s="48" t="n">
        <v>-0.1</v>
      </c>
      <c r="AJ84" s="48" t="n">
        <v>0.3</v>
      </c>
      <c r="AK84" s="48" t="n">
        <v>0.1</v>
      </c>
      <c r="AM84" s="9" t="n">
        <v>26</v>
      </c>
      <c r="AN84" s="50" t="n">
        <v>0.4</v>
      </c>
      <c r="BE84" s="3" t="n">
        <v>38869</v>
      </c>
      <c r="BF84" s="52" t="n">
        <v>0.9</v>
      </c>
    </row>
    <row r="85" customFormat="false" ht="12.75" hidden="false" customHeight="false" outlineLevel="0" collapsed="false">
      <c r="A85" s="44" t="n">
        <v>38018</v>
      </c>
      <c r="B85" s="45" t="n">
        <v>35.9249984741211</v>
      </c>
      <c r="C85" s="46" t="n">
        <v>36.8249984741211</v>
      </c>
      <c r="D85" s="45" t="n">
        <v>38.2249984741211</v>
      </c>
      <c r="E85" s="32"/>
      <c r="F85" s="47" t="n">
        <v>19.364997177124</v>
      </c>
      <c r="G85" s="47" t="n">
        <v>19.814997177124</v>
      </c>
      <c r="H85" s="47" t="n">
        <v>20.264997177124</v>
      </c>
      <c r="I85" s="9"/>
      <c r="J85" s="3" t="n">
        <v>38899</v>
      </c>
      <c r="K85" s="48" t="n">
        <v>37.2612495422363</v>
      </c>
      <c r="L85" s="48" t="n">
        <v>40.2612495422363</v>
      </c>
      <c r="M85" s="48" t="n">
        <v>43.2612495422363</v>
      </c>
      <c r="O85" s="48" t="n">
        <v>26.4474994659424</v>
      </c>
      <c r="P85" s="48" t="n">
        <v>29.7474994659424</v>
      </c>
      <c r="Q85" s="48" t="n">
        <v>33.0474994659424</v>
      </c>
      <c r="S85" s="48" t="n">
        <v>0</v>
      </c>
      <c r="T85" s="48" t="n">
        <v>0</v>
      </c>
      <c r="U85" s="48" t="n">
        <v>0</v>
      </c>
      <c r="W85" s="48" t="n">
        <v>0.11320860672</v>
      </c>
      <c r="X85" s="53" t="n">
        <v>0.22641721344</v>
      </c>
      <c r="Y85" s="48" t="n">
        <v>0.33962582016</v>
      </c>
      <c r="AA85" s="48" t="n">
        <v>0.0025</v>
      </c>
      <c r="AB85" s="48" t="n">
        <v>0.005</v>
      </c>
      <c r="AC85" s="48" t="n">
        <v>0.0075</v>
      </c>
      <c r="AE85" s="48" t="n">
        <v>-1</v>
      </c>
      <c r="AF85" s="53" t="n">
        <v>3</v>
      </c>
      <c r="AG85" s="48" t="n">
        <v>1</v>
      </c>
      <c r="AI85" s="48" t="n">
        <v>-0.1</v>
      </c>
      <c r="AJ85" s="48" t="n">
        <v>0.3</v>
      </c>
      <c r="AK85" s="48" t="n">
        <v>0.1</v>
      </c>
      <c r="AM85" s="9" t="n">
        <v>27</v>
      </c>
      <c r="AN85" s="50" t="n">
        <v>0.4</v>
      </c>
      <c r="BE85" s="3" t="n">
        <v>38899</v>
      </c>
      <c r="BF85" s="52" t="n">
        <v>0.9</v>
      </c>
    </row>
    <row r="86" customFormat="false" ht="12.75" hidden="false" customHeight="false" outlineLevel="0" collapsed="false">
      <c r="A86" s="44" t="n">
        <v>38047</v>
      </c>
      <c r="B86" s="45" t="n">
        <v>26.0000007629395</v>
      </c>
      <c r="C86" s="46" t="n">
        <v>26.5500007629395</v>
      </c>
      <c r="D86" s="45" t="n">
        <v>27.6000007629395</v>
      </c>
      <c r="E86" s="32"/>
      <c r="F86" s="47" t="n">
        <v>16.7899990844727</v>
      </c>
      <c r="G86" s="47" t="n">
        <v>17.0649990844727</v>
      </c>
      <c r="H86" s="47" t="n">
        <v>17.3399990844727</v>
      </c>
      <c r="I86" s="9"/>
      <c r="J86" s="3" t="n">
        <v>38930</v>
      </c>
      <c r="K86" s="48" t="n">
        <v>39.5224990844727</v>
      </c>
      <c r="L86" s="48" t="n">
        <v>42.5224990844727</v>
      </c>
      <c r="M86" s="48" t="n">
        <v>45.5224990844727</v>
      </c>
      <c r="O86" s="48" t="n">
        <v>27.9450008392334</v>
      </c>
      <c r="P86" s="48" t="n">
        <v>31.2450008392334</v>
      </c>
      <c r="Q86" s="48" t="n">
        <v>34.5450008392334</v>
      </c>
      <c r="S86" s="48" t="n">
        <v>0</v>
      </c>
      <c r="T86" s="48" t="n">
        <v>0</v>
      </c>
      <c r="U86" s="48" t="n">
        <v>0</v>
      </c>
      <c r="W86" s="48" t="n">
        <v>0.11320860672</v>
      </c>
      <c r="X86" s="53" t="n">
        <v>0.22641721344</v>
      </c>
      <c r="Y86" s="48" t="n">
        <v>0.33962582016</v>
      </c>
      <c r="AA86" s="48" t="n">
        <v>0.0025</v>
      </c>
      <c r="AB86" s="48" t="n">
        <v>0.005</v>
      </c>
      <c r="AC86" s="48" t="n">
        <v>0.0075</v>
      </c>
      <c r="AE86" s="48" t="n">
        <v>-1</v>
      </c>
      <c r="AF86" s="53" t="n">
        <v>3</v>
      </c>
      <c r="AG86" s="48" t="n">
        <v>1</v>
      </c>
      <c r="AI86" s="48" t="n">
        <v>-0.1</v>
      </c>
      <c r="AJ86" s="48" t="n">
        <v>0.3</v>
      </c>
      <c r="AK86" s="48" t="n">
        <v>0.1</v>
      </c>
      <c r="AM86" s="9" t="n">
        <v>27</v>
      </c>
      <c r="AN86" s="50" t="n">
        <v>0.4</v>
      </c>
      <c r="BE86" s="3" t="n">
        <v>38930</v>
      </c>
      <c r="BF86" s="52" t="n">
        <v>0.9</v>
      </c>
    </row>
    <row r="87" customFormat="false" ht="12.75" hidden="false" customHeight="false" outlineLevel="0" collapsed="false">
      <c r="A87" s="44" t="n">
        <v>38078</v>
      </c>
      <c r="B87" s="45" t="n">
        <v>25.9250007629395</v>
      </c>
      <c r="C87" s="46" t="n">
        <v>26.3250007629395</v>
      </c>
      <c r="D87" s="45" t="n">
        <v>27.2250007629395</v>
      </c>
      <c r="E87" s="32"/>
      <c r="F87" s="47" t="n">
        <v>17.1149990844727</v>
      </c>
      <c r="G87" s="47" t="n">
        <v>17.3149990844727</v>
      </c>
      <c r="H87" s="47" t="n">
        <v>17.5149990844727</v>
      </c>
      <c r="I87" s="9"/>
      <c r="J87" s="3" t="n">
        <v>38961</v>
      </c>
      <c r="K87" s="48" t="n">
        <v>18.8299995422363</v>
      </c>
      <c r="L87" s="48" t="n">
        <v>19.7299995422363</v>
      </c>
      <c r="M87" s="48" t="n">
        <v>20.6299995422363</v>
      </c>
      <c r="O87" s="48" t="n">
        <v>13.0100004196167</v>
      </c>
      <c r="P87" s="48" t="n">
        <v>16.3100004196167</v>
      </c>
      <c r="Q87" s="48" t="n">
        <v>19.6100004196167</v>
      </c>
      <c r="S87" s="48" t="n">
        <v>0</v>
      </c>
      <c r="T87" s="48" t="n">
        <v>0</v>
      </c>
      <c r="U87" s="48" t="n">
        <v>0</v>
      </c>
      <c r="W87" s="48" t="n">
        <v>0.072769536</v>
      </c>
      <c r="X87" s="53" t="n">
        <v>0.145539072</v>
      </c>
      <c r="Y87" s="48" t="n">
        <v>0.218308608</v>
      </c>
      <c r="AA87" s="48" t="n">
        <v>0.0025</v>
      </c>
      <c r="AB87" s="48" t="n">
        <v>0.005</v>
      </c>
      <c r="AC87" s="48" t="n">
        <v>0.0075</v>
      </c>
      <c r="AE87" s="48" t="n">
        <v>-0.4</v>
      </c>
      <c r="AF87" s="53" t="n">
        <v>1.75</v>
      </c>
      <c r="AG87" s="48" t="n">
        <v>0.5</v>
      </c>
      <c r="AI87" s="48" t="n">
        <v>-0.1</v>
      </c>
      <c r="AJ87" s="48" t="n">
        <v>0.3</v>
      </c>
      <c r="AK87" s="48" t="n">
        <v>0.1</v>
      </c>
      <c r="AM87" s="9" t="n">
        <v>27</v>
      </c>
      <c r="AN87" s="50" t="n">
        <v>0.4</v>
      </c>
      <c r="BE87" s="3" t="n">
        <v>38961</v>
      </c>
      <c r="BF87" s="52" t="n">
        <v>0.9</v>
      </c>
    </row>
    <row r="88" customFormat="false" ht="12.75" hidden="false" customHeight="false" outlineLevel="0" collapsed="false">
      <c r="A88" s="44" t="n">
        <v>38108</v>
      </c>
      <c r="B88" s="45" t="n">
        <v>29.945</v>
      </c>
      <c r="C88" s="46" t="n">
        <v>31.325</v>
      </c>
      <c r="D88" s="45" t="n">
        <v>33.205</v>
      </c>
      <c r="E88" s="32"/>
      <c r="F88" s="47" t="n">
        <v>16.0749998474121</v>
      </c>
      <c r="G88" s="47" t="n">
        <v>16.7649998474121</v>
      </c>
      <c r="H88" s="47" t="n">
        <v>17.4549998474121</v>
      </c>
      <c r="I88" s="9"/>
      <c r="J88" s="3" t="n">
        <v>38991</v>
      </c>
      <c r="K88" s="48" t="n">
        <v>17.9944995880127</v>
      </c>
      <c r="L88" s="48" t="n">
        <v>18.7819995880127</v>
      </c>
      <c r="M88" s="48" t="n">
        <v>19.5694995880127</v>
      </c>
      <c r="O88" s="48" t="n">
        <v>13.1540004730225</v>
      </c>
      <c r="P88" s="48" t="n">
        <v>16.4540004730225</v>
      </c>
      <c r="Q88" s="48" t="n">
        <v>19.7540004730225</v>
      </c>
      <c r="S88" s="48" t="n">
        <v>0</v>
      </c>
      <c r="T88" s="48" t="n">
        <v>0</v>
      </c>
      <c r="U88" s="48" t="n">
        <v>0</v>
      </c>
      <c r="W88" s="48" t="n">
        <v>0.0514584576</v>
      </c>
      <c r="X88" s="53" t="n">
        <v>0.1029169152</v>
      </c>
      <c r="Y88" s="48" t="n">
        <v>0.1543753728</v>
      </c>
      <c r="AA88" s="48" t="n">
        <v>0.0025</v>
      </c>
      <c r="AB88" s="48" t="n">
        <v>0.005</v>
      </c>
      <c r="AC88" s="48" t="n">
        <v>0.0075</v>
      </c>
      <c r="AE88" s="48" t="n">
        <v>-0.25</v>
      </c>
      <c r="AF88" s="53" t="n">
        <v>1.5</v>
      </c>
      <c r="AG88" s="48" t="n">
        <v>0.25</v>
      </c>
      <c r="AI88" s="48" t="n">
        <v>-0.1</v>
      </c>
      <c r="AJ88" s="48" t="n">
        <v>0.3</v>
      </c>
      <c r="AK88" s="48" t="n">
        <v>0.1</v>
      </c>
      <c r="AM88" s="9" t="n">
        <v>28</v>
      </c>
      <c r="AN88" s="50" t="n">
        <v>0.4</v>
      </c>
      <c r="BE88" s="3" t="n">
        <v>38991</v>
      </c>
      <c r="BF88" s="52" t="n">
        <v>0.9</v>
      </c>
    </row>
    <row r="89" customFormat="false" ht="12.75" hidden="false" customHeight="false" outlineLevel="0" collapsed="false">
      <c r="A89" s="44" t="n">
        <v>38139</v>
      </c>
      <c r="B89" s="45" t="n">
        <v>51.5999984741211</v>
      </c>
      <c r="C89" s="46" t="n">
        <v>55.5999984741211</v>
      </c>
      <c r="D89" s="45" t="n">
        <v>60.0999984741211</v>
      </c>
      <c r="E89" s="32"/>
      <c r="F89" s="47" t="n">
        <v>14.8250012207031</v>
      </c>
      <c r="G89" s="47" t="n">
        <v>16.8250012207031</v>
      </c>
      <c r="H89" s="47" t="n">
        <v>18.8250012207031</v>
      </c>
      <c r="I89" s="9"/>
      <c r="J89" s="3" t="n">
        <v>39022</v>
      </c>
      <c r="K89" s="48" t="n">
        <v>17.4562496185303</v>
      </c>
      <c r="L89" s="48" t="n">
        <v>18.2437496185303</v>
      </c>
      <c r="M89" s="48" t="n">
        <v>19.0312496185303</v>
      </c>
      <c r="O89" s="48" t="n">
        <v>13.6750003814697</v>
      </c>
      <c r="P89" s="48" t="n">
        <v>16.9750003814697</v>
      </c>
      <c r="Q89" s="48" t="n">
        <v>20.2750003814697</v>
      </c>
      <c r="S89" s="48" t="n">
        <v>0</v>
      </c>
      <c r="T89" s="48" t="n">
        <v>0</v>
      </c>
      <c r="U89" s="48" t="n">
        <v>0</v>
      </c>
      <c r="W89" s="48" t="n">
        <v>0.0514584576</v>
      </c>
      <c r="X89" s="53" t="n">
        <v>0.1029169152</v>
      </c>
      <c r="Y89" s="48" t="n">
        <v>0.1543753728</v>
      </c>
      <c r="AA89" s="48" t="n">
        <v>0.0025</v>
      </c>
      <c r="AB89" s="48" t="n">
        <v>0.005</v>
      </c>
      <c r="AC89" s="48" t="n">
        <v>0.0075</v>
      </c>
      <c r="AE89" s="48" t="n">
        <v>-0.25</v>
      </c>
      <c r="AF89" s="53" t="n">
        <v>1.5</v>
      </c>
      <c r="AG89" s="48" t="n">
        <v>0.25</v>
      </c>
      <c r="AI89" s="48" t="n">
        <v>-0.1</v>
      </c>
      <c r="AJ89" s="48" t="n">
        <v>0.3</v>
      </c>
      <c r="AK89" s="48" t="n">
        <v>0.1</v>
      </c>
      <c r="AM89" s="9" t="n">
        <v>28</v>
      </c>
      <c r="AN89" s="50" t="n">
        <v>0.4</v>
      </c>
      <c r="BE89" s="3" t="n">
        <v>39022</v>
      </c>
      <c r="BF89" s="52" t="n">
        <v>0.9</v>
      </c>
    </row>
    <row r="90" customFormat="false" ht="12.75" hidden="false" customHeight="false" outlineLevel="0" collapsed="false">
      <c r="A90" s="44" t="n">
        <v>38169</v>
      </c>
      <c r="B90" s="45" t="n">
        <v>90.4499969482422</v>
      </c>
      <c r="C90" s="46" t="n">
        <v>94.4499969482422</v>
      </c>
      <c r="D90" s="45" t="n">
        <v>98.9499969482422</v>
      </c>
      <c r="E90" s="32"/>
      <c r="F90" s="47" t="n">
        <v>14.5149998474121</v>
      </c>
      <c r="G90" s="47" t="n">
        <v>16.5149998474121</v>
      </c>
      <c r="H90" s="47" t="n">
        <v>18.5149998474121</v>
      </c>
      <c r="I90" s="9"/>
      <c r="J90" s="3" t="n">
        <v>39052</v>
      </c>
      <c r="K90" s="48" t="n">
        <v>21.601250076294</v>
      </c>
      <c r="L90" s="48" t="n">
        <v>22.388750076294</v>
      </c>
      <c r="M90" s="48" t="n">
        <v>23.176250076294</v>
      </c>
      <c r="O90" s="48" t="n">
        <v>14.1250001907349</v>
      </c>
      <c r="P90" s="48" t="n">
        <v>17.4250001907349</v>
      </c>
      <c r="Q90" s="48" t="n">
        <v>20.7250001907349</v>
      </c>
      <c r="S90" s="48" t="n">
        <v>0</v>
      </c>
      <c r="T90" s="48" t="n">
        <v>0</v>
      </c>
      <c r="U90" s="48" t="n">
        <v>0</v>
      </c>
      <c r="W90" s="48" t="n">
        <v>0.0514584576</v>
      </c>
      <c r="X90" s="53" t="n">
        <v>0.1029169152</v>
      </c>
      <c r="Y90" s="48" t="n">
        <v>0.1543753728</v>
      </c>
      <c r="AA90" s="48" t="n">
        <v>0.0025</v>
      </c>
      <c r="AB90" s="48" t="n">
        <v>0.005</v>
      </c>
      <c r="AC90" s="48" t="n">
        <v>0.0075</v>
      </c>
      <c r="AE90" s="48" t="n">
        <v>-0.25</v>
      </c>
      <c r="AF90" s="53" t="n">
        <v>1.5</v>
      </c>
      <c r="AG90" s="48" t="n">
        <v>0.25</v>
      </c>
      <c r="AI90" s="48" t="n">
        <v>-0.1</v>
      </c>
      <c r="AJ90" s="48" t="n">
        <v>0.3</v>
      </c>
      <c r="AK90" s="48" t="n">
        <v>0.1</v>
      </c>
      <c r="AM90" s="9" t="n">
        <v>28</v>
      </c>
      <c r="AN90" s="50" t="n">
        <v>0.4</v>
      </c>
      <c r="BE90" s="3" t="n">
        <v>39052</v>
      </c>
      <c r="BF90" s="52" t="n">
        <v>0.9</v>
      </c>
    </row>
    <row r="91" customFormat="false" ht="12.75" hidden="false" customHeight="false" outlineLevel="0" collapsed="false">
      <c r="A91" s="44" t="n">
        <v>38200</v>
      </c>
      <c r="B91" s="45" t="n">
        <v>77.4499969482422</v>
      </c>
      <c r="C91" s="46" t="n">
        <v>81.4499969482422</v>
      </c>
      <c r="D91" s="45" t="n">
        <v>85.9499969482422</v>
      </c>
      <c r="E91" s="32"/>
      <c r="F91" s="47" t="n">
        <v>14.5649990844727</v>
      </c>
      <c r="G91" s="47" t="n">
        <v>16.5649990844727</v>
      </c>
      <c r="H91" s="47" t="n">
        <v>18.5649990844727</v>
      </c>
      <c r="I91" s="9"/>
      <c r="J91" s="3" t="n">
        <v>39083</v>
      </c>
      <c r="K91" s="48" t="n">
        <v>30.3987487792969</v>
      </c>
      <c r="L91" s="48" t="n">
        <v>31.4987487792969</v>
      </c>
      <c r="M91" s="48" t="n">
        <v>32.3987487792969</v>
      </c>
      <c r="O91" s="48" t="n">
        <v>26.7025005340576</v>
      </c>
      <c r="P91" s="48" t="n">
        <v>30.0025005340576</v>
      </c>
      <c r="Q91" s="48" t="n">
        <v>33.3025005340576</v>
      </c>
      <c r="S91" s="48" t="n">
        <v>0</v>
      </c>
      <c r="T91" s="48" t="n">
        <v>0</v>
      </c>
      <c r="U91" s="48" t="n">
        <v>0</v>
      </c>
      <c r="W91" s="48" t="n">
        <v>0.0790401908736</v>
      </c>
      <c r="X91" s="53" t="n">
        <v>0.1580803817472</v>
      </c>
      <c r="Y91" s="48" t="n">
        <v>0.2371205726208</v>
      </c>
      <c r="AA91" s="48" t="n">
        <v>0.0025</v>
      </c>
      <c r="AB91" s="48" t="n">
        <v>0.005</v>
      </c>
      <c r="AC91" s="48" t="n">
        <v>0.0075</v>
      </c>
      <c r="AE91" s="48" t="n">
        <v>-0.4</v>
      </c>
      <c r="AF91" s="53" t="n">
        <v>1.75</v>
      </c>
      <c r="AG91" s="48" t="n">
        <v>0.5</v>
      </c>
      <c r="AI91" s="48" t="n">
        <v>-0.1</v>
      </c>
      <c r="AJ91" s="48" t="n">
        <v>0.3</v>
      </c>
      <c r="AK91" s="48" t="n">
        <v>0.1</v>
      </c>
      <c r="AM91" s="9" t="n">
        <v>29</v>
      </c>
      <c r="AN91" s="50" t="n">
        <v>0.4</v>
      </c>
      <c r="BE91" s="3" t="n">
        <v>39083</v>
      </c>
      <c r="BF91" s="52" t="n">
        <v>0.9</v>
      </c>
    </row>
    <row r="92" customFormat="false" ht="12.75" hidden="false" customHeight="false" outlineLevel="0" collapsed="false">
      <c r="A92" s="44" t="n">
        <v>38231</v>
      </c>
      <c r="B92" s="45" t="n">
        <v>32.4249984741211</v>
      </c>
      <c r="C92" s="46" t="n">
        <v>33.4249984741211</v>
      </c>
      <c r="D92" s="45" t="n">
        <v>34.9249984741211</v>
      </c>
      <c r="E92" s="32"/>
      <c r="F92" s="47" t="n">
        <v>16.0649990844727</v>
      </c>
      <c r="G92" s="47" t="n">
        <v>16.5649990844727</v>
      </c>
      <c r="H92" s="47" t="n">
        <v>17.0649990844727</v>
      </c>
      <c r="I92" s="9"/>
      <c r="J92" s="3" t="n">
        <v>39114</v>
      </c>
      <c r="K92" s="48" t="n">
        <v>29.3962501525879</v>
      </c>
      <c r="L92" s="48" t="n">
        <v>30.4962501525879</v>
      </c>
      <c r="M92" s="48" t="n">
        <v>31.3962501525879</v>
      </c>
      <c r="O92" s="48" t="n">
        <v>24.6974994659424</v>
      </c>
      <c r="P92" s="48" t="n">
        <v>27.9974994659424</v>
      </c>
      <c r="Q92" s="48" t="n">
        <v>31.2974994659424</v>
      </c>
      <c r="S92" s="48" t="n">
        <v>0</v>
      </c>
      <c r="T92" s="48" t="n">
        <v>0</v>
      </c>
      <c r="U92" s="48" t="n">
        <v>0</v>
      </c>
      <c r="W92" s="48" t="n">
        <v>0.0790401908736</v>
      </c>
      <c r="X92" s="53" t="n">
        <v>0.1580803817472</v>
      </c>
      <c r="Y92" s="48" t="n">
        <v>0.2371205726208</v>
      </c>
      <c r="AA92" s="48" t="n">
        <v>0.0025</v>
      </c>
      <c r="AB92" s="48" t="n">
        <v>0.005</v>
      </c>
      <c r="AC92" s="48" t="n">
        <v>0.0075</v>
      </c>
      <c r="AE92" s="48" t="n">
        <v>-0.4</v>
      </c>
      <c r="AF92" s="53" t="n">
        <v>1.75</v>
      </c>
      <c r="AG92" s="48" t="n">
        <v>0.5</v>
      </c>
      <c r="AI92" s="48" t="n">
        <v>-0.1</v>
      </c>
      <c r="AJ92" s="48" t="n">
        <v>0.3</v>
      </c>
      <c r="AK92" s="48" t="n">
        <v>0.1</v>
      </c>
      <c r="AM92" s="9" t="n">
        <v>29</v>
      </c>
      <c r="AN92" s="50" t="n">
        <v>0.4</v>
      </c>
      <c r="BE92" s="3" t="n">
        <v>39114</v>
      </c>
      <c r="BF92" s="52" t="n">
        <v>0.9</v>
      </c>
    </row>
    <row r="93" customFormat="false" ht="12.75" hidden="false" customHeight="false" outlineLevel="0" collapsed="false">
      <c r="A93" s="44" t="n">
        <v>38261</v>
      </c>
      <c r="B93" s="45" t="n">
        <v>26.2250003814697</v>
      </c>
      <c r="C93" s="46" t="n">
        <v>27.0750003814697</v>
      </c>
      <c r="D93" s="45" t="n">
        <v>28.4250003814697</v>
      </c>
      <c r="E93" s="32"/>
      <c r="F93" s="47" t="n">
        <v>15.8399998474121</v>
      </c>
      <c r="G93" s="47" t="n">
        <v>16.2649998474121</v>
      </c>
      <c r="H93" s="47" t="n">
        <v>16.6899998474121</v>
      </c>
      <c r="I93" s="9"/>
      <c r="J93" s="3" t="n">
        <v>39142</v>
      </c>
      <c r="K93" s="48" t="n">
        <v>20.2597496032715</v>
      </c>
      <c r="L93" s="48" t="n">
        <v>20.7847496032715</v>
      </c>
      <c r="M93" s="48" t="n">
        <v>21.3097496032715</v>
      </c>
      <c r="O93" s="48" t="n">
        <v>17.1144989013672</v>
      </c>
      <c r="P93" s="48" t="n">
        <v>20.4144989013672</v>
      </c>
      <c r="Q93" s="48" t="n">
        <v>23.7144989013672</v>
      </c>
      <c r="S93" s="48" t="n">
        <v>0</v>
      </c>
      <c r="T93" s="48" t="n">
        <v>0</v>
      </c>
      <c r="U93" s="48" t="n">
        <v>0</v>
      </c>
      <c r="W93" s="48" t="n">
        <v>0.065866825728</v>
      </c>
      <c r="X93" s="53" t="n">
        <v>0.131733651456</v>
      </c>
      <c r="Y93" s="48" t="n">
        <v>0.197600477184</v>
      </c>
      <c r="AA93" s="48" t="n">
        <v>0.0025</v>
      </c>
      <c r="AB93" s="48" t="n">
        <v>0.005</v>
      </c>
      <c r="AC93" s="48" t="n">
        <v>0.0075</v>
      </c>
      <c r="AE93" s="48" t="n">
        <v>-0.25</v>
      </c>
      <c r="AF93" s="53" t="n">
        <v>1.1</v>
      </c>
      <c r="AG93" s="48" t="n">
        <v>0.25</v>
      </c>
      <c r="AI93" s="48" t="n">
        <v>-0.1</v>
      </c>
      <c r="AJ93" s="48" t="n">
        <v>0.3</v>
      </c>
      <c r="AK93" s="48" t="n">
        <v>0.1</v>
      </c>
      <c r="AM93" s="9" t="n">
        <v>29</v>
      </c>
      <c r="AN93" s="50" t="n">
        <v>0.4</v>
      </c>
      <c r="BE93" s="3" t="n">
        <v>39142</v>
      </c>
      <c r="BF93" s="52" t="n">
        <v>0.9</v>
      </c>
    </row>
    <row r="94" customFormat="false" ht="12.75" hidden="false" customHeight="false" outlineLevel="0" collapsed="false">
      <c r="A94" s="44" t="n">
        <v>38292</v>
      </c>
      <c r="B94" s="45" t="n">
        <v>25.8974990844727</v>
      </c>
      <c r="C94" s="46" t="n">
        <v>26.7474990844727</v>
      </c>
      <c r="D94" s="45" t="n">
        <v>28.0974990844727</v>
      </c>
      <c r="E94" s="32"/>
      <c r="F94" s="47" t="n">
        <v>14.0899998474121</v>
      </c>
      <c r="G94" s="47" t="n">
        <v>14.5149998474121</v>
      </c>
      <c r="H94" s="47" t="n">
        <v>14.9399998474121</v>
      </c>
      <c r="I94" s="9"/>
      <c r="J94" s="3" t="n">
        <v>39173</v>
      </c>
      <c r="K94" s="48" t="n">
        <v>21.0550003051758</v>
      </c>
      <c r="L94" s="48" t="n">
        <v>21.4675003051758</v>
      </c>
      <c r="M94" s="48" t="n">
        <v>21.8800003051758</v>
      </c>
      <c r="O94" s="48" t="n">
        <v>16.8849990844727</v>
      </c>
      <c r="P94" s="48" t="n">
        <v>20.1849990844727</v>
      </c>
      <c r="Q94" s="48" t="n">
        <v>23.4849990844727</v>
      </c>
      <c r="S94" s="48" t="n">
        <v>0</v>
      </c>
      <c r="T94" s="48" t="n">
        <v>0</v>
      </c>
      <c r="U94" s="48" t="n">
        <v>0</v>
      </c>
      <c r="W94" s="48" t="n">
        <v>0.0625734844416</v>
      </c>
      <c r="X94" s="53" t="n">
        <v>0.1251469688832</v>
      </c>
      <c r="Y94" s="48" t="n">
        <v>0.1877204533248</v>
      </c>
      <c r="AA94" s="48" t="n">
        <v>0.0025</v>
      </c>
      <c r="AB94" s="48" t="n">
        <v>0.005</v>
      </c>
      <c r="AC94" s="48" t="n">
        <v>0.0075</v>
      </c>
      <c r="AE94" s="48" t="n">
        <v>-0.25</v>
      </c>
      <c r="AF94" s="53" t="n">
        <v>1.2</v>
      </c>
      <c r="AG94" s="48" t="n">
        <v>0.25</v>
      </c>
      <c r="AI94" s="48" t="n">
        <v>-0.1</v>
      </c>
      <c r="AJ94" s="48" t="n">
        <v>0.3</v>
      </c>
      <c r="AK94" s="48" t="n">
        <v>0.1</v>
      </c>
      <c r="AM94" s="9" t="n">
        <v>30</v>
      </c>
      <c r="AN94" s="50" t="n">
        <v>0.4</v>
      </c>
      <c r="BE94" s="3" t="n">
        <v>39173</v>
      </c>
      <c r="BF94" s="52" t="n">
        <v>0.9</v>
      </c>
    </row>
    <row r="95" customFormat="false" ht="12.75" hidden="false" customHeight="false" outlineLevel="0" collapsed="false">
      <c r="A95" s="44" t="n">
        <v>38322</v>
      </c>
      <c r="B95" s="45" t="n">
        <v>27.6499996185303</v>
      </c>
      <c r="C95" s="46" t="n">
        <v>28.4999996185303</v>
      </c>
      <c r="D95" s="45" t="n">
        <v>29.8499996185303</v>
      </c>
      <c r="E95" s="32"/>
      <c r="F95" s="47" t="n">
        <v>14.9400002288818</v>
      </c>
      <c r="G95" s="47" t="n">
        <v>15.3650002288818</v>
      </c>
      <c r="H95" s="47" t="n">
        <v>15.7900002288818</v>
      </c>
      <c r="I95" s="9"/>
      <c r="J95" s="3" t="n">
        <v>39203</v>
      </c>
      <c r="K95" s="48" t="n">
        <v>20.195000076294</v>
      </c>
      <c r="L95" s="48" t="n">
        <v>21.582500076294</v>
      </c>
      <c r="M95" s="48" t="n">
        <v>22.970000076294</v>
      </c>
      <c r="O95" s="48" t="n">
        <v>17.4149997711182</v>
      </c>
      <c r="P95" s="48" t="n">
        <v>20.7149997711182</v>
      </c>
      <c r="Q95" s="48" t="n">
        <v>24.0149997711182</v>
      </c>
      <c r="S95" s="48" t="n">
        <v>0</v>
      </c>
      <c r="T95" s="48" t="n">
        <v>0</v>
      </c>
      <c r="U95" s="48" t="n">
        <v>0</v>
      </c>
      <c r="W95" s="48" t="n">
        <v>0.0691601670144</v>
      </c>
      <c r="X95" s="53" t="n">
        <v>0.1383203340288</v>
      </c>
      <c r="Y95" s="48" t="n">
        <v>0.2074805010432</v>
      </c>
      <c r="AA95" s="48" t="n">
        <v>0.0025</v>
      </c>
      <c r="AB95" s="48" t="n">
        <v>0.005</v>
      </c>
      <c r="AC95" s="48" t="n">
        <v>0.0075</v>
      </c>
      <c r="AE95" s="48" t="n">
        <v>-0.25</v>
      </c>
      <c r="AF95" s="53" t="n">
        <v>2</v>
      </c>
      <c r="AG95" s="48" t="n">
        <v>0.25</v>
      </c>
      <c r="AI95" s="48" t="n">
        <v>-0.1</v>
      </c>
      <c r="AJ95" s="48" t="n">
        <v>0.3</v>
      </c>
      <c r="AK95" s="48" t="n">
        <v>0.1</v>
      </c>
      <c r="AM95" s="9" t="n">
        <v>30</v>
      </c>
      <c r="AN95" s="50" t="n">
        <v>0.4</v>
      </c>
      <c r="BE95" s="3" t="n">
        <v>39203</v>
      </c>
      <c r="BF95" s="52" t="n">
        <v>0.9</v>
      </c>
    </row>
    <row r="96" customFormat="false" ht="12.75" hidden="false" customHeight="false" outlineLevel="0" collapsed="false">
      <c r="A96" s="44" t="n">
        <v>38353</v>
      </c>
      <c r="B96" s="45" t="n">
        <v>36.3249984741211</v>
      </c>
      <c r="C96" s="46" t="n">
        <v>37.3249984741211</v>
      </c>
      <c r="D96" s="45" t="n">
        <v>38.8249984741211</v>
      </c>
      <c r="E96" s="32"/>
      <c r="F96" s="47" t="n">
        <v>19.3149975585938</v>
      </c>
      <c r="G96" s="47" t="n">
        <v>19.8149975585938</v>
      </c>
      <c r="H96" s="47" t="n">
        <v>20.3149975585938</v>
      </c>
      <c r="I96" s="9"/>
      <c r="J96" s="3" t="n">
        <v>39234</v>
      </c>
      <c r="K96" s="48" t="n">
        <v>22.1612501525879</v>
      </c>
      <c r="L96" s="48" t="n">
        <v>26.1587501525879</v>
      </c>
      <c r="M96" s="48" t="n">
        <v>30.1562501525879</v>
      </c>
      <c r="O96" s="48" t="n">
        <v>16.3424995422363</v>
      </c>
      <c r="P96" s="48" t="n">
        <v>19.6424995422363</v>
      </c>
      <c r="Q96" s="48" t="n">
        <v>22.9424995422363</v>
      </c>
      <c r="S96" s="48" t="n">
        <v>0</v>
      </c>
      <c r="T96" s="48" t="n">
        <v>0</v>
      </c>
      <c r="U96" s="48" t="n">
        <v>0</v>
      </c>
      <c r="W96" s="48" t="n">
        <v>0.0889202147328</v>
      </c>
      <c r="X96" s="53" t="n">
        <v>0.1778404294656</v>
      </c>
      <c r="Y96" s="48" t="n">
        <v>0.2667606441984</v>
      </c>
      <c r="AA96" s="48" t="n">
        <v>0.0025</v>
      </c>
      <c r="AB96" s="48" t="n">
        <v>0.005</v>
      </c>
      <c r="AC96" s="48" t="n">
        <v>0.0075</v>
      </c>
      <c r="AE96" s="48" t="n">
        <v>-0.75</v>
      </c>
      <c r="AF96" s="53" t="n">
        <v>2.25</v>
      </c>
      <c r="AG96" s="48" t="n">
        <v>0.75</v>
      </c>
      <c r="AI96" s="48" t="n">
        <v>-0.1</v>
      </c>
      <c r="AJ96" s="48" t="n">
        <v>0.3</v>
      </c>
      <c r="AK96" s="48" t="n">
        <v>0.1</v>
      </c>
      <c r="AM96" s="9" t="n">
        <v>30</v>
      </c>
      <c r="AN96" s="50" t="n">
        <v>0.4</v>
      </c>
      <c r="BE96" s="3" t="n">
        <v>39234</v>
      </c>
      <c r="BF96" s="52" t="n">
        <v>0.9</v>
      </c>
    </row>
    <row r="97" customFormat="false" ht="12.75" hidden="false" customHeight="false" outlineLevel="0" collapsed="false">
      <c r="A97" s="44" t="n">
        <v>38384</v>
      </c>
      <c r="B97" s="45" t="n">
        <v>36.3249984741211</v>
      </c>
      <c r="C97" s="46" t="n">
        <v>37.3249984741211</v>
      </c>
      <c r="D97" s="45" t="n">
        <v>38.8249984741211</v>
      </c>
      <c r="E97" s="32"/>
      <c r="F97" s="47" t="n">
        <v>19.464997177124</v>
      </c>
      <c r="G97" s="47" t="n">
        <v>19.964997177124</v>
      </c>
      <c r="H97" s="47" t="n">
        <v>20.464997177124</v>
      </c>
      <c r="I97" s="9"/>
      <c r="J97" s="3" t="n">
        <v>39264</v>
      </c>
      <c r="K97" s="48" t="n">
        <v>36.8612495422363</v>
      </c>
      <c r="L97" s="48" t="n">
        <v>40.6112495422363</v>
      </c>
      <c r="M97" s="48" t="n">
        <v>44.3612495422363</v>
      </c>
      <c r="O97" s="48" t="n">
        <v>26.7974994659424</v>
      </c>
      <c r="P97" s="48" t="n">
        <v>30.0974994659424</v>
      </c>
      <c r="Q97" s="48" t="n">
        <v>33.3974994659424</v>
      </c>
      <c r="S97" s="48" t="n">
        <v>0</v>
      </c>
      <c r="T97" s="48" t="n">
        <v>0</v>
      </c>
      <c r="U97" s="48" t="n">
        <v>0</v>
      </c>
      <c r="W97" s="48" t="n">
        <v>0.1086802624512</v>
      </c>
      <c r="X97" s="53" t="n">
        <v>0.2173605249024</v>
      </c>
      <c r="Y97" s="48" t="n">
        <v>0.3260407873536</v>
      </c>
      <c r="AA97" s="48" t="n">
        <v>0.0025</v>
      </c>
      <c r="AB97" s="48" t="n">
        <v>0.005</v>
      </c>
      <c r="AC97" s="48" t="n">
        <v>0.0075</v>
      </c>
      <c r="AE97" s="48" t="n">
        <v>-1</v>
      </c>
      <c r="AF97" s="53" t="n">
        <v>3</v>
      </c>
      <c r="AG97" s="48" t="n">
        <v>1</v>
      </c>
      <c r="AI97" s="48" t="n">
        <v>-0.1</v>
      </c>
      <c r="AJ97" s="48" t="n">
        <v>0.3</v>
      </c>
      <c r="AK97" s="48" t="n">
        <v>0.1</v>
      </c>
      <c r="AM97" s="9" t="n">
        <v>31</v>
      </c>
      <c r="AN97" s="50" t="n">
        <v>0.4</v>
      </c>
      <c r="BE97" s="3" t="n">
        <v>39264</v>
      </c>
      <c r="BF97" s="52" t="n">
        <v>0.9</v>
      </c>
    </row>
    <row r="98" customFormat="false" ht="12.75" hidden="false" customHeight="false" outlineLevel="0" collapsed="false">
      <c r="A98" s="44" t="n">
        <v>38412</v>
      </c>
      <c r="B98" s="45" t="n">
        <v>26.4500007629395</v>
      </c>
      <c r="C98" s="46" t="n">
        <v>27.0500007629395</v>
      </c>
      <c r="D98" s="45" t="n">
        <v>28.1500007629395</v>
      </c>
      <c r="E98" s="32"/>
      <c r="F98" s="47" t="n">
        <v>16.9149990844727</v>
      </c>
      <c r="G98" s="47" t="n">
        <v>17.2149990844727</v>
      </c>
      <c r="H98" s="47" t="n">
        <v>17.5149990844727</v>
      </c>
      <c r="I98" s="9"/>
      <c r="J98" s="3" t="n">
        <v>39295</v>
      </c>
      <c r="K98" s="48" t="n">
        <v>39.1224990844727</v>
      </c>
      <c r="L98" s="48" t="n">
        <v>42.8724990844727</v>
      </c>
      <c r="M98" s="48" t="n">
        <v>46.6224990844727</v>
      </c>
      <c r="O98" s="48" t="n">
        <v>28.2950008392334</v>
      </c>
      <c r="P98" s="48" t="n">
        <v>31.5950008392334</v>
      </c>
      <c r="Q98" s="48" t="n">
        <v>34.8950008392334</v>
      </c>
      <c r="S98" s="48" t="n">
        <v>0</v>
      </c>
      <c r="T98" s="48" t="n">
        <v>0</v>
      </c>
      <c r="U98" s="48" t="n">
        <v>0</v>
      </c>
      <c r="W98" s="48" t="n">
        <v>0.1086802624512</v>
      </c>
      <c r="X98" s="53" t="n">
        <v>0.2173605249024</v>
      </c>
      <c r="Y98" s="48" t="n">
        <v>0.3260407873536</v>
      </c>
      <c r="AA98" s="48" t="n">
        <v>0.0025</v>
      </c>
      <c r="AB98" s="48" t="n">
        <v>0.005</v>
      </c>
      <c r="AC98" s="48" t="n">
        <v>0.0075</v>
      </c>
      <c r="AE98" s="48" t="n">
        <v>-1</v>
      </c>
      <c r="AF98" s="53" t="n">
        <v>3</v>
      </c>
      <c r="AG98" s="48" t="n">
        <v>1</v>
      </c>
      <c r="AI98" s="48" t="n">
        <v>-0.1</v>
      </c>
      <c r="AJ98" s="48" t="n">
        <v>0.3</v>
      </c>
      <c r="AK98" s="48" t="n">
        <v>0.1</v>
      </c>
      <c r="AM98" s="9" t="n">
        <v>31</v>
      </c>
      <c r="AN98" s="50" t="n">
        <v>0.4</v>
      </c>
      <c r="BE98" s="3" t="n">
        <v>39295</v>
      </c>
      <c r="BF98" s="52" t="n">
        <v>0.9</v>
      </c>
    </row>
    <row r="99" customFormat="false" ht="12.75" hidden="false" customHeight="false" outlineLevel="0" collapsed="false">
      <c r="A99" s="44" t="n">
        <v>38443</v>
      </c>
      <c r="B99" s="45" t="n">
        <v>26.3750007629395</v>
      </c>
      <c r="C99" s="46" t="n">
        <v>26.8250007629395</v>
      </c>
      <c r="D99" s="45" t="n">
        <v>27.7750007629395</v>
      </c>
      <c r="E99" s="32"/>
      <c r="F99" s="47" t="n">
        <v>17.2399990844727</v>
      </c>
      <c r="G99" s="47" t="n">
        <v>17.4649990844727</v>
      </c>
      <c r="H99" s="47" t="n">
        <v>17.6899990844727</v>
      </c>
      <c r="I99" s="9"/>
      <c r="J99" s="3" t="n">
        <v>39326</v>
      </c>
      <c r="K99" s="48" t="n">
        <v>19.1049995422363</v>
      </c>
      <c r="L99" s="48" t="n">
        <v>20.0799995422363</v>
      </c>
      <c r="M99" s="48" t="n">
        <v>21.0549995422363</v>
      </c>
      <c r="O99" s="48" t="n">
        <v>13.3600004196167</v>
      </c>
      <c r="P99" s="48" t="n">
        <v>16.6600004196167</v>
      </c>
      <c r="Q99" s="48" t="n">
        <v>19.9600004196167</v>
      </c>
      <c r="S99" s="48" t="n">
        <v>0</v>
      </c>
      <c r="T99" s="48" t="n">
        <v>0</v>
      </c>
      <c r="U99" s="48" t="n">
        <v>0</v>
      </c>
      <c r="W99" s="48" t="n">
        <v>0.06985875456</v>
      </c>
      <c r="X99" s="53" t="n">
        <v>0.13971750912</v>
      </c>
      <c r="Y99" s="48" t="n">
        <v>0.20957626368</v>
      </c>
      <c r="AA99" s="48" t="n">
        <v>0.0025</v>
      </c>
      <c r="AB99" s="48" t="n">
        <v>0.005</v>
      </c>
      <c r="AC99" s="48" t="n">
        <v>0.0075</v>
      </c>
      <c r="AE99" s="48" t="n">
        <v>-0.4</v>
      </c>
      <c r="AF99" s="53" t="n">
        <v>1.75</v>
      </c>
      <c r="AG99" s="48" t="n">
        <v>0.5</v>
      </c>
      <c r="AI99" s="48" t="n">
        <v>-0.1</v>
      </c>
      <c r="AJ99" s="48" t="n">
        <v>0.3</v>
      </c>
      <c r="AK99" s="48" t="n">
        <v>0.1</v>
      </c>
      <c r="AM99" s="9" t="n">
        <v>31</v>
      </c>
      <c r="AN99" s="50" t="n">
        <v>0.4</v>
      </c>
      <c r="BE99" s="3" t="n">
        <v>39326</v>
      </c>
      <c r="BF99" s="52" t="n">
        <v>0.9</v>
      </c>
    </row>
    <row r="100" customFormat="false" ht="12.75" hidden="false" customHeight="false" outlineLevel="0" collapsed="false">
      <c r="A100" s="44" t="n">
        <v>38473</v>
      </c>
      <c r="B100" s="45" t="n">
        <v>30.305</v>
      </c>
      <c r="C100" s="46" t="n">
        <v>31.825</v>
      </c>
      <c r="D100" s="45" t="n">
        <v>33.845</v>
      </c>
      <c r="E100" s="32"/>
      <c r="F100" s="47" t="n">
        <v>16.1549998474121</v>
      </c>
      <c r="G100" s="47" t="n">
        <v>16.9149998474121</v>
      </c>
      <c r="H100" s="47" t="n">
        <v>17.6749998474121</v>
      </c>
      <c r="I100" s="9"/>
      <c r="J100" s="3" t="n">
        <v>39356</v>
      </c>
      <c r="K100" s="48" t="n">
        <v>18.2694995880127</v>
      </c>
      <c r="L100" s="48" t="n">
        <v>19.1319995880127</v>
      </c>
      <c r="M100" s="48" t="n">
        <v>19.9944995880127</v>
      </c>
      <c r="O100" s="48" t="n">
        <v>13.5040004730225</v>
      </c>
      <c r="P100" s="48" t="n">
        <v>16.8040004730225</v>
      </c>
      <c r="Q100" s="48" t="n">
        <v>20.1040004730225</v>
      </c>
      <c r="S100" s="48" t="n">
        <v>0</v>
      </c>
      <c r="T100" s="48" t="n">
        <v>0</v>
      </c>
      <c r="U100" s="48" t="n">
        <v>0</v>
      </c>
      <c r="W100" s="48" t="n">
        <v>0.049400119296</v>
      </c>
      <c r="X100" s="53" t="n">
        <v>0.098800238592</v>
      </c>
      <c r="Y100" s="48" t="n">
        <v>0.148200357888</v>
      </c>
      <c r="AA100" s="48" t="n">
        <v>0.0025</v>
      </c>
      <c r="AB100" s="48" t="n">
        <v>0.005</v>
      </c>
      <c r="AC100" s="48" t="n">
        <v>0.0075</v>
      </c>
      <c r="AE100" s="48" t="n">
        <v>-0.25</v>
      </c>
      <c r="AF100" s="53" t="n">
        <v>1.5</v>
      </c>
      <c r="AG100" s="48" t="n">
        <v>0.25</v>
      </c>
      <c r="AI100" s="48" t="n">
        <v>-0.1</v>
      </c>
      <c r="AJ100" s="48" t="n">
        <v>0.3</v>
      </c>
      <c r="AK100" s="48" t="n">
        <v>0.1</v>
      </c>
      <c r="AM100" s="9" t="n">
        <v>32</v>
      </c>
      <c r="AN100" s="50" t="n">
        <v>0.4</v>
      </c>
      <c r="BE100" s="3" t="n">
        <v>39356</v>
      </c>
      <c r="BF100" s="52" t="n">
        <v>0.9</v>
      </c>
    </row>
    <row r="101" customFormat="false" ht="12.75" hidden="false" customHeight="false" outlineLevel="0" collapsed="false">
      <c r="A101" s="44" t="n">
        <v>38504</v>
      </c>
      <c r="B101" s="45" t="n">
        <v>51.9499984741211</v>
      </c>
      <c r="C101" s="46" t="n">
        <v>56.3499984741211</v>
      </c>
      <c r="D101" s="45" t="n">
        <v>61.2499984741211</v>
      </c>
      <c r="E101" s="32"/>
      <c r="F101" s="47" t="n">
        <v>14.7750012207031</v>
      </c>
      <c r="G101" s="47" t="n">
        <v>16.9750012207031</v>
      </c>
      <c r="H101" s="47" t="n">
        <v>19.1750012207031</v>
      </c>
      <c r="I101" s="9"/>
      <c r="J101" s="3" t="n">
        <v>39387</v>
      </c>
      <c r="K101" s="48" t="n">
        <v>17.7312496185303</v>
      </c>
      <c r="L101" s="48" t="n">
        <v>18.5937496185303</v>
      </c>
      <c r="M101" s="48" t="n">
        <v>19.4562496185303</v>
      </c>
      <c r="O101" s="48" t="n">
        <v>14.0250003814697</v>
      </c>
      <c r="P101" s="48" t="n">
        <v>17.3250003814697</v>
      </c>
      <c r="Q101" s="48" t="n">
        <v>20.6250003814697</v>
      </c>
      <c r="S101" s="48" t="n">
        <v>0</v>
      </c>
      <c r="T101" s="48" t="n">
        <v>0</v>
      </c>
      <c r="U101" s="48" t="n">
        <v>0</v>
      </c>
      <c r="W101" s="48" t="n">
        <v>0.049400119296</v>
      </c>
      <c r="X101" s="53" t="n">
        <v>0.098800238592</v>
      </c>
      <c r="Y101" s="48" t="n">
        <v>0.148200357888</v>
      </c>
      <c r="AA101" s="48" t="n">
        <v>0.0025</v>
      </c>
      <c r="AB101" s="48" t="n">
        <v>0.005</v>
      </c>
      <c r="AC101" s="48" t="n">
        <v>0.0075</v>
      </c>
      <c r="AE101" s="48" t="n">
        <v>-0.25</v>
      </c>
      <c r="AF101" s="53" t="n">
        <v>1.5</v>
      </c>
      <c r="AG101" s="48" t="n">
        <v>0.25</v>
      </c>
      <c r="AI101" s="48" t="n">
        <v>-0.1</v>
      </c>
      <c r="AJ101" s="48" t="n">
        <v>0.3</v>
      </c>
      <c r="AK101" s="48" t="n">
        <v>0.1</v>
      </c>
      <c r="AM101" s="9" t="n">
        <v>32</v>
      </c>
      <c r="AN101" s="50" t="n">
        <v>0.4</v>
      </c>
      <c r="BE101" s="3" t="n">
        <v>39387</v>
      </c>
      <c r="BF101" s="52" t="n">
        <v>0.9</v>
      </c>
    </row>
    <row r="102" customFormat="false" ht="12.75" hidden="false" customHeight="false" outlineLevel="0" collapsed="false">
      <c r="A102" s="44" t="n">
        <v>38534</v>
      </c>
      <c r="B102" s="45" t="n">
        <v>91.6999969482422</v>
      </c>
      <c r="C102" s="46" t="n">
        <v>95.6999969482422</v>
      </c>
      <c r="D102" s="45" t="n">
        <v>100.199996948242</v>
      </c>
      <c r="E102" s="32"/>
      <c r="F102" s="47" t="n">
        <v>14.6649998474121</v>
      </c>
      <c r="G102" s="47" t="n">
        <v>16.6649998474121</v>
      </c>
      <c r="H102" s="47" t="n">
        <v>18.6649998474121</v>
      </c>
      <c r="I102" s="9"/>
      <c r="J102" s="3" t="n">
        <v>39417</v>
      </c>
      <c r="K102" s="48" t="n">
        <v>21.876250076294</v>
      </c>
      <c r="L102" s="48" t="n">
        <v>22.738750076294</v>
      </c>
      <c r="M102" s="48" t="n">
        <v>23.601250076294</v>
      </c>
      <c r="O102" s="48" t="n">
        <v>14.4750001907349</v>
      </c>
      <c r="P102" s="48" t="n">
        <v>17.7750001907349</v>
      </c>
      <c r="Q102" s="48" t="n">
        <v>21.0750001907349</v>
      </c>
      <c r="S102" s="48" t="n">
        <v>0</v>
      </c>
      <c r="T102" s="48" t="n">
        <v>0</v>
      </c>
      <c r="U102" s="48" t="n">
        <v>0</v>
      </c>
      <c r="W102" s="48" t="n">
        <v>0.049400119296</v>
      </c>
      <c r="X102" s="53" t="n">
        <v>0.098800238592</v>
      </c>
      <c r="Y102" s="48" t="n">
        <v>0.148200357888</v>
      </c>
      <c r="AA102" s="48" t="n">
        <v>0.0025</v>
      </c>
      <c r="AB102" s="48" t="n">
        <v>0.005</v>
      </c>
      <c r="AC102" s="48" t="n">
        <v>0.0075</v>
      </c>
      <c r="AE102" s="48" t="n">
        <v>-0.25</v>
      </c>
      <c r="AF102" s="53" t="n">
        <v>1.5</v>
      </c>
      <c r="AG102" s="48" t="n">
        <v>0.25</v>
      </c>
      <c r="AI102" s="48" t="n">
        <v>-0.1</v>
      </c>
      <c r="AJ102" s="48" t="n">
        <v>0.3</v>
      </c>
      <c r="AK102" s="48" t="n">
        <v>0.1</v>
      </c>
      <c r="AM102" s="9" t="n">
        <v>32</v>
      </c>
      <c r="AN102" s="50" t="n">
        <v>0.4</v>
      </c>
      <c r="BE102" s="3" t="n">
        <v>39417</v>
      </c>
      <c r="BF102" s="52" t="n">
        <v>0.9</v>
      </c>
    </row>
    <row r="103" customFormat="false" ht="12.75" hidden="false" customHeight="false" outlineLevel="0" collapsed="false">
      <c r="A103" s="44" t="n">
        <v>38565</v>
      </c>
      <c r="B103" s="45" t="n">
        <v>78.6999969482422</v>
      </c>
      <c r="C103" s="46" t="n">
        <v>82.6999969482422</v>
      </c>
      <c r="D103" s="45" t="n">
        <v>87.1999969482422</v>
      </c>
      <c r="E103" s="32"/>
      <c r="F103" s="47" t="n">
        <v>14.7149990844727</v>
      </c>
      <c r="G103" s="47" t="n">
        <v>16.7149990844727</v>
      </c>
      <c r="H103" s="47" t="n">
        <v>18.7149990844727</v>
      </c>
      <c r="I103" s="9"/>
      <c r="J103" s="3" t="n">
        <v>39448</v>
      </c>
      <c r="K103" s="48" t="n">
        <v>31.3237487792969</v>
      </c>
      <c r="L103" s="48" t="n">
        <v>32.4987487792969</v>
      </c>
      <c r="M103" s="48" t="n">
        <v>33.4737487792969</v>
      </c>
      <c r="O103" s="48" t="n">
        <v>27.7025005340576</v>
      </c>
      <c r="P103" s="48" t="n">
        <v>31.0025005340576</v>
      </c>
      <c r="Q103" s="48" t="n">
        <v>34.3025005340576</v>
      </c>
      <c r="S103" s="48" t="n">
        <v>0</v>
      </c>
      <c r="T103" s="48" t="n">
        <v>0</v>
      </c>
      <c r="U103" s="48" t="n">
        <v>0</v>
      </c>
      <c r="W103" s="48" t="n">
        <v>0.075878583238656</v>
      </c>
      <c r="X103" s="53" t="n">
        <v>0.151757166477312</v>
      </c>
      <c r="Y103" s="48" t="n">
        <v>0.227635749715968</v>
      </c>
      <c r="AA103" s="48" t="n">
        <v>0.0025</v>
      </c>
      <c r="AB103" s="48" t="n">
        <v>0.005</v>
      </c>
      <c r="AC103" s="48" t="n">
        <v>0.0075</v>
      </c>
      <c r="AE103" s="48" t="n">
        <v>-0.4</v>
      </c>
      <c r="AF103" s="53" t="n">
        <v>1.75</v>
      </c>
      <c r="AG103" s="48" t="n">
        <v>0.5</v>
      </c>
      <c r="AI103" s="48" t="n">
        <v>-0.1</v>
      </c>
      <c r="AJ103" s="48" t="n">
        <v>0.3</v>
      </c>
      <c r="AK103" s="48" t="n">
        <v>0.1</v>
      </c>
      <c r="AM103" s="9" t="n">
        <v>33</v>
      </c>
      <c r="AN103" s="50" t="n">
        <v>0.4</v>
      </c>
      <c r="BE103" s="3" t="n">
        <v>39448</v>
      </c>
      <c r="BF103" s="52" t="n">
        <v>0.9</v>
      </c>
    </row>
    <row r="104" customFormat="false" ht="12.75" hidden="false" customHeight="false" outlineLevel="0" collapsed="false">
      <c r="A104" s="44" t="n">
        <v>38596</v>
      </c>
      <c r="B104" s="45" t="n">
        <v>32.8249984741211</v>
      </c>
      <c r="C104" s="46" t="n">
        <v>33.9249984741211</v>
      </c>
      <c r="D104" s="45" t="n">
        <v>35.5249984741211</v>
      </c>
      <c r="E104" s="32"/>
      <c r="F104" s="47" t="n">
        <v>16.1649990844727</v>
      </c>
      <c r="G104" s="47" t="n">
        <v>16.7149990844727</v>
      </c>
      <c r="H104" s="47" t="n">
        <v>17.2649990844727</v>
      </c>
      <c r="I104" s="9"/>
      <c r="J104" s="3" t="n">
        <v>39479</v>
      </c>
      <c r="K104" s="48" t="n">
        <v>30.3212501525879</v>
      </c>
      <c r="L104" s="48" t="n">
        <v>31.4962501525879</v>
      </c>
      <c r="M104" s="48" t="n">
        <v>32.4712501525879</v>
      </c>
      <c r="O104" s="48" t="n">
        <v>25.6974994659424</v>
      </c>
      <c r="P104" s="48" t="n">
        <v>28.9974994659424</v>
      </c>
      <c r="Q104" s="48" t="n">
        <v>32.2974994659424</v>
      </c>
      <c r="S104" s="48" t="n">
        <v>0</v>
      </c>
      <c r="T104" s="48" t="n">
        <v>0</v>
      </c>
      <c r="U104" s="48" t="n">
        <v>0</v>
      </c>
      <c r="W104" s="48" t="n">
        <v>0.075878583238656</v>
      </c>
      <c r="X104" s="53" t="n">
        <v>0.151757166477312</v>
      </c>
      <c r="Y104" s="48" t="n">
        <v>0.227635749715968</v>
      </c>
      <c r="AA104" s="48" t="n">
        <v>0.0025</v>
      </c>
      <c r="AB104" s="48" t="n">
        <v>0.005</v>
      </c>
      <c r="AC104" s="48" t="n">
        <v>0.0075</v>
      </c>
      <c r="AE104" s="48" t="n">
        <v>-0.4</v>
      </c>
      <c r="AF104" s="53" t="n">
        <v>1.75</v>
      </c>
      <c r="AG104" s="48" t="n">
        <v>0.5</v>
      </c>
      <c r="AI104" s="48" t="n">
        <v>-0.1</v>
      </c>
      <c r="AJ104" s="48" t="n">
        <v>0.3</v>
      </c>
      <c r="AK104" s="48" t="n">
        <v>0.1</v>
      </c>
      <c r="AM104" s="9" t="n">
        <v>33</v>
      </c>
      <c r="AN104" s="50" t="n">
        <v>0.4</v>
      </c>
      <c r="BE104" s="3" t="n">
        <v>39479</v>
      </c>
      <c r="BF104" s="52" t="n">
        <v>0.9</v>
      </c>
    </row>
    <row r="105" customFormat="false" ht="12.75" hidden="false" customHeight="false" outlineLevel="0" collapsed="false">
      <c r="A105" s="44" t="n">
        <v>38626</v>
      </c>
      <c r="B105" s="45" t="n">
        <v>26.6250003814697</v>
      </c>
      <c r="C105" s="46" t="n">
        <v>27.5750003814697</v>
      </c>
      <c r="D105" s="45" t="n">
        <v>29.0250003814697</v>
      </c>
      <c r="E105" s="32"/>
      <c r="F105" s="47" t="n">
        <v>15.9399998474121</v>
      </c>
      <c r="G105" s="47" t="n">
        <v>16.4149998474121</v>
      </c>
      <c r="H105" s="47" t="n">
        <v>16.8899998474121</v>
      </c>
      <c r="I105" s="9"/>
      <c r="J105" s="3" t="n">
        <v>39508</v>
      </c>
      <c r="K105" s="48" t="n">
        <v>20.5722496032715</v>
      </c>
      <c r="L105" s="48" t="n">
        <v>21.1347496032715</v>
      </c>
      <c r="M105" s="48" t="n">
        <v>21.6972496032715</v>
      </c>
      <c r="O105" s="48" t="n">
        <v>17.4644989013672</v>
      </c>
      <c r="P105" s="48" t="n">
        <v>20.7644989013672</v>
      </c>
      <c r="Q105" s="48" t="n">
        <v>24.0644989013672</v>
      </c>
      <c r="S105" s="48" t="n">
        <v>0</v>
      </c>
      <c r="T105" s="48" t="n">
        <v>0</v>
      </c>
      <c r="U105" s="48" t="n">
        <v>0</v>
      </c>
      <c r="W105" s="48" t="n">
        <v>0.06323215269888</v>
      </c>
      <c r="X105" s="53" t="n">
        <v>0.12646430539776</v>
      </c>
      <c r="Y105" s="48" t="n">
        <v>0.18969645809664</v>
      </c>
      <c r="AA105" s="48" t="n">
        <v>0.0025</v>
      </c>
      <c r="AB105" s="48" t="n">
        <v>0.005</v>
      </c>
      <c r="AC105" s="48" t="n">
        <v>0.0075</v>
      </c>
      <c r="AE105" s="48" t="n">
        <v>-0.25</v>
      </c>
      <c r="AF105" s="53" t="n">
        <v>1.1</v>
      </c>
      <c r="AG105" s="48" t="n">
        <v>0.25</v>
      </c>
      <c r="AI105" s="48" t="n">
        <v>-0.1</v>
      </c>
      <c r="AJ105" s="48" t="n">
        <v>0.3</v>
      </c>
      <c r="AK105" s="48" t="n">
        <v>0.1</v>
      </c>
      <c r="AM105" s="9" t="n">
        <v>33</v>
      </c>
      <c r="AN105" s="50" t="n">
        <v>0.4</v>
      </c>
      <c r="BE105" s="3" t="n">
        <v>39508</v>
      </c>
      <c r="BF105" s="52" t="n">
        <v>0.9</v>
      </c>
    </row>
    <row r="106" customFormat="false" ht="12.75" hidden="false" customHeight="false" outlineLevel="0" collapsed="false">
      <c r="A106" s="44" t="n">
        <v>38657</v>
      </c>
      <c r="B106" s="45" t="n">
        <v>26.2974990844727</v>
      </c>
      <c r="C106" s="46" t="n">
        <v>27.2474990844727</v>
      </c>
      <c r="D106" s="45" t="n">
        <v>28.6974990844727</v>
      </c>
      <c r="E106" s="32"/>
      <c r="F106" s="47" t="n">
        <v>14.1899998474121</v>
      </c>
      <c r="G106" s="47" t="n">
        <v>14.6649998474121</v>
      </c>
      <c r="H106" s="47" t="n">
        <v>15.1399998474121</v>
      </c>
      <c r="I106" s="9"/>
      <c r="J106" s="3" t="n">
        <v>39539</v>
      </c>
      <c r="K106" s="48" t="n">
        <v>21.3675003051758</v>
      </c>
      <c r="L106" s="48" t="n">
        <v>21.8175003051758</v>
      </c>
      <c r="M106" s="48" t="n">
        <v>22.2675003051758</v>
      </c>
      <c r="O106" s="48" t="n">
        <v>17.2349990844727</v>
      </c>
      <c r="P106" s="48" t="n">
        <v>20.5349990844727</v>
      </c>
      <c r="Q106" s="48" t="n">
        <v>23.8349990844727</v>
      </c>
      <c r="S106" s="48" t="n">
        <v>0</v>
      </c>
      <c r="T106" s="48" t="n">
        <v>0</v>
      </c>
      <c r="U106" s="48" t="n">
        <v>0</v>
      </c>
      <c r="W106" s="48" t="n">
        <v>0.060070545063936</v>
      </c>
      <c r="X106" s="53" t="n">
        <v>0.120141090127872</v>
      </c>
      <c r="Y106" s="48" t="n">
        <v>0.180211635191808</v>
      </c>
      <c r="AA106" s="48" t="n">
        <v>0.0025</v>
      </c>
      <c r="AB106" s="48" t="n">
        <v>0.005</v>
      </c>
      <c r="AC106" s="48" t="n">
        <v>0.0075</v>
      </c>
      <c r="AE106" s="48" t="n">
        <v>-0.25</v>
      </c>
      <c r="AF106" s="53" t="n">
        <v>1.2</v>
      </c>
      <c r="AG106" s="48" t="n">
        <v>0.25</v>
      </c>
      <c r="AI106" s="48" t="n">
        <v>-0.1</v>
      </c>
      <c r="AJ106" s="48" t="n">
        <v>0.3</v>
      </c>
      <c r="AK106" s="48" t="n">
        <v>0.1</v>
      </c>
      <c r="AM106" s="9" t="n">
        <v>34</v>
      </c>
      <c r="AN106" s="50" t="n">
        <v>0.4</v>
      </c>
      <c r="BE106" s="3" t="n">
        <v>39539</v>
      </c>
      <c r="BF106" s="52" t="n">
        <v>0.9</v>
      </c>
    </row>
    <row r="107" customFormat="false" ht="12.75" hidden="false" customHeight="false" outlineLevel="0" collapsed="false">
      <c r="A107" s="44" t="n">
        <v>38687</v>
      </c>
      <c r="B107" s="45" t="n">
        <v>28.0499996185303</v>
      </c>
      <c r="C107" s="46" t="n">
        <v>28.9999996185303</v>
      </c>
      <c r="D107" s="45" t="n">
        <v>30.4499996185303</v>
      </c>
      <c r="E107" s="32"/>
      <c r="F107" s="47" t="n">
        <v>15.0400002288818</v>
      </c>
      <c r="G107" s="47" t="n">
        <v>15.5150002288818</v>
      </c>
      <c r="H107" s="47" t="n">
        <v>15.9900002288818</v>
      </c>
      <c r="I107" s="9"/>
      <c r="J107" s="3" t="n">
        <v>39569</v>
      </c>
      <c r="K107" s="48" t="n">
        <v>20.402500076294</v>
      </c>
      <c r="L107" s="48" t="n">
        <v>21.932500076294</v>
      </c>
      <c r="M107" s="48" t="n">
        <v>23.462500076294</v>
      </c>
      <c r="O107" s="48" t="n">
        <v>17.7649997711182</v>
      </c>
      <c r="P107" s="48" t="n">
        <v>21.0649997711182</v>
      </c>
      <c r="Q107" s="48" t="n">
        <v>24.3649997711182</v>
      </c>
      <c r="S107" s="48" t="n">
        <v>0</v>
      </c>
      <c r="T107" s="48" t="n">
        <v>0</v>
      </c>
      <c r="U107" s="48" t="n">
        <v>0</v>
      </c>
      <c r="W107" s="48" t="n">
        <v>0.066393760333824</v>
      </c>
      <c r="X107" s="53" t="n">
        <v>0.132787520667648</v>
      </c>
      <c r="Y107" s="48" t="n">
        <v>0.199181281001472</v>
      </c>
      <c r="AA107" s="48" t="n">
        <v>0.0025</v>
      </c>
      <c r="AB107" s="48" t="n">
        <v>0.005</v>
      </c>
      <c r="AC107" s="48" t="n">
        <v>0.0075</v>
      </c>
      <c r="AE107" s="48" t="n">
        <v>-0.25</v>
      </c>
      <c r="AF107" s="53" t="n">
        <v>2</v>
      </c>
      <c r="AG107" s="48" t="n">
        <v>0.25</v>
      </c>
      <c r="AI107" s="48" t="n">
        <v>-0.1</v>
      </c>
      <c r="AJ107" s="48" t="n">
        <v>0.3</v>
      </c>
      <c r="AK107" s="48" t="n">
        <v>0.1</v>
      </c>
      <c r="AM107" s="9" t="n">
        <v>34</v>
      </c>
      <c r="AN107" s="50" t="n">
        <v>0.4</v>
      </c>
      <c r="BE107" s="3" t="n">
        <v>39569</v>
      </c>
      <c r="BF107" s="52" t="n">
        <v>0.9</v>
      </c>
    </row>
    <row r="108" customFormat="false" ht="12.75" hidden="false" customHeight="false" outlineLevel="0" collapsed="false">
      <c r="A108" s="44" t="n">
        <v>38718</v>
      </c>
      <c r="B108" s="45" t="n">
        <v>36.7249984741211</v>
      </c>
      <c r="C108" s="46" t="n">
        <v>37.8249984741211</v>
      </c>
      <c r="D108" s="45" t="n">
        <v>39.4249984741211</v>
      </c>
      <c r="E108" s="32"/>
      <c r="F108" s="47" t="n">
        <v>19.4649975585937</v>
      </c>
      <c r="G108" s="47" t="n">
        <v>20.0149975585938</v>
      </c>
      <c r="H108" s="47" t="n">
        <v>20.5649975585938</v>
      </c>
      <c r="I108" s="9"/>
      <c r="J108" s="3" t="n">
        <v>39600</v>
      </c>
      <c r="K108" s="48" t="n">
        <v>22.1062501525879</v>
      </c>
      <c r="L108" s="48" t="n">
        <v>26.5087501525879</v>
      </c>
      <c r="M108" s="48" t="n">
        <v>30.9112501525879</v>
      </c>
      <c r="O108" s="48" t="n">
        <v>16.6924995422363</v>
      </c>
      <c r="P108" s="48" t="n">
        <v>19.9924995422363</v>
      </c>
      <c r="Q108" s="48" t="n">
        <v>23.2924995422363</v>
      </c>
      <c r="S108" s="48" t="n">
        <v>0</v>
      </c>
      <c r="T108" s="48" t="n">
        <v>0</v>
      </c>
      <c r="U108" s="48" t="n">
        <v>0</v>
      </c>
      <c r="W108" s="48" t="n">
        <v>0.085363406143488</v>
      </c>
      <c r="X108" s="53" t="n">
        <v>0.170726812286976</v>
      </c>
      <c r="Y108" s="48" t="n">
        <v>0.256090218430464</v>
      </c>
      <c r="AA108" s="48" t="n">
        <v>0.0025</v>
      </c>
      <c r="AB108" s="48" t="n">
        <v>0.005</v>
      </c>
      <c r="AC108" s="48" t="n">
        <v>0.0075</v>
      </c>
      <c r="AE108" s="48" t="n">
        <v>-0.75</v>
      </c>
      <c r="AF108" s="53" t="n">
        <v>2.25</v>
      </c>
      <c r="AG108" s="48" t="n">
        <v>0.75</v>
      </c>
      <c r="AI108" s="48" t="n">
        <v>-0.1</v>
      </c>
      <c r="AJ108" s="48" t="n">
        <v>0.3</v>
      </c>
      <c r="AK108" s="48" t="n">
        <v>0.1</v>
      </c>
      <c r="AM108" s="9" t="n">
        <v>34</v>
      </c>
      <c r="AN108" s="50" t="n">
        <v>0.4</v>
      </c>
      <c r="BE108" s="3" t="n">
        <v>39600</v>
      </c>
      <c r="BF108" s="52" t="n">
        <v>0.9</v>
      </c>
    </row>
    <row r="109" customFormat="false" ht="12.75" hidden="false" customHeight="false" outlineLevel="0" collapsed="false">
      <c r="A109" s="44" t="n">
        <v>38749</v>
      </c>
      <c r="B109" s="45" t="n">
        <v>36.7249984741211</v>
      </c>
      <c r="C109" s="46" t="n">
        <v>37.8249984741211</v>
      </c>
      <c r="D109" s="45" t="n">
        <v>39.4249984741211</v>
      </c>
      <c r="E109" s="32"/>
      <c r="F109" s="47" t="n">
        <v>19.614997177124</v>
      </c>
      <c r="G109" s="47" t="n">
        <v>20.164997177124</v>
      </c>
      <c r="H109" s="47" t="n">
        <v>20.714997177124</v>
      </c>
      <c r="I109" s="9"/>
      <c r="J109" s="3" t="n">
        <v>39630</v>
      </c>
      <c r="K109" s="48" t="n">
        <v>37.2112495422363</v>
      </c>
      <c r="L109" s="48" t="n">
        <v>40.9612495422363</v>
      </c>
      <c r="M109" s="48" t="n">
        <v>44.7112495422363</v>
      </c>
      <c r="O109" s="48" t="n">
        <v>27.1474994659424</v>
      </c>
      <c r="P109" s="48" t="n">
        <v>30.4474994659424</v>
      </c>
      <c r="Q109" s="48" t="n">
        <v>33.7474994659424</v>
      </c>
      <c r="S109" s="48" t="n">
        <v>0</v>
      </c>
      <c r="T109" s="48" t="n">
        <v>0</v>
      </c>
      <c r="U109" s="48" t="n">
        <v>0</v>
      </c>
      <c r="W109" s="48" t="n">
        <v>0.104333051953152</v>
      </c>
      <c r="X109" s="53" t="n">
        <v>0.208666103906304</v>
      </c>
      <c r="Y109" s="48" t="n">
        <v>0.312999155859456</v>
      </c>
      <c r="AA109" s="48" t="n">
        <v>0.0025</v>
      </c>
      <c r="AB109" s="48" t="n">
        <v>0.005</v>
      </c>
      <c r="AC109" s="48" t="n">
        <v>0.0075</v>
      </c>
      <c r="AE109" s="48" t="n">
        <v>-1</v>
      </c>
      <c r="AF109" s="53" t="n">
        <v>3</v>
      </c>
      <c r="AG109" s="48" t="n">
        <v>1</v>
      </c>
      <c r="AI109" s="48" t="n">
        <v>-0.1</v>
      </c>
      <c r="AJ109" s="48" t="n">
        <v>0.3</v>
      </c>
      <c r="AK109" s="48" t="n">
        <v>0.1</v>
      </c>
      <c r="AM109" s="9" t="n">
        <v>35</v>
      </c>
      <c r="AN109" s="50" t="n">
        <v>0.4</v>
      </c>
      <c r="BE109" s="3" t="n">
        <v>39630</v>
      </c>
      <c r="BF109" s="52" t="n">
        <v>0.9</v>
      </c>
    </row>
    <row r="110" customFormat="false" ht="12.75" hidden="false" customHeight="false" outlineLevel="0" collapsed="false">
      <c r="A110" s="44" t="n">
        <v>38777</v>
      </c>
      <c r="B110" s="45" t="n">
        <v>26.9000007629395</v>
      </c>
      <c r="C110" s="46" t="n">
        <v>27.5500007629395</v>
      </c>
      <c r="D110" s="45" t="n">
        <v>28.7000007629395</v>
      </c>
      <c r="E110" s="32"/>
      <c r="F110" s="47" t="n">
        <v>17.0899990844727</v>
      </c>
      <c r="G110" s="47" t="n">
        <v>17.4149990844727</v>
      </c>
      <c r="H110" s="47" t="n">
        <v>17.7399990844727</v>
      </c>
      <c r="I110" s="9"/>
      <c r="J110" s="3" t="n">
        <v>39661</v>
      </c>
      <c r="K110" s="48" t="n">
        <v>39.4724990844727</v>
      </c>
      <c r="L110" s="48" t="n">
        <v>43.2224990844727</v>
      </c>
      <c r="M110" s="48" t="n">
        <v>46.9724990844727</v>
      </c>
      <c r="O110" s="48" t="n">
        <v>28.6450008392334</v>
      </c>
      <c r="P110" s="48" t="n">
        <v>31.9450008392334</v>
      </c>
      <c r="Q110" s="48" t="n">
        <v>35.2450008392334</v>
      </c>
      <c r="S110" s="48" t="n">
        <v>0</v>
      </c>
      <c r="T110" s="48" t="n">
        <v>0</v>
      </c>
      <c r="U110" s="48" t="n">
        <v>0</v>
      </c>
      <c r="W110" s="48" t="n">
        <v>0.104333051953152</v>
      </c>
      <c r="X110" s="53" t="n">
        <v>0.208666103906304</v>
      </c>
      <c r="Y110" s="48" t="n">
        <v>0.312999155859456</v>
      </c>
      <c r="AA110" s="48" t="n">
        <v>0.0025</v>
      </c>
      <c r="AB110" s="48" t="n">
        <v>0.005</v>
      </c>
      <c r="AC110" s="48" t="n">
        <v>0.0075</v>
      </c>
      <c r="AE110" s="48" t="n">
        <v>-1</v>
      </c>
      <c r="AF110" s="53" t="n">
        <v>3</v>
      </c>
      <c r="AG110" s="48" t="n">
        <v>1</v>
      </c>
      <c r="AI110" s="48" t="n">
        <v>-0.1</v>
      </c>
      <c r="AJ110" s="48" t="n">
        <v>0.3</v>
      </c>
      <c r="AK110" s="48" t="n">
        <v>0.1</v>
      </c>
      <c r="AM110" s="9" t="n">
        <v>35</v>
      </c>
      <c r="AN110" s="50" t="n">
        <v>0.4</v>
      </c>
      <c r="BE110" s="3" t="n">
        <v>39661</v>
      </c>
      <c r="BF110" s="52" t="n">
        <v>0.9</v>
      </c>
    </row>
    <row r="111" customFormat="false" ht="12.75" hidden="false" customHeight="false" outlineLevel="0" collapsed="false">
      <c r="A111" s="44" t="n">
        <v>38808</v>
      </c>
      <c r="B111" s="45" t="n">
        <v>26.8250007629395</v>
      </c>
      <c r="C111" s="46" t="n">
        <v>27.3250007629395</v>
      </c>
      <c r="D111" s="45" t="n">
        <v>28.3250007629395</v>
      </c>
      <c r="E111" s="32"/>
      <c r="F111" s="47" t="n">
        <v>17.4149990844727</v>
      </c>
      <c r="G111" s="47" t="n">
        <v>17.6649990844727</v>
      </c>
      <c r="H111" s="47" t="n">
        <v>17.9149990844727</v>
      </c>
      <c r="I111" s="9"/>
      <c r="J111" s="3" t="n">
        <v>39692</v>
      </c>
      <c r="K111" s="48" t="n">
        <v>19.3799995422363</v>
      </c>
      <c r="L111" s="48" t="n">
        <v>20.4299995422363</v>
      </c>
      <c r="M111" s="48" t="n">
        <v>21.4799995422363</v>
      </c>
      <c r="O111" s="48" t="n">
        <v>13.7100004196167</v>
      </c>
      <c r="P111" s="48" t="n">
        <v>17.0100004196167</v>
      </c>
      <c r="Q111" s="48" t="n">
        <v>20.3100004196167</v>
      </c>
      <c r="S111" s="48" t="n">
        <v>0</v>
      </c>
      <c r="T111" s="48" t="n">
        <v>0</v>
      </c>
      <c r="U111" s="48" t="n">
        <v>0</v>
      </c>
      <c r="W111" s="48" t="n">
        <v>0.0670644043776</v>
      </c>
      <c r="X111" s="53" t="n">
        <v>0.1341288087552</v>
      </c>
      <c r="Y111" s="48" t="n">
        <v>0.2011932131328</v>
      </c>
      <c r="AA111" s="48" t="n">
        <v>0.0025</v>
      </c>
      <c r="AB111" s="48" t="n">
        <v>0.005</v>
      </c>
      <c r="AC111" s="48" t="n">
        <v>0.0075</v>
      </c>
      <c r="AE111" s="48" t="n">
        <v>-0.4</v>
      </c>
      <c r="AF111" s="53" t="n">
        <v>1.75</v>
      </c>
      <c r="AG111" s="48" t="n">
        <v>0.5</v>
      </c>
      <c r="AI111" s="48" t="n">
        <v>-0.1</v>
      </c>
      <c r="AJ111" s="48" t="n">
        <v>0.3</v>
      </c>
      <c r="AK111" s="48" t="n">
        <v>0.1</v>
      </c>
      <c r="AM111" s="9" t="n">
        <v>35</v>
      </c>
      <c r="AN111" s="50" t="n">
        <v>0.4</v>
      </c>
      <c r="BE111" s="3" t="n">
        <v>39692</v>
      </c>
      <c r="BF111" s="52" t="n">
        <v>0.9</v>
      </c>
    </row>
    <row r="112" customFormat="false" ht="12.75" hidden="false" customHeight="false" outlineLevel="0" collapsed="false">
      <c r="A112" s="44" t="n">
        <v>38838</v>
      </c>
      <c r="B112" s="45" t="n">
        <v>30.895</v>
      </c>
      <c r="C112" s="46" t="n">
        <v>32.575</v>
      </c>
      <c r="D112" s="45" t="n">
        <v>34.755</v>
      </c>
      <c r="E112" s="32"/>
      <c r="F112" s="47" t="n">
        <v>16.2749998474121</v>
      </c>
      <c r="G112" s="47" t="n">
        <v>17.1149998474121</v>
      </c>
      <c r="H112" s="47" t="n">
        <v>17.9549998474121</v>
      </c>
      <c r="I112" s="9"/>
      <c r="J112" s="3" t="n">
        <v>39722</v>
      </c>
      <c r="K112" s="48" t="n">
        <v>18.5444995880127</v>
      </c>
      <c r="L112" s="48" t="n">
        <v>19.4819995880127</v>
      </c>
      <c r="M112" s="48" t="n">
        <v>20.4194995880127</v>
      </c>
      <c r="O112" s="48" t="n">
        <v>13.8540004730225</v>
      </c>
      <c r="P112" s="48" t="n">
        <v>17.1540004730225</v>
      </c>
      <c r="Q112" s="48" t="n">
        <v>20.4540004730225</v>
      </c>
      <c r="S112" s="48" t="n">
        <v>0</v>
      </c>
      <c r="T112" s="48" t="n">
        <v>0</v>
      </c>
      <c r="U112" s="48" t="n">
        <v>0</v>
      </c>
      <c r="W112" s="48" t="n">
        <v>0.04742411452416</v>
      </c>
      <c r="X112" s="53" t="n">
        <v>0.09484822904832</v>
      </c>
      <c r="Y112" s="48" t="n">
        <v>0.14227234357248</v>
      </c>
      <c r="AA112" s="48" t="n">
        <v>0.0025</v>
      </c>
      <c r="AB112" s="48" t="n">
        <v>0.005</v>
      </c>
      <c r="AC112" s="48" t="n">
        <v>0.0075</v>
      </c>
      <c r="AE112" s="48" t="n">
        <v>-0.25</v>
      </c>
      <c r="AF112" s="53" t="n">
        <v>1.5</v>
      </c>
      <c r="AG112" s="48" t="n">
        <v>0.25</v>
      </c>
      <c r="AI112" s="48" t="n">
        <v>-0.1</v>
      </c>
      <c r="AJ112" s="48" t="n">
        <v>0.3</v>
      </c>
      <c r="AK112" s="48" t="n">
        <v>0.1</v>
      </c>
      <c r="AM112" s="9" t="n">
        <v>36</v>
      </c>
      <c r="AN112" s="50" t="n">
        <v>0.4</v>
      </c>
      <c r="BE112" s="3" t="n">
        <v>39722</v>
      </c>
      <c r="BF112" s="52" t="n">
        <v>0.9</v>
      </c>
    </row>
    <row r="113" customFormat="false" ht="12.75" hidden="false" customHeight="false" outlineLevel="0" collapsed="false">
      <c r="A113" s="44" t="n">
        <v>38869</v>
      </c>
      <c r="B113" s="45" t="n">
        <v>52.5099984741211</v>
      </c>
      <c r="C113" s="46" t="n">
        <v>57.3499984741211</v>
      </c>
      <c r="D113" s="45" t="n">
        <v>62.6899984741211</v>
      </c>
      <c r="E113" s="32"/>
      <c r="F113" s="47" t="n">
        <v>14.7550012207031</v>
      </c>
      <c r="G113" s="47" t="n">
        <v>17.1750012207031</v>
      </c>
      <c r="H113" s="47" t="n">
        <v>19.5950012207031</v>
      </c>
      <c r="I113" s="9"/>
      <c r="J113" s="3" t="n">
        <v>39753</v>
      </c>
      <c r="K113" s="48" t="n">
        <v>18.0062496185303</v>
      </c>
      <c r="L113" s="48" t="n">
        <v>18.9437496185303</v>
      </c>
      <c r="M113" s="48" t="n">
        <v>19.8812496185303</v>
      </c>
      <c r="O113" s="48" t="n">
        <v>14.3750003814697</v>
      </c>
      <c r="P113" s="48" t="n">
        <v>17.6750003814697</v>
      </c>
      <c r="Q113" s="48" t="n">
        <v>20.9750003814697</v>
      </c>
      <c r="S113" s="48" t="n">
        <v>0</v>
      </c>
      <c r="T113" s="48" t="n">
        <v>0</v>
      </c>
      <c r="U113" s="48" t="n">
        <v>0</v>
      </c>
      <c r="W113" s="48" t="n">
        <v>0.04742411452416</v>
      </c>
      <c r="X113" s="53" t="n">
        <v>0.09484822904832</v>
      </c>
      <c r="Y113" s="48" t="n">
        <v>0.14227234357248</v>
      </c>
      <c r="AA113" s="48" t="n">
        <v>0.0025</v>
      </c>
      <c r="AB113" s="48" t="n">
        <v>0.005</v>
      </c>
      <c r="AC113" s="48" t="n">
        <v>0.0075</v>
      </c>
      <c r="AE113" s="48" t="n">
        <v>-0.25</v>
      </c>
      <c r="AF113" s="53" t="n">
        <v>1.5</v>
      </c>
      <c r="AG113" s="48" t="n">
        <v>0.25</v>
      </c>
      <c r="AI113" s="48" t="n">
        <v>-0.1</v>
      </c>
      <c r="AJ113" s="48" t="n">
        <v>0.3</v>
      </c>
      <c r="AK113" s="48" t="n">
        <v>0.1</v>
      </c>
      <c r="AM113" s="9" t="n">
        <v>36</v>
      </c>
      <c r="AN113" s="50" t="n">
        <v>0.4</v>
      </c>
      <c r="BE113" s="3" t="n">
        <v>39753</v>
      </c>
      <c r="BF113" s="52" t="n">
        <v>0.9</v>
      </c>
    </row>
    <row r="114" customFormat="false" ht="12.75" hidden="false" customHeight="false" outlineLevel="0" collapsed="false">
      <c r="A114" s="44" t="n">
        <v>38899</v>
      </c>
      <c r="B114" s="45" t="n">
        <v>93.9499969482422</v>
      </c>
      <c r="C114" s="46" t="n">
        <v>97.9499969482422</v>
      </c>
      <c r="D114" s="45" t="n">
        <v>102.449996948242</v>
      </c>
      <c r="E114" s="32"/>
      <c r="F114" s="47" t="n">
        <v>14.8649998474121</v>
      </c>
      <c r="G114" s="47" t="n">
        <v>16.8649998474121</v>
      </c>
      <c r="H114" s="47" t="n">
        <v>18.8649998474121</v>
      </c>
      <c r="I114" s="9"/>
      <c r="J114" s="3" t="n">
        <v>39783</v>
      </c>
      <c r="K114" s="48" t="n">
        <v>22.151250076294</v>
      </c>
      <c r="L114" s="48" t="n">
        <v>23.088750076294</v>
      </c>
      <c r="M114" s="48" t="n">
        <v>24.026250076294</v>
      </c>
      <c r="O114" s="48" t="n">
        <v>14.8250001907349</v>
      </c>
      <c r="P114" s="48" t="n">
        <v>18.1250001907349</v>
      </c>
      <c r="Q114" s="48" t="n">
        <v>21.4250001907349</v>
      </c>
      <c r="S114" s="48" t="n">
        <v>0</v>
      </c>
      <c r="T114" s="48" t="n">
        <v>0</v>
      </c>
      <c r="U114" s="48" t="n">
        <v>0</v>
      </c>
      <c r="W114" s="48" t="n">
        <v>0.04742411452416</v>
      </c>
      <c r="X114" s="53" t="n">
        <v>0.09484822904832</v>
      </c>
      <c r="Y114" s="48" t="n">
        <v>0.14227234357248</v>
      </c>
      <c r="AA114" s="48" t="n">
        <v>0.0025</v>
      </c>
      <c r="AB114" s="48" t="n">
        <v>0.005</v>
      </c>
      <c r="AC114" s="48" t="n">
        <v>0.0075</v>
      </c>
      <c r="AE114" s="48" t="n">
        <v>-0.25</v>
      </c>
      <c r="AF114" s="53" t="n">
        <v>1.5</v>
      </c>
      <c r="AG114" s="48" t="n">
        <v>0.25</v>
      </c>
      <c r="AI114" s="48" t="n">
        <v>-0.1</v>
      </c>
      <c r="AJ114" s="48" t="n">
        <v>0.3</v>
      </c>
      <c r="AK114" s="48" t="n">
        <v>0.1</v>
      </c>
      <c r="AM114" s="9" t="n">
        <v>36</v>
      </c>
      <c r="AN114" s="50" t="n">
        <v>0.4</v>
      </c>
      <c r="BE114" s="3" t="n">
        <v>39783</v>
      </c>
      <c r="BF114" s="52" t="n">
        <v>0.9</v>
      </c>
    </row>
    <row r="115" customFormat="false" ht="12.75" hidden="false" customHeight="false" outlineLevel="0" collapsed="false">
      <c r="A115" s="44" t="n">
        <v>38930</v>
      </c>
      <c r="B115" s="45" t="n">
        <v>80.9499969482422</v>
      </c>
      <c r="C115" s="46" t="n">
        <v>84.9499969482422</v>
      </c>
      <c r="D115" s="45" t="n">
        <v>89.4499969482422</v>
      </c>
      <c r="E115" s="32"/>
      <c r="F115" s="47" t="n">
        <v>14.9149990844727</v>
      </c>
      <c r="G115" s="47" t="n">
        <v>16.9149990844727</v>
      </c>
      <c r="H115" s="47" t="n">
        <v>18.9149990844727</v>
      </c>
      <c r="I115" s="9"/>
      <c r="J115" s="3" t="n">
        <v>39814</v>
      </c>
      <c r="K115" s="48" t="n">
        <v>32.2487487792969</v>
      </c>
      <c r="L115" s="48" t="n">
        <v>33.4987487792969</v>
      </c>
      <c r="M115" s="48" t="n">
        <v>34.5487487792969</v>
      </c>
      <c r="O115" s="48" t="n">
        <v>28.7025005340576</v>
      </c>
      <c r="P115" s="48" t="n">
        <v>32.0025005340576</v>
      </c>
      <c r="Q115" s="48" t="n">
        <v>35.3025005340576</v>
      </c>
      <c r="S115" s="48" t="n">
        <v>0</v>
      </c>
      <c r="T115" s="48" t="n">
        <v>0</v>
      </c>
      <c r="U115" s="48" t="n">
        <v>0</v>
      </c>
      <c r="W115" s="48" t="n">
        <v>0.0728434399091097</v>
      </c>
      <c r="X115" s="53" t="n">
        <v>0.145686879818219</v>
      </c>
      <c r="Y115" s="48" t="n">
        <v>0.218530319727329</v>
      </c>
      <c r="AA115" s="48" t="n">
        <v>0.0025</v>
      </c>
      <c r="AB115" s="48" t="n">
        <v>0.005</v>
      </c>
      <c r="AC115" s="48" t="n">
        <v>0.0075</v>
      </c>
      <c r="AE115" s="48" t="n">
        <v>-0.4</v>
      </c>
      <c r="AF115" s="53" t="n">
        <v>1.75</v>
      </c>
      <c r="AG115" s="48" t="n">
        <v>0.5</v>
      </c>
      <c r="AI115" s="48" t="n">
        <v>-0.1</v>
      </c>
      <c r="AJ115" s="48" t="n">
        <v>0.3</v>
      </c>
      <c r="AK115" s="48" t="n">
        <v>0.1</v>
      </c>
      <c r="AM115" s="9" t="n">
        <v>37</v>
      </c>
      <c r="AN115" s="50" t="n">
        <v>0.4</v>
      </c>
      <c r="BE115" s="3" t="n">
        <v>39814</v>
      </c>
      <c r="BF115" s="52" t="n">
        <v>0.9</v>
      </c>
    </row>
    <row r="116" customFormat="false" ht="12.75" hidden="false" customHeight="false" outlineLevel="0" collapsed="false">
      <c r="A116" s="44" t="n">
        <v>38961</v>
      </c>
      <c r="B116" s="45" t="n">
        <v>33.2249984741211</v>
      </c>
      <c r="C116" s="46" t="n">
        <v>34.4249984741211</v>
      </c>
      <c r="D116" s="45" t="n">
        <v>36.1249984741211</v>
      </c>
      <c r="E116" s="32"/>
      <c r="F116" s="47" t="n">
        <v>16.3149990844727</v>
      </c>
      <c r="G116" s="47" t="n">
        <v>16.9149990844727</v>
      </c>
      <c r="H116" s="47" t="n">
        <v>17.5149990844727</v>
      </c>
      <c r="I116" s="9"/>
      <c r="J116" s="3" t="n">
        <v>39845</v>
      </c>
      <c r="K116" s="48" t="n">
        <v>31.2462501525879</v>
      </c>
      <c r="L116" s="48" t="n">
        <v>32.4962501525879</v>
      </c>
      <c r="M116" s="48" t="n">
        <v>33.5462501525879</v>
      </c>
      <c r="O116" s="48" t="n">
        <v>26.6974994659424</v>
      </c>
      <c r="P116" s="48" t="n">
        <v>29.9974994659424</v>
      </c>
      <c r="Q116" s="48" t="n">
        <v>33.2974994659424</v>
      </c>
      <c r="S116" s="48" t="n">
        <v>0</v>
      </c>
      <c r="T116" s="48" t="n">
        <v>0</v>
      </c>
      <c r="U116" s="48" t="n">
        <v>0</v>
      </c>
      <c r="W116" s="48" t="n">
        <v>0.0728434399091097</v>
      </c>
      <c r="X116" s="53" t="n">
        <v>0.145686879818219</v>
      </c>
      <c r="Y116" s="48" t="n">
        <v>0.218530319727329</v>
      </c>
      <c r="AA116" s="48" t="n">
        <v>0.0025</v>
      </c>
      <c r="AB116" s="48" t="n">
        <v>0.005</v>
      </c>
      <c r="AC116" s="48" t="n">
        <v>0.0075</v>
      </c>
      <c r="AE116" s="48" t="n">
        <v>-0.4</v>
      </c>
      <c r="AF116" s="53" t="n">
        <v>1.75</v>
      </c>
      <c r="AG116" s="48" t="n">
        <v>0.5</v>
      </c>
      <c r="AI116" s="48" t="n">
        <v>-0.1</v>
      </c>
      <c r="AJ116" s="48" t="n">
        <v>0.3</v>
      </c>
      <c r="AK116" s="48" t="n">
        <v>0.1</v>
      </c>
      <c r="AM116" s="9" t="n">
        <v>37</v>
      </c>
      <c r="AN116" s="50" t="n">
        <v>0.4</v>
      </c>
      <c r="BE116" s="3" t="n">
        <v>39845</v>
      </c>
      <c r="BF116" s="52" t="n">
        <v>0.9</v>
      </c>
    </row>
    <row r="117" customFormat="false" ht="12.75" hidden="false" customHeight="false" outlineLevel="0" collapsed="false">
      <c r="A117" s="44" t="n">
        <v>38991</v>
      </c>
      <c r="B117" s="45" t="n">
        <v>27.0250003814697</v>
      </c>
      <c r="C117" s="46" t="n">
        <v>28.0750003814697</v>
      </c>
      <c r="D117" s="45" t="n">
        <v>29.6250003814697</v>
      </c>
      <c r="E117" s="32"/>
      <c r="F117" s="47" t="n">
        <v>16.0899998474121</v>
      </c>
      <c r="G117" s="47" t="n">
        <v>16.6149998474121</v>
      </c>
      <c r="H117" s="47" t="n">
        <v>17.1399998474121</v>
      </c>
      <c r="I117" s="9"/>
      <c r="J117" s="3" t="n">
        <v>39873</v>
      </c>
      <c r="K117" s="48" t="n">
        <v>20.8847496032715</v>
      </c>
      <c r="L117" s="48" t="n">
        <v>21.4847496032715</v>
      </c>
      <c r="M117" s="48" t="n">
        <v>22.0847496032715</v>
      </c>
      <c r="O117" s="48" t="n">
        <v>17.8144989013672</v>
      </c>
      <c r="P117" s="48" t="n">
        <v>21.1144989013672</v>
      </c>
      <c r="Q117" s="48" t="n">
        <v>24.4144989013672</v>
      </c>
      <c r="S117" s="48" t="n">
        <v>0</v>
      </c>
      <c r="T117" s="48" t="n">
        <v>0</v>
      </c>
      <c r="U117" s="48" t="n">
        <v>0</v>
      </c>
      <c r="W117" s="48" t="n">
        <v>0.0607028665909248</v>
      </c>
      <c r="X117" s="53" t="n">
        <v>0.12140573318185</v>
      </c>
      <c r="Y117" s="48" t="n">
        <v>0.182108599772774</v>
      </c>
      <c r="AA117" s="48" t="n">
        <v>0.0025</v>
      </c>
      <c r="AB117" s="48" t="n">
        <v>0.005</v>
      </c>
      <c r="AC117" s="48" t="n">
        <v>0.0075</v>
      </c>
      <c r="AE117" s="48" t="n">
        <v>-0.25</v>
      </c>
      <c r="AF117" s="53" t="n">
        <v>1.1</v>
      </c>
      <c r="AG117" s="48" t="n">
        <v>0.25</v>
      </c>
      <c r="AI117" s="48" t="n">
        <v>-0.1</v>
      </c>
      <c r="AJ117" s="48" t="n">
        <v>0.3</v>
      </c>
      <c r="AK117" s="48" t="n">
        <v>0.1</v>
      </c>
      <c r="AM117" s="9" t="n">
        <v>37</v>
      </c>
      <c r="AN117" s="50" t="n">
        <v>0.4</v>
      </c>
      <c r="BE117" s="3" t="n">
        <v>39873</v>
      </c>
      <c r="BF117" s="52" t="n">
        <v>0.9</v>
      </c>
    </row>
    <row r="118" customFormat="false" ht="12.75" hidden="false" customHeight="false" outlineLevel="0" collapsed="false">
      <c r="A118" s="44" t="n">
        <v>39022</v>
      </c>
      <c r="B118" s="45" t="n">
        <v>26.6974990844727</v>
      </c>
      <c r="C118" s="46" t="n">
        <v>27.7474990844727</v>
      </c>
      <c r="D118" s="45" t="n">
        <v>29.2974990844727</v>
      </c>
      <c r="E118" s="32"/>
      <c r="F118" s="47" t="n">
        <v>14.3399998474121</v>
      </c>
      <c r="G118" s="47" t="n">
        <v>14.8649998474121</v>
      </c>
      <c r="H118" s="47" t="n">
        <v>15.3899998474121</v>
      </c>
      <c r="I118" s="9"/>
      <c r="J118" s="3" t="n">
        <v>39904</v>
      </c>
      <c r="K118" s="48" t="n">
        <v>21.6800003051758</v>
      </c>
      <c r="L118" s="48" t="n">
        <v>22.1675003051758</v>
      </c>
      <c r="M118" s="48" t="n">
        <v>22.6550003051758</v>
      </c>
      <c r="O118" s="48" t="n">
        <v>17.5849990844727</v>
      </c>
      <c r="P118" s="48" t="n">
        <v>20.8849990844727</v>
      </c>
      <c r="Q118" s="48" t="n">
        <v>24.1849990844727</v>
      </c>
      <c r="S118" s="48" t="n">
        <v>0</v>
      </c>
      <c r="T118" s="48" t="n">
        <v>0</v>
      </c>
      <c r="U118" s="48" t="n">
        <v>0</v>
      </c>
      <c r="W118" s="48" t="n">
        <v>0.0576677232613786</v>
      </c>
      <c r="X118" s="53" t="n">
        <v>0.115335446522757</v>
      </c>
      <c r="Y118" s="48" t="n">
        <v>0.173003169784136</v>
      </c>
      <c r="AA118" s="48" t="n">
        <v>0.0025</v>
      </c>
      <c r="AB118" s="48" t="n">
        <v>0.005</v>
      </c>
      <c r="AC118" s="48" t="n">
        <v>0.0075</v>
      </c>
      <c r="AE118" s="48" t="n">
        <v>-0.25</v>
      </c>
      <c r="AF118" s="53" t="n">
        <v>1.2</v>
      </c>
      <c r="AG118" s="48" t="n">
        <v>0.25</v>
      </c>
      <c r="AI118" s="48" t="n">
        <v>-0.1</v>
      </c>
      <c r="AJ118" s="48" t="n">
        <v>0.3</v>
      </c>
      <c r="AK118" s="48" t="n">
        <v>0.1</v>
      </c>
      <c r="AM118" s="9" t="n">
        <v>38</v>
      </c>
      <c r="AN118" s="50" t="n">
        <v>0.4</v>
      </c>
      <c r="BE118" s="3" t="n">
        <v>39904</v>
      </c>
      <c r="BF118" s="52" t="n">
        <v>0.9</v>
      </c>
    </row>
    <row r="119" customFormat="false" ht="12.75" hidden="false" customHeight="false" outlineLevel="0" collapsed="false">
      <c r="A119" s="44" t="n">
        <v>39052</v>
      </c>
      <c r="B119" s="45" t="n">
        <v>28.4499996185303</v>
      </c>
      <c r="C119" s="46" t="n">
        <v>29.4999996185303</v>
      </c>
      <c r="D119" s="45" t="n">
        <v>31.0499996185303</v>
      </c>
      <c r="E119" s="32"/>
      <c r="F119" s="47" t="n">
        <v>15.1900002288818</v>
      </c>
      <c r="G119" s="47" t="n">
        <v>15.7150002288818</v>
      </c>
      <c r="H119" s="47" t="n">
        <v>16.2400002288818</v>
      </c>
      <c r="I119" s="9"/>
      <c r="J119" s="3" t="n">
        <v>39934</v>
      </c>
      <c r="K119" s="48" t="n">
        <v>20.595000076294</v>
      </c>
      <c r="L119" s="48" t="n">
        <v>22.282500076294</v>
      </c>
      <c r="M119" s="48" t="n">
        <v>23.970000076294</v>
      </c>
      <c r="O119" s="48" t="n">
        <v>18.1149997711182</v>
      </c>
      <c r="P119" s="48" t="n">
        <v>21.4149997711182</v>
      </c>
      <c r="Q119" s="48" t="n">
        <v>24.7149997711182</v>
      </c>
      <c r="S119" s="48" t="n">
        <v>0</v>
      </c>
      <c r="T119" s="48" t="n">
        <v>0</v>
      </c>
      <c r="U119" s="48" t="n">
        <v>0</v>
      </c>
      <c r="W119" s="48" t="n">
        <v>0.063738009920471</v>
      </c>
      <c r="X119" s="53" t="n">
        <v>0.127476019840942</v>
      </c>
      <c r="Y119" s="48" t="n">
        <v>0.191214029761413</v>
      </c>
      <c r="AA119" s="48" t="n">
        <v>0.0025</v>
      </c>
      <c r="AB119" s="48" t="n">
        <v>0.005</v>
      </c>
      <c r="AC119" s="48" t="n">
        <v>0.0075</v>
      </c>
      <c r="AE119" s="48" t="n">
        <v>-0.25</v>
      </c>
      <c r="AF119" s="53" t="n">
        <v>2</v>
      </c>
      <c r="AG119" s="48" t="n">
        <v>0.25</v>
      </c>
      <c r="AI119" s="48" t="n">
        <v>-0.1</v>
      </c>
      <c r="AJ119" s="48" t="n">
        <v>0.3</v>
      </c>
      <c r="AK119" s="48" t="n">
        <v>0.1</v>
      </c>
      <c r="AM119" s="9" t="n">
        <v>38</v>
      </c>
      <c r="AN119" s="50" t="n">
        <v>0.4</v>
      </c>
      <c r="BE119" s="3" t="n">
        <v>39934</v>
      </c>
      <c r="BF119" s="52" t="n">
        <v>0.9</v>
      </c>
    </row>
    <row r="120" customFormat="false" ht="12.75" hidden="false" customHeight="false" outlineLevel="0" collapsed="false">
      <c r="A120" s="44" t="n">
        <v>39083</v>
      </c>
      <c r="B120" s="45" t="n">
        <v>37.1249984741211</v>
      </c>
      <c r="C120" s="46" t="n">
        <v>38.3249984741211</v>
      </c>
      <c r="D120" s="45" t="n">
        <v>40.0249984741211</v>
      </c>
      <c r="E120" s="32"/>
      <c r="F120" s="47" t="n">
        <v>19.6649975585937</v>
      </c>
      <c r="G120" s="47" t="n">
        <v>20.2649975585938</v>
      </c>
      <c r="H120" s="47" t="n">
        <v>20.8649975585938</v>
      </c>
      <c r="I120" s="9"/>
      <c r="J120" s="3" t="n">
        <v>39965</v>
      </c>
      <c r="K120" s="48" t="n">
        <v>22.0137501525879</v>
      </c>
      <c r="L120" s="48" t="n">
        <v>26.8587501525879</v>
      </c>
      <c r="M120" s="48" t="n">
        <v>31.7037501525879</v>
      </c>
      <c r="O120" s="48" t="n">
        <v>17.0424995422363</v>
      </c>
      <c r="P120" s="48" t="n">
        <v>20.3424995422363</v>
      </c>
      <c r="Q120" s="48" t="n">
        <v>23.6424995422363</v>
      </c>
      <c r="S120" s="48" t="n">
        <v>0</v>
      </c>
      <c r="T120" s="48" t="n">
        <v>0</v>
      </c>
      <c r="U120" s="48" t="n">
        <v>0</v>
      </c>
      <c r="W120" s="48" t="n">
        <v>0.0819488698977485</v>
      </c>
      <c r="X120" s="53" t="n">
        <v>0.163897739795497</v>
      </c>
      <c r="Y120" s="48" t="n">
        <v>0.245846609693245</v>
      </c>
      <c r="AA120" s="48" t="n">
        <v>0.0025</v>
      </c>
      <c r="AB120" s="48" t="n">
        <v>0.005</v>
      </c>
      <c r="AC120" s="48" t="n">
        <v>0.0075</v>
      </c>
      <c r="AE120" s="48" t="n">
        <v>-0.75</v>
      </c>
      <c r="AF120" s="53" t="n">
        <v>2.25</v>
      </c>
      <c r="AG120" s="48" t="n">
        <v>0.75</v>
      </c>
      <c r="AI120" s="48" t="n">
        <v>-0.1</v>
      </c>
      <c r="AJ120" s="48" t="n">
        <v>0.3</v>
      </c>
      <c r="AK120" s="48" t="n">
        <v>0.1</v>
      </c>
      <c r="AM120" s="9" t="n">
        <v>38</v>
      </c>
      <c r="AN120" s="50" t="n">
        <v>0.4</v>
      </c>
      <c r="BE120" s="3" t="n">
        <v>39965</v>
      </c>
      <c r="BF120" s="52" t="n">
        <v>0.9</v>
      </c>
    </row>
    <row r="121" customFormat="false" ht="12.75" hidden="false" customHeight="false" outlineLevel="0" collapsed="false">
      <c r="A121" s="44" t="n">
        <v>39114</v>
      </c>
      <c r="B121" s="45" t="n">
        <v>37.1249984741211</v>
      </c>
      <c r="C121" s="46" t="n">
        <v>38.3249984741211</v>
      </c>
      <c r="D121" s="45" t="n">
        <v>40.0249984741211</v>
      </c>
      <c r="E121" s="32"/>
      <c r="F121" s="47" t="n">
        <v>19.814997177124</v>
      </c>
      <c r="G121" s="47" t="n">
        <v>20.414997177124</v>
      </c>
      <c r="H121" s="47" t="n">
        <v>21.014997177124</v>
      </c>
      <c r="I121" s="9"/>
      <c r="J121" s="3" t="n">
        <v>39995</v>
      </c>
      <c r="K121" s="48" t="n">
        <v>37.5612495422363</v>
      </c>
      <c r="L121" s="48" t="n">
        <v>41.3112495422363</v>
      </c>
      <c r="M121" s="48" t="n">
        <v>45.0612495422363</v>
      </c>
      <c r="O121" s="48" t="n">
        <v>27.4974994659424</v>
      </c>
      <c r="P121" s="48" t="n">
        <v>30.7974994659424</v>
      </c>
      <c r="Q121" s="48" t="n">
        <v>34.0974994659424</v>
      </c>
      <c r="S121" s="48" t="n">
        <v>0</v>
      </c>
      <c r="T121" s="48" t="n">
        <v>0</v>
      </c>
      <c r="U121" s="48" t="n">
        <v>0</v>
      </c>
      <c r="W121" s="48" t="n">
        <v>0.100159729875026</v>
      </c>
      <c r="X121" s="53" t="n">
        <v>0.200319459750052</v>
      </c>
      <c r="Y121" s="48" t="n">
        <v>0.300479189625078</v>
      </c>
      <c r="AA121" s="48" t="n">
        <v>0.0025</v>
      </c>
      <c r="AB121" s="48" t="n">
        <v>0.005</v>
      </c>
      <c r="AC121" s="48" t="n">
        <v>0.0075</v>
      </c>
      <c r="AE121" s="48" t="n">
        <v>-1</v>
      </c>
      <c r="AF121" s="53" t="n">
        <v>3</v>
      </c>
      <c r="AG121" s="48" t="n">
        <v>1</v>
      </c>
      <c r="AI121" s="48" t="n">
        <v>-0.1</v>
      </c>
      <c r="AJ121" s="48" t="n">
        <v>0.3</v>
      </c>
      <c r="AK121" s="48" t="n">
        <v>0.1</v>
      </c>
      <c r="AM121" s="9" t="n">
        <v>39</v>
      </c>
      <c r="AN121" s="50" t="n">
        <v>0.4</v>
      </c>
      <c r="BE121" s="3" t="n">
        <v>39995</v>
      </c>
      <c r="BF121" s="52" t="n">
        <v>0.9</v>
      </c>
    </row>
    <row r="122" customFormat="false" ht="12.75" hidden="false" customHeight="false" outlineLevel="0" collapsed="false">
      <c r="A122" s="44" t="n">
        <v>39142</v>
      </c>
      <c r="B122" s="45" t="n">
        <v>27.3500007629395</v>
      </c>
      <c r="C122" s="46" t="n">
        <v>28.0500007629395</v>
      </c>
      <c r="D122" s="45" t="n">
        <v>29.2500007629395</v>
      </c>
      <c r="E122" s="32"/>
      <c r="F122" s="47" t="n">
        <v>17.3149990844727</v>
      </c>
      <c r="G122" s="47" t="n">
        <v>17.6649990844727</v>
      </c>
      <c r="H122" s="47" t="n">
        <v>18.0149990844727</v>
      </c>
      <c r="I122" s="9"/>
      <c r="J122" s="3" t="n">
        <v>40026</v>
      </c>
      <c r="K122" s="48" t="n">
        <v>39.8224990844727</v>
      </c>
      <c r="L122" s="48" t="n">
        <v>43.5724990844727</v>
      </c>
      <c r="M122" s="48" t="n">
        <v>47.3224990844727</v>
      </c>
      <c r="O122" s="48" t="n">
        <v>28.9950008392334</v>
      </c>
      <c r="P122" s="48" t="n">
        <v>32.2950008392334</v>
      </c>
      <c r="Q122" s="48" t="n">
        <v>35.5950008392334</v>
      </c>
      <c r="S122" s="48" t="n">
        <v>0</v>
      </c>
      <c r="T122" s="48" t="n">
        <v>0</v>
      </c>
      <c r="U122" s="48" t="n">
        <v>0</v>
      </c>
      <c r="W122" s="48" t="n">
        <v>0.100159729875026</v>
      </c>
      <c r="X122" s="53" t="n">
        <v>0.200319459750052</v>
      </c>
      <c r="Y122" s="48" t="n">
        <v>0.300479189625078</v>
      </c>
      <c r="AA122" s="48" t="n">
        <v>0.0025</v>
      </c>
      <c r="AB122" s="48" t="n">
        <v>0.005</v>
      </c>
      <c r="AC122" s="48" t="n">
        <v>0.0075</v>
      </c>
      <c r="AE122" s="48" t="n">
        <v>-1</v>
      </c>
      <c r="AF122" s="53" t="n">
        <v>3</v>
      </c>
      <c r="AG122" s="48" t="n">
        <v>1</v>
      </c>
      <c r="AI122" s="48" t="n">
        <v>-0.1</v>
      </c>
      <c r="AJ122" s="48" t="n">
        <v>0.3</v>
      </c>
      <c r="AK122" s="48" t="n">
        <v>0.1</v>
      </c>
      <c r="AM122" s="9" t="n">
        <v>39</v>
      </c>
      <c r="AN122" s="50" t="n">
        <v>0.4</v>
      </c>
      <c r="BE122" s="3" t="n">
        <v>40026</v>
      </c>
      <c r="BF122" s="52" t="n">
        <v>0.9</v>
      </c>
    </row>
    <row r="123" customFormat="false" ht="12.75" hidden="false" customHeight="false" outlineLevel="0" collapsed="false">
      <c r="A123" s="44" t="n">
        <v>39173</v>
      </c>
      <c r="B123" s="45" t="n">
        <v>27.2750007629395</v>
      </c>
      <c r="C123" s="46" t="n">
        <v>27.8250007629395</v>
      </c>
      <c r="D123" s="45" t="n">
        <v>28.8750007629395</v>
      </c>
      <c r="E123" s="32"/>
      <c r="F123" s="47" t="n">
        <v>17.6399990844727</v>
      </c>
      <c r="G123" s="47" t="n">
        <v>17.9149990844727</v>
      </c>
      <c r="H123" s="47" t="n">
        <v>18.1899990844727</v>
      </c>
      <c r="I123" s="9"/>
      <c r="J123" s="3" t="n">
        <v>40057</v>
      </c>
      <c r="K123" s="48" t="n">
        <v>19.6549995422363</v>
      </c>
      <c r="L123" s="48" t="n">
        <v>20.7799995422363</v>
      </c>
      <c r="M123" s="48" t="n">
        <v>21.9049995422363</v>
      </c>
      <c r="O123" s="48" t="n">
        <v>14.0600004196167</v>
      </c>
      <c r="P123" s="48" t="n">
        <v>17.3600004196167</v>
      </c>
      <c r="Q123" s="48" t="n">
        <v>20.6600004196167</v>
      </c>
      <c r="S123" s="48" t="n">
        <v>0</v>
      </c>
      <c r="T123" s="48" t="n">
        <v>0</v>
      </c>
      <c r="U123" s="48" t="n">
        <v>0</v>
      </c>
      <c r="W123" s="48" t="n">
        <v>0.064381828202496</v>
      </c>
      <c r="X123" s="53" t="n">
        <v>0.128763656404992</v>
      </c>
      <c r="Y123" s="48" t="n">
        <v>0.193145484607488</v>
      </c>
      <c r="AA123" s="48" t="n">
        <v>0.0025</v>
      </c>
      <c r="AB123" s="48" t="n">
        <v>0.005</v>
      </c>
      <c r="AC123" s="48" t="n">
        <v>0.0075</v>
      </c>
      <c r="AE123" s="48" t="n">
        <v>-0.4</v>
      </c>
      <c r="AF123" s="53" t="n">
        <v>1.75</v>
      </c>
      <c r="AG123" s="48" t="n">
        <v>0.5</v>
      </c>
      <c r="AI123" s="48" t="n">
        <v>-0.1</v>
      </c>
      <c r="AJ123" s="48" t="n">
        <v>0.3</v>
      </c>
      <c r="AK123" s="48" t="n">
        <v>0.1</v>
      </c>
      <c r="AM123" s="9" t="n">
        <v>39</v>
      </c>
      <c r="AN123" s="50" t="n">
        <v>0.4</v>
      </c>
      <c r="BE123" s="3" t="n">
        <v>40057</v>
      </c>
      <c r="BF123" s="52" t="n">
        <v>0.9</v>
      </c>
    </row>
    <row r="124" customFormat="false" ht="12.75" hidden="false" customHeight="false" outlineLevel="0" collapsed="false">
      <c r="A124" s="44" t="n">
        <v>39203</v>
      </c>
      <c r="B124" s="45" t="n">
        <v>31.725</v>
      </c>
      <c r="C124" s="46" t="n">
        <v>33.575</v>
      </c>
      <c r="D124" s="45" t="n">
        <v>35.925</v>
      </c>
      <c r="E124" s="32"/>
      <c r="F124" s="47" t="n">
        <v>16.4399998474121</v>
      </c>
      <c r="G124" s="47" t="n">
        <v>17.3649998474121</v>
      </c>
      <c r="H124" s="47" t="n">
        <v>18.2899998474121</v>
      </c>
      <c r="I124" s="9"/>
      <c r="J124" s="3" t="n">
        <v>40087</v>
      </c>
      <c r="K124" s="48" t="n">
        <v>18.8194995880127</v>
      </c>
      <c r="L124" s="48" t="n">
        <v>19.8319995880127</v>
      </c>
      <c r="M124" s="48" t="n">
        <v>20.8444995880127</v>
      </c>
      <c r="O124" s="48" t="n">
        <v>14.2040004730225</v>
      </c>
      <c r="P124" s="48" t="n">
        <v>17.5040004730225</v>
      </c>
      <c r="Q124" s="48" t="n">
        <v>20.8040004730225</v>
      </c>
      <c r="S124" s="48" t="n">
        <v>0</v>
      </c>
      <c r="T124" s="48" t="n">
        <v>0</v>
      </c>
      <c r="U124" s="48" t="n">
        <v>0</v>
      </c>
      <c r="W124" s="48" t="n">
        <v>0.0455271499431936</v>
      </c>
      <c r="X124" s="53" t="n">
        <v>0.0910542998863872</v>
      </c>
      <c r="Y124" s="48" t="n">
        <v>0.136581449829581</v>
      </c>
      <c r="AA124" s="48" t="n">
        <v>0.0025</v>
      </c>
      <c r="AB124" s="48" t="n">
        <v>0.005</v>
      </c>
      <c r="AC124" s="48" t="n">
        <v>0.0075</v>
      </c>
      <c r="AE124" s="48" t="n">
        <v>-0.25</v>
      </c>
      <c r="AF124" s="53" t="n">
        <v>1.5</v>
      </c>
      <c r="AG124" s="48" t="n">
        <v>0.25</v>
      </c>
      <c r="AI124" s="48" t="n">
        <v>-0.1</v>
      </c>
      <c r="AJ124" s="48" t="n">
        <v>0.3</v>
      </c>
      <c r="AK124" s="48" t="n">
        <v>0.1</v>
      </c>
      <c r="AM124" s="9" t="n">
        <v>40</v>
      </c>
      <c r="AN124" s="50" t="n">
        <v>0.4</v>
      </c>
      <c r="BE124" s="3" t="n">
        <v>40087</v>
      </c>
      <c r="BF124" s="52" t="n">
        <v>0.9</v>
      </c>
    </row>
    <row r="125" customFormat="false" ht="12.75" hidden="false" customHeight="false" outlineLevel="0" collapsed="false">
      <c r="A125" s="44" t="n">
        <v>39234</v>
      </c>
      <c r="B125" s="45" t="n">
        <v>53.2699984741211</v>
      </c>
      <c r="C125" s="46" t="n">
        <v>58.5999984741211</v>
      </c>
      <c r="D125" s="45" t="n">
        <v>64.4299984741211</v>
      </c>
      <c r="E125" s="32"/>
      <c r="F125" s="47" t="n">
        <v>14.7600012207031</v>
      </c>
      <c r="G125" s="47" t="n">
        <v>17.4250012207031</v>
      </c>
      <c r="H125" s="47" t="n">
        <v>20.0900012207031</v>
      </c>
      <c r="I125" s="9"/>
      <c r="J125" s="3" t="n">
        <v>40118</v>
      </c>
      <c r="K125" s="48" t="n">
        <v>18.2812496185303</v>
      </c>
      <c r="L125" s="48" t="n">
        <v>19.2937496185303</v>
      </c>
      <c r="M125" s="48" t="n">
        <v>20.3062496185303</v>
      </c>
      <c r="O125" s="48" t="n">
        <v>14.7250003814697</v>
      </c>
      <c r="P125" s="48" t="n">
        <v>18.0250003814697</v>
      </c>
      <c r="Q125" s="48" t="n">
        <v>21.3250003814697</v>
      </c>
      <c r="S125" s="48" t="n">
        <v>0</v>
      </c>
      <c r="T125" s="48" t="n">
        <v>0</v>
      </c>
      <c r="U125" s="48" t="n">
        <v>0</v>
      </c>
      <c r="W125" s="48" t="n">
        <v>0.0455271499431936</v>
      </c>
      <c r="X125" s="53" t="n">
        <v>0.0910542998863872</v>
      </c>
      <c r="Y125" s="48" t="n">
        <v>0.136581449829581</v>
      </c>
      <c r="AA125" s="48" t="n">
        <v>0.0025</v>
      </c>
      <c r="AB125" s="48" t="n">
        <v>0.005</v>
      </c>
      <c r="AC125" s="48" t="n">
        <v>0.0075</v>
      </c>
      <c r="AE125" s="48" t="n">
        <v>-0.25</v>
      </c>
      <c r="AF125" s="53" t="n">
        <v>1.5</v>
      </c>
      <c r="AG125" s="48" t="n">
        <v>0.25</v>
      </c>
      <c r="AI125" s="48" t="n">
        <v>-0.1</v>
      </c>
      <c r="AJ125" s="48" t="n">
        <v>0.3</v>
      </c>
      <c r="AK125" s="48" t="n">
        <v>0.1</v>
      </c>
      <c r="AM125" s="9" t="n">
        <v>40</v>
      </c>
      <c r="AN125" s="50" t="n">
        <v>0.4</v>
      </c>
      <c r="BE125" s="3" t="n">
        <v>40118</v>
      </c>
      <c r="BF125" s="52" t="n">
        <v>0.9</v>
      </c>
    </row>
    <row r="126" customFormat="false" ht="12.75" hidden="false" customHeight="false" outlineLevel="0" collapsed="false">
      <c r="A126" s="44" t="n">
        <v>39264</v>
      </c>
      <c r="B126" s="45" t="n">
        <v>95.1999969482422</v>
      </c>
      <c r="C126" s="46" t="n">
        <v>100.199996948242</v>
      </c>
      <c r="D126" s="45" t="n">
        <v>105.699996948242</v>
      </c>
      <c r="E126" s="32"/>
      <c r="F126" s="47" t="n">
        <v>14.6149998474121</v>
      </c>
      <c r="G126" s="47" t="n">
        <v>17.1149998474121</v>
      </c>
      <c r="H126" s="47" t="n">
        <v>19.6149998474121</v>
      </c>
      <c r="I126" s="9"/>
      <c r="J126" s="3" t="n">
        <v>40148</v>
      </c>
      <c r="K126" s="48" t="n">
        <v>22.426250076294</v>
      </c>
      <c r="L126" s="48" t="n">
        <v>23.438750076294</v>
      </c>
      <c r="M126" s="48" t="n">
        <v>24.451250076294</v>
      </c>
      <c r="O126" s="48" t="n">
        <v>15.1750001907349</v>
      </c>
      <c r="P126" s="48" t="n">
        <v>18.4750001907349</v>
      </c>
      <c r="Q126" s="48" t="n">
        <v>21.7750001907349</v>
      </c>
      <c r="S126" s="48" t="n">
        <v>0</v>
      </c>
      <c r="T126" s="48" t="n">
        <v>0</v>
      </c>
      <c r="U126" s="48" t="n">
        <v>0</v>
      </c>
      <c r="W126" s="48" t="n">
        <v>0.0455271499431936</v>
      </c>
      <c r="X126" s="53" t="n">
        <v>0.0910542998863872</v>
      </c>
      <c r="Y126" s="48" t="n">
        <v>0.136581449829581</v>
      </c>
      <c r="AA126" s="48" t="n">
        <v>0.0025</v>
      </c>
      <c r="AB126" s="48" t="n">
        <v>0.005</v>
      </c>
      <c r="AC126" s="48" t="n">
        <v>0.0075</v>
      </c>
      <c r="AE126" s="48" t="n">
        <v>-0.25</v>
      </c>
      <c r="AF126" s="53" t="n">
        <v>1.5</v>
      </c>
      <c r="AG126" s="48" t="n">
        <v>0.25</v>
      </c>
      <c r="AI126" s="48" t="n">
        <v>-0.1</v>
      </c>
      <c r="AJ126" s="48" t="n">
        <v>0.3</v>
      </c>
      <c r="AK126" s="48" t="n">
        <v>0.1</v>
      </c>
      <c r="AM126" s="9" t="n">
        <v>40</v>
      </c>
      <c r="AN126" s="50" t="n">
        <v>0.4</v>
      </c>
      <c r="BE126" s="3" t="n">
        <v>40148</v>
      </c>
      <c r="BF126" s="52" t="n">
        <v>0.9</v>
      </c>
    </row>
    <row r="127" customFormat="false" ht="12.75" hidden="false" customHeight="false" outlineLevel="0" collapsed="false">
      <c r="A127" s="44" t="n">
        <v>39295</v>
      </c>
      <c r="B127" s="45" t="n">
        <v>82.1999969482422</v>
      </c>
      <c r="C127" s="46" t="n">
        <v>87.1999969482422</v>
      </c>
      <c r="D127" s="45" t="n">
        <v>92.6999969482422</v>
      </c>
      <c r="E127" s="32"/>
      <c r="F127" s="47" t="n">
        <v>14.6649990844727</v>
      </c>
      <c r="G127" s="47" t="n">
        <v>17.1649990844727</v>
      </c>
      <c r="H127" s="47" t="n">
        <v>19.6649990844727</v>
      </c>
      <c r="I127" s="9"/>
      <c r="J127" s="3" t="n">
        <v>40179</v>
      </c>
      <c r="K127" s="48" t="n">
        <v>33.1737487792969</v>
      </c>
      <c r="L127" s="48" t="n">
        <v>34.4987487792969</v>
      </c>
      <c r="M127" s="48" t="n">
        <v>35.6237487792969</v>
      </c>
      <c r="O127" s="48" t="n">
        <v>28.7025005340576</v>
      </c>
      <c r="P127" s="48" t="n">
        <v>33.0025005340576</v>
      </c>
      <c r="Q127" s="48" t="n">
        <v>37.3025005340576</v>
      </c>
      <c r="S127" s="48" t="n">
        <v>0</v>
      </c>
      <c r="T127" s="48" t="n">
        <v>0</v>
      </c>
      <c r="U127" s="48" t="n">
        <v>0</v>
      </c>
      <c r="W127" s="48" t="n">
        <v>0.0699297023127454</v>
      </c>
      <c r="X127" s="53" t="n">
        <v>0.139859404625491</v>
      </c>
      <c r="Y127" s="48" t="n">
        <v>0.209789106938236</v>
      </c>
      <c r="AA127" s="48" t="n">
        <v>0.0025</v>
      </c>
      <c r="AB127" s="48" t="n">
        <v>0.005</v>
      </c>
      <c r="AC127" s="48" t="n">
        <v>0.0075</v>
      </c>
      <c r="AE127" s="48" t="n">
        <v>-0.4</v>
      </c>
      <c r="AF127" s="53" t="n">
        <v>1.75</v>
      </c>
      <c r="AG127" s="48" t="n">
        <v>0.5</v>
      </c>
      <c r="AI127" s="48" t="n">
        <v>-0.1</v>
      </c>
      <c r="AJ127" s="48" t="n">
        <v>0.3</v>
      </c>
      <c r="AK127" s="48" t="n">
        <v>0.1</v>
      </c>
      <c r="AM127" s="9" t="n">
        <v>41</v>
      </c>
      <c r="AN127" s="50" t="n">
        <v>0.4</v>
      </c>
      <c r="BE127" s="3" t="n">
        <v>40179</v>
      </c>
      <c r="BF127" s="52" t="n">
        <v>0.9</v>
      </c>
    </row>
    <row r="128" customFormat="false" ht="12.75" hidden="false" customHeight="false" outlineLevel="0" collapsed="false">
      <c r="A128" s="44" t="n">
        <v>39326</v>
      </c>
      <c r="B128" s="45" t="n">
        <v>33.6249984741211</v>
      </c>
      <c r="C128" s="46" t="n">
        <v>34.9249984741211</v>
      </c>
      <c r="D128" s="45" t="n">
        <v>36.7249984741211</v>
      </c>
      <c r="E128" s="32"/>
      <c r="F128" s="47" t="n">
        <v>16.5149990844727</v>
      </c>
      <c r="G128" s="47" t="n">
        <v>17.1649990844727</v>
      </c>
      <c r="H128" s="47" t="n">
        <v>17.8149990844727</v>
      </c>
      <c r="I128" s="9"/>
      <c r="J128" s="3" t="n">
        <v>40210</v>
      </c>
      <c r="K128" s="48" t="n">
        <v>32.1712501525879</v>
      </c>
      <c r="L128" s="48" t="n">
        <v>33.4962501525879</v>
      </c>
      <c r="M128" s="48" t="n">
        <v>34.6212501525879</v>
      </c>
      <c r="O128" s="48" t="n">
        <v>26.6974994659424</v>
      </c>
      <c r="P128" s="48" t="n">
        <v>30.9974994659424</v>
      </c>
      <c r="Q128" s="48" t="n">
        <v>35.2974994659424</v>
      </c>
      <c r="S128" s="48" t="n">
        <v>0</v>
      </c>
      <c r="T128" s="48" t="n">
        <v>0</v>
      </c>
      <c r="U128" s="48" t="n">
        <v>0</v>
      </c>
      <c r="W128" s="48" t="n">
        <v>0.0699297023127454</v>
      </c>
      <c r="X128" s="53" t="n">
        <v>0.139859404625491</v>
      </c>
      <c r="Y128" s="48" t="n">
        <v>0.209789106938236</v>
      </c>
      <c r="AA128" s="48" t="n">
        <v>0.0025</v>
      </c>
      <c r="AB128" s="48" t="n">
        <v>0.005</v>
      </c>
      <c r="AC128" s="48" t="n">
        <v>0.0075</v>
      </c>
      <c r="AE128" s="48" t="n">
        <v>-0.4</v>
      </c>
      <c r="AF128" s="53" t="n">
        <v>1.75</v>
      </c>
      <c r="AG128" s="48" t="n">
        <v>0.5</v>
      </c>
      <c r="AI128" s="48" t="n">
        <v>-0.1</v>
      </c>
      <c r="AJ128" s="48" t="n">
        <v>0.3</v>
      </c>
      <c r="AK128" s="48" t="n">
        <v>0.1</v>
      </c>
      <c r="AM128" s="9" t="n">
        <v>41</v>
      </c>
      <c r="AN128" s="50" t="n">
        <v>0.4</v>
      </c>
      <c r="BE128" s="3" t="n">
        <v>40210</v>
      </c>
      <c r="BF128" s="52" t="n">
        <v>0.9</v>
      </c>
    </row>
    <row r="129" customFormat="false" ht="12.75" hidden="false" customHeight="false" outlineLevel="0" collapsed="false">
      <c r="A129" s="44" t="n">
        <v>39356</v>
      </c>
      <c r="B129" s="45" t="n">
        <v>27.4250003814697</v>
      </c>
      <c r="C129" s="46" t="n">
        <v>28.5750003814697</v>
      </c>
      <c r="D129" s="45" t="n">
        <v>30.2250003814697</v>
      </c>
      <c r="E129" s="32"/>
      <c r="F129" s="47" t="n">
        <v>16.2899998474121</v>
      </c>
      <c r="G129" s="47" t="n">
        <v>16.8649998474121</v>
      </c>
      <c r="H129" s="47" t="n">
        <v>17.4399998474121</v>
      </c>
      <c r="I129" s="9"/>
      <c r="J129" s="3" t="n">
        <v>40238</v>
      </c>
      <c r="K129" s="48" t="n">
        <v>21.1972496032715</v>
      </c>
      <c r="L129" s="48" t="n">
        <v>21.8347496032715</v>
      </c>
      <c r="M129" s="48" t="n">
        <v>22.4722496032715</v>
      </c>
      <c r="O129" s="48" t="n">
        <v>17.1644989013672</v>
      </c>
      <c r="P129" s="48" t="n">
        <v>21.4644989013672</v>
      </c>
      <c r="Q129" s="48" t="n">
        <v>25.7644989013672</v>
      </c>
      <c r="S129" s="48" t="n">
        <v>0</v>
      </c>
      <c r="T129" s="48" t="n">
        <v>0</v>
      </c>
      <c r="U129" s="48" t="n">
        <v>0</v>
      </c>
      <c r="W129" s="48" t="n">
        <v>0.0582747519272878</v>
      </c>
      <c r="X129" s="53" t="n">
        <v>0.116549503854576</v>
      </c>
      <c r="Y129" s="48" t="n">
        <v>0.174824255781863</v>
      </c>
      <c r="AA129" s="48" t="n">
        <v>0.0025</v>
      </c>
      <c r="AB129" s="48" t="n">
        <v>0.005</v>
      </c>
      <c r="AC129" s="48" t="n">
        <v>0.0075</v>
      </c>
      <c r="AE129" s="48" t="n">
        <v>-0.25</v>
      </c>
      <c r="AF129" s="53" t="n">
        <v>1.1</v>
      </c>
      <c r="AG129" s="48" t="n">
        <v>0.25</v>
      </c>
      <c r="AI129" s="48" t="n">
        <v>-0.1</v>
      </c>
      <c r="AJ129" s="48" t="n">
        <v>0.3</v>
      </c>
      <c r="AK129" s="48" t="n">
        <v>0.1</v>
      </c>
      <c r="AM129" s="9" t="n">
        <v>41</v>
      </c>
      <c r="AN129" s="50" t="n">
        <v>0.4</v>
      </c>
      <c r="BE129" s="3" t="n">
        <v>40238</v>
      </c>
      <c r="BF129" s="52" t="n">
        <v>0.9</v>
      </c>
    </row>
    <row r="130" customFormat="false" ht="12.75" hidden="false" customHeight="false" outlineLevel="0" collapsed="false">
      <c r="A130" s="44" t="n">
        <v>39387</v>
      </c>
      <c r="B130" s="45" t="n">
        <v>27.0974990844727</v>
      </c>
      <c r="C130" s="46" t="n">
        <v>28.2474990844727</v>
      </c>
      <c r="D130" s="45" t="n">
        <v>29.8974990844727</v>
      </c>
      <c r="E130" s="32"/>
      <c r="F130" s="47" t="n">
        <v>14.5399998474121</v>
      </c>
      <c r="G130" s="47" t="n">
        <v>15.1149998474121</v>
      </c>
      <c r="H130" s="47" t="n">
        <v>15.6899998474121</v>
      </c>
      <c r="I130" s="9"/>
      <c r="J130" s="3" t="n">
        <v>40269</v>
      </c>
      <c r="K130" s="48" t="n">
        <v>21.9925003051758</v>
      </c>
      <c r="L130" s="48" t="n">
        <v>22.5175003051758</v>
      </c>
      <c r="M130" s="48" t="n">
        <v>23.0425003051758</v>
      </c>
      <c r="O130" s="48" t="n">
        <v>16.9349990844727</v>
      </c>
      <c r="P130" s="48" t="n">
        <v>21.2349990844727</v>
      </c>
      <c r="Q130" s="48" t="n">
        <v>25.5349990844727</v>
      </c>
      <c r="S130" s="48" t="n">
        <v>0</v>
      </c>
      <c r="T130" s="48" t="n">
        <v>0</v>
      </c>
      <c r="U130" s="48" t="n">
        <v>0</v>
      </c>
      <c r="W130" s="48" t="n">
        <v>0.0553610143309234</v>
      </c>
      <c r="X130" s="53" t="n">
        <v>0.110722028661847</v>
      </c>
      <c r="Y130" s="48" t="n">
        <v>0.16608304299277</v>
      </c>
      <c r="AA130" s="48" t="n">
        <v>0.0025</v>
      </c>
      <c r="AB130" s="48" t="n">
        <v>0.005</v>
      </c>
      <c r="AC130" s="48" t="n">
        <v>0.0075</v>
      </c>
      <c r="AE130" s="48" t="n">
        <v>-0.25</v>
      </c>
      <c r="AF130" s="53" t="n">
        <v>1.2</v>
      </c>
      <c r="AG130" s="48" t="n">
        <v>0.25</v>
      </c>
      <c r="AI130" s="48" t="n">
        <v>-0.1</v>
      </c>
      <c r="AJ130" s="48" t="n">
        <v>0.3</v>
      </c>
      <c r="AK130" s="48" t="n">
        <v>0.1</v>
      </c>
      <c r="AM130" s="9" t="n">
        <v>42</v>
      </c>
      <c r="AN130" s="50" t="n">
        <v>0.4</v>
      </c>
      <c r="BE130" s="3" t="n">
        <v>40269</v>
      </c>
      <c r="BF130" s="52" t="n">
        <v>0.9</v>
      </c>
    </row>
    <row r="131" customFormat="false" ht="12.75" hidden="false" customHeight="false" outlineLevel="0" collapsed="false">
      <c r="A131" s="44" t="n">
        <v>39417</v>
      </c>
      <c r="B131" s="45" t="n">
        <v>28.8499996185303</v>
      </c>
      <c r="C131" s="46" t="n">
        <v>29.9999996185303</v>
      </c>
      <c r="D131" s="45" t="n">
        <v>31.6499996185303</v>
      </c>
      <c r="E131" s="32"/>
      <c r="F131" s="47" t="n">
        <v>15.3900002288818</v>
      </c>
      <c r="G131" s="47" t="n">
        <v>15.9650002288818</v>
      </c>
      <c r="H131" s="47" t="n">
        <v>16.5400002288818</v>
      </c>
      <c r="I131" s="9"/>
      <c r="J131" s="3" t="n">
        <v>40299</v>
      </c>
      <c r="K131" s="48" t="n">
        <v>20.772500076294</v>
      </c>
      <c r="L131" s="48" t="n">
        <v>22.632500076294</v>
      </c>
      <c r="M131" s="48" t="n">
        <v>24.492500076294</v>
      </c>
      <c r="O131" s="48" t="n">
        <v>17.4649997711182</v>
      </c>
      <c r="P131" s="48" t="n">
        <v>21.7649997711182</v>
      </c>
      <c r="Q131" s="48" t="n">
        <v>26.0649997711182</v>
      </c>
      <c r="S131" s="48" t="n">
        <v>0</v>
      </c>
      <c r="T131" s="48" t="n">
        <v>0</v>
      </c>
      <c r="U131" s="48" t="n">
        <v>0</v>
      </c>
      <c r="W131" s="48" t="n">
        <v>0.0611884895236522</v>
      </c>
      <c r="X131" s="53" t="n">
        <v>0.122376979047304</v>
      </c>
      <c r="Y131" s="48" t="n">
        <v>0.183565468570957</v>
      </c>
      <c r="AA131" s="48" t="n">
        <v>0.0025</v>
      </c>
      <c r="AB131" s="48" t="n">
        <v>0.005</v>
      </c>
      <c r="AC131" s="48" t="n">
        <v>0.0075</v>
      </c>
      <c r="AE131" s="48" t="n">
        <v>-0.25</v>
      </c>
      <c r="AF131" s="53" t="n">
        <v>2</v>
      </c>
      <c r="AG131" s="48" t="n">
        <v>0.25</v>
      </c>
      <c r="AI131" s="48" t="n">
        <v>-0.1</v>
      </c>
      <c r="AJ131" s="48" t="n">
        <v>0.3</v>
      </c>
      <c r="AK131" s="48" t="n">
        <v>0.1</v>
      </c>
      <c r="AM131" s="9" t="n">
        <v>42</v>
      </c>
      <c r="AN131" s="50" t="n">
        <v>0.4</v>
      </c>
      <c r="BE131" s="3" t="n">
        <v>40299</v>
      </c>
      <c r="BF131" s="52" t="n">
        <v>0.9</v>
      </c>
    </row>
    <row r="132" customFormat="false" ht="12.75" hidden="false" customHeight="false" outlineLevel="0" collapsed="false">
      <c r="A132" s="44" t="n">
        <v>39448</v>
      </c>
      <c r="B132" s="45" t="n">
        <v>37.5249984741211</v>
      </c>
      <c r="C132" s="46" t="n">
        <v>38.8249984741211</v>
      </c>
      <c r="D132" s="45" t="n">
        <v>40.6249984741211</v>
      </c>
      <c r="E132" s="32"/>
      <c r="F132" s="47" t="n">
        <v>19.8649975585938</v>
      </c>
      <c r="G132" s="47" t="n">
        <v>20.5149975585938</v>
      </c>
      <c r="H132" s="47" t="n">
        <v>21.1649975585937</v>
      </c>
      <c r="I132" s="9"/>
      <c r="J132" s="3" t="n">
        <v>40330</v>
      </c>
      <c r="K132" s="48" t="n">
        <v>21.8762501525879</v>
      </c>
      <c r="L132" s="48" t="n">
        <v>27.2087501525879</v>
      </c>
      <c r="M132" s="48" t="n">
        <v>32.5412501525879</v>
      </c>
      <c r="O132" s="48" t="n">
        <v>16.3924995422363</v>
      </c>
      <c r="P132" s="48" t="n">
        <v>20.6924995422363</v>
      </c>
      <c r="Q132" s="48" t="n">
        <v>24.9924995422363</v>
      </c>
      <c r="S132" s="48" t="n">
        <v>0</v>
      </c>
      <c r="T132" s="48" t="n">
        <v>0</v>
      </c>
      <c r="U132" s="48" t="n">
        <v>0</v>
      </c>
      <c r="W132" s="48" t="n">
        <v>0.0786709151018385</v>
      </c>
      <c r="X132" s="53" t="n">
        <v>0.157341830203677</v>
      </c>
      <c r="Y132" s="48" t="n">
        <v>0.236012745305516</v>
      </c>
      <c r="AA132" s="48" t="n">
        <v>0.0025</v>
      </c>
      <c r="AB132" s="48" t="n">
        <v>0.005</v>
      </c>
      <c r="AC132" s="48" t="n">
        <v>0.0075</v>
      </c>
      <c r="AE132" s="48" t="n">
        <v>-0.75</v>
      </c>
      <c r="AF132" s="53" t="n">
        <v>2.25</v>
      </c>
      <c r="AG132" s="48" t="n">
        <v>0.75</v>
      </c>
      <c r="AI132" s="48" t="n">
        <v>-0.1</v>
      </c>
      <c r="AJ132" s="48" t="n">
        <v>0.3</v>
      </c>
      <c r="AK132" s="48" t="n">
        <v>0.1</v>
      </c>
      <c r="AM132" s="9" t="n">
        <v>42</v>
      </c>
      <c r="AN132" s="50" t="n">
        <v>0.4</v>
      </c>
      <c r="BE132" s="3" t="n">
        <v>40330</v>
      </c>
      <c r="BF132" s="52" t="n">
        <v>0.9</v>
      </c>
    </row>
    <row r="133" customFormat="false" ht="12.75" hidden="false" customHeight="false" outlineLevel="0" collapsed="false">
      <c r="A133" s="44" t="n">
        <v>39479</v>
      </c>
      <c r="B133" s="45" t="n">
        <v>37.5249984741211</v>
      </c>
      <c r="C133" s="46" t="n">
        <v>38.8249984741211</v>
      </c>
      <c r="D133" s="45" t="n">
        <v>40.6249984741211</v>
      </c>
      <c r="E133" s="32"/>
      <c r="F133" s="47" t="n">
        <v>20.014997177124</v>
      </c>
      <c r="G133" s="47" t="n">
        <v>20.664997177124</v>
      </c>
      <c r="H133" s="47" t="n">
        <v>21.314997177124</v>
      </c>
      <c r="I133" s="9"/>
      <c r="J133" s="3" t="n">
        <v>40360</v>
      </c>
      <c r="K133" s="48" t="n">
        <v>37.9112495422363</v>
      </c>
      <c r="L133" s="48" t="n">
        <v>41.6612495422363</v>
      </c>
      <c r="M133" s="48" t="n">
        <v>45.4112495422363</v>
      </c>
      <c r="O133" s="48" t="n">
        <v>26.8474994659424</v>
      </c>
      <c r="P133" s="48" t="n">
        <v>31.1474994659424</v>
      </c>
      <c r="Q133" s="48" t="n">
        <v>35.4474994659424</v>
      </c>
      <c r="S133" s="48" t="n">
        <v>0</v>
      </c>
      <c r="T133" s="48" t="n">
        <v>0</v>
      </c>
      <c r="U133" s="48" t="n">
        <v>0</v>
      </c>
      <c r="W133" s="48" t="n">
        <v>0.0961533406800249</v>
      </c>
      <c r="X133" s="53" t="n">
        <v>0.19230668136005</v>
      </c>
      <c r="Y133" s="48" t="n">
        <v>0.288460022040075</v>
      </c>
      <c r="AA133" s="48" t="n">
        <v>0.0025</v>
      </c>
      <c r="AB133" s="48" t="n">
        <v>0.005</v>
      </c>
      <c r="AC133" s="48" t="n">
        <v>0.0075</v>
      </c>
      <c r="AE133" s="48" t="n">
        <v>-1</v>
      </c>
      <c r="AF133" s="53" t="n">
        <v>3</v>
      </c>
      <c r="AG133" s="48" t="n">
        <v>1</v>
      </c>
      <c r="AI133" s="48" t="n">
        <v>-0.1</v>
      </c>
      <c r="AJ133" s="48" t="n">
        <v>0.3</v>
      </c>
      <c r="AK133" s="48" t="n">
        <v>0.1</v>
      </c>
      <c r="AM133" s="9" t="n">
        <v>43</v>
      </c>
      <c r="AN133" s="50" t="n">
        <v>0.4</v>
      </c>
      <c r="BE133" s="3" t="n">
        <v>40360</v>
      </c>
      <c r="BF133" s="52" t="n">
        <v>0.9</v>
      </c>
    </row>
    <row r="134" customFormat="false" ht="12.75" hidden="false" customHeight="false" outlineLevel="0" collapsed="false">
      <c r="A134" s="44" t="n">
        <v>39508</v>
      </c>
      <c r="B134" s="45" t="n">
        <v>27.8000007629395</v>
      </c>
      <c r="C134" s="46" t="n">
        <v>28.5500007629395</v>
      </c>
      <c r="D134" s="45" t="n">
        <v>29.8000007629395</v>
      </c>
      <c r="E134" s="32"/>
      <c r="F134" s="47" t="n">
        <v>17.5399990844727</v>
      </c>
      <c r="G134" s="47" t="n">
        <v>17.9149990844727</v>
      </c>
      <c r="H134" s="47" t="n">
        <v>18.2899990844727</v>
      </c>
      <c r="I134" s="9"/>
      <c r="J134" s="3" t="n">
        <v>40391</v>
      </c>
      <c r="K134" s="48" t="n">
        <v>40.1724990844727</v>
      </c>
      <c r="L134" s="48" t="n">
        <v>43.9224990844727</v>
      </c>
      <c r="M134" s="48" t="n">
        <v>47.6724990844727</v>
      </c>
      <c r="O134" s="48" t="n">
        <v>28.3450008392334</v>
      </c>
      <c r="P134" s="48" t="n">
        <v>32.6450008392334</v>
      </c>
      <c r="Q134" s="48" t="n">
        <v>36.9450008392334</v>
      </c>
      <c r="S134" s="48" t="n">
        <v>0</v>
      </c>
      <c r="T134" s="48" t="n">
        <v>0</v>
      </c>
      <c r="U134" s="48" t="n">
        <v>0</v>
      </c>
      <c r="W134" s="48" t="n">
        <v>0.0961533406800249</v>
      </c>
      <c r="X134" s="53" t="n">
        <v>0.19230668136005</v>
      </c>
      <c r="Y134" s="48" t="n">
        <v>0.288460022040075</v>
      </c>
      <c r="AA134" s="48" t="n">
        <v>0.0025</v>
      </c>
      <c r="AB134" s="48" t="n">
        <v>0.005</v>
      </c>
      <c r="AC134" s="48" t="n">
        <v>0.0075</v>
      </c>
      <c r="AE134" s="48" t="n">
        <v>-1</v>
      </c>
      <c r="AF134" s="53" t="n">
        <v>3</v>
      </c>
      <c r="AG134" s="48" t="n">
        <v>1</v>
      </c>
      <c r="AI134" s="48" t="n">
        <v>-0.1</v>
      </c>
      <c r="AJ134" s="48" t="n">
        <v>0.3</v>
      </c>
      <c r="AK134" s="48" t="n">
        <v>0.1</v>
      </c>
      <c r="AM134" s="9" t="n">
        <v>43</v>
      </c>
      <c r="AN134" s="50" t="n">
        <v>0.4</v>
      </c>
      <c r="BE134" s="3" t="n">
        <v>40391</v>
      </c>
      <c r="BF134" s="52" t="n">
        <v>0.9</v>
      </c>
    </row>
    <row r="135" customFormat="false" ht="12.75" hidden="false" customHeight="false" outlineLevel="0" collapsed="false">
      <c r="A135" s="44" t="n">
        <v>39539</v>
      </c>
      <c r="B135" s="45" t="n">
        <v>27.7250007629395</v>
      </c>
      <c r="C135" s="46" t="n">
        <v>28.3250007629395</v>
      </c>
      <c r="D135" s="45" t="n">
        <v>29.4250007629395</v>
      </c>
      <c r="E135" s="32"/>
      <c r="F135" s="47" t="n">
        <v>17.8649990844727</v>
      </c>
      <c r="G135" s="47" t="n">
        <v>18.1649990844727</v>
      </c>
      <c r="H135" s="47" t="n">
        <v>18.4649990844727</v>
      </c>
      <c r="I135" s="9"/>
      <c r="J135" s="3" t="n">
        <v>40422</v>
      </c>
      <c r="K135" s="48" t="n">
        <v>19.9299995422363</v>
      </c>
      <c r="L135" s="48" t="n">
        <v>21.1299995422363</v>
      </c>
      <c r="M135" s="48" t="n">
        <v>22.3299995422363</v>
      </c>
      <c r="O135" s="48" t="n">
        <v>13.4100004196167</v>
      </c>
      <c r="P135" s="48" t="n">
        <v>17.7100004196167</v>
      </c>
      <c r="Q135" s="48" t="n">
        <v>22.0100004196167</v>
      </c>
      <c r="S135" s="48" t="n">
        <v>0</v>
      </c>
      <c r="T135" s="48" t="n">
        <v>0</v>
      </c>
      <c r="U135" s="48" t="n">
        <v>0</v>
      </c>
      <c r="W135" s="48" t="n">
        <v>0.0618065550743961</v>
      </c>
      <c r="X135" s="53" t="n">
        <v>0.123613110148792</v>
      </c>
      <c r="Y135" s="48" t="n">
        <v>0.185419665223188</v>
      </c>
      <c r="AA135" s="48" t="n">
        <v>0.0025</v>
      </c>
      <c r="AB135" s="48" t="n">
        <v>0.005</v>
      </c>
      <c r="AC135" s="48" t="n">
        <v>0.0075</v>
      </c>
      <c r="AE135" s="48" t="n">
        <v>-0.4</v>
      </c>
      <c r="AF135" s="53" t="n">
        <v>1.75</v>
      </c>
      <c r="AG135" s="48" t="n">
        <v>0.5</v>
      </c>
      <c r="AI135" s="48" t="n">
        <v>-0.1</v>
      </c>
      <c r="AJ135" s="48" t="n">
        <v>0.3</v>
      </c>
      <c r="AK135" s="48" t="n">
        <v>0.1</v>
      </c>
      <c r="AM135" s="9" t="n">
        <v>43</v>
      </c>
      <c r="AN135" s="50" t="n">
        <v>0.4</v>
      </c>
      <c r="BE135" s="3" t="n">
        <v>40422</v>
      </c>
      <c r="BF135" s="52" t="n">
        <v>0.9</v>
      </c>
    </row>
    <row r="136" customFormat="false" ht="12.75" hidden="false" customHeight="false" outlineLevel="0" collapsed="false">
      <c r="A136" s="44" t="n">
        <v>39569</v>
      </c>
      <c r="B136" s="45" t="n">
        <v>32.785</v>
      </c>
      <c r="C136" s="46" t="n">
        <v>34.825</v>
      </c>
      <c r="D136" s="45" t="n">
        <v>37.365</v>
      </c>
      <c r="E136" s="32"/>
      <c r="F136" s="47" t="n">
        <v>16.5949998474121</v>
      </c>
      <c r="G136" s="47" t="n">
        <v>17.6149998474121</v>
      </c>
      <c r="H136" s="47" t="n">
        <v>18.6349998474121</v>
      </c>
      <c r="I136" s="9"/>
      <c r="J136" s="3" t="n">
        <v>40452</v>
      </c>
      <c r="K136" s="48" t="n">
        <v>19.0944995880127</v>
      </c>
      <c r="L136" s="48" t="n">
        <v>20.1819995880127</v>
      </c>
      <c r="M136" s="48" t="n">
        <v>21.2694995880127</v>
      </c>
      <c r="O136" s="48" t="n">
        <v>13.5540004730225</v>
      </c>
      <c r="P136" s="48" t="n">
        <v>17.8540004730225</v>
      </c>
      <c r="Q136" s="48" t="n">
        <v>22.1540004730225</v>
      </c>
      <c r="S136" s="48" t="n">
        <v>0</v>
      </c>
      <c r="T136" s="48" t="n">
        <v>0</v>
      </c>
      <c r="U136" s="48" t="n">
        <v>0</v>
      </c>
      <c r="W136" s="48" t="n">
        <v>0.0437060639454658</v>
      </c>
      <c r="X136" s="53" t="n">
        <v>0.0874121278909317</v>
      </c>
      <c r="Y136" s="48" t="n">
        <v>0.131118191836398</v>
      </c>
      <c r="AA136" s="48" t="n">
        <v>0.0025</v>
      </c>
      <c r="AB136" s="48" t="n">
        <v>0.005</v>
      </c>
      <c r="AC136" s="48" t="n">
        <v>0.0075</v>
      </c>
      <c r="AE136" s="48" t="n">
        <v>-0.25</v>
      </c>
      <c r="AF136" s="53" t="n">
        <v>1.5</v>
      </c>
      <c r="AG136" s="48" t="n">
        <v>0.25</v>
      </c>
      <c r="AI136" s="48" t="n">
        <v>-0.1</v>
      </c>
      <c r="AJ136" s="48" t="n">
        <v>0.3</v>
      </c>
      <c r="AK136" s="48" t="n">
        <v>0.1</v>
      </c>
      <c r="AM136" s="9" t="n">
        <v>44</v>
      </c>
      <c r="AN136" s="50" t="n">
        <v>0.4</v>
      </c>
      <c r="BE136" s="3" t="n">
        <v>40452</v>
      </c>
      <c r="BF136" s="52" t="n">
        <v>0.9</v>
      </c>
    </row>
    <row r="137" customFormat="false" ht="12.75" hidden="false" customHeight="false" outlineLevel="0" collapsed="false">
      <c r="A137" s="44" t="n">
        <v>39600</v>
      </c>
      <c r="B137" s="45" t="n">
        <v>53.9799984741211</v>
      </c>
      <c r="C137" s="46" t="n">
        <v>59.8499984741211</v>
      </c>
      <c r="D137" s="45" t="n">
        <v>66.2199984741211</v>
      </c>
      <c r="E137" s="32"/>
      <c r="F137" s="47" t="n">
        <v>14.7400012207031</v>
      </c>
      <c r="G137" s="47" t="n">
        <v>17.6750012207031</v>
      </c>
      <c r="H137" s="47" t="n">
        <v>20.6100012207031</v>
      </c>
      <c r="I137" s="9"/>
      <c r="J137" s="3" t="n">
        <v>40483</v>
      </c>
      <c r="K137" s="48" t="n">
        <v>18.5562496185303</v>
      </c>
      <c r="L137" s="48" t="n">
        <v>19.6437496185303</v>
      </c>
      <c r="M137" s="48" t="n">
        <v>20.7312496185303</v>
      </c>
      <c r="O137" s="48" t="n">
        <v>14.0750003814697</v>
      </c>
      <c r="P137" s="48" t="n">
        <v>18.3750003814697</v>
      </c>
      <c r="Q137" s="48" t="n">
        <v>22.6750003814697</v>
      </c>
      <c r="S137" s="48" t="n">
        <v>0</v>
      </c>
      <c r="T137" s="48" t="n">
        <v>0</v>
      </c>
      <c r="U137" s="48" t="n">
        <v>0</v>
      </c>
      <c r="W137" s="48" t="n">
        <v>0.0437060639454658</v>
      </c>
      <c r="X137" s="53" t="n">
        <v>0.0874121278909317</v>
      </c>
      <c r="Y137" s="48" t="n">
        <v>0.131118191836398</v>
      </c>
      <c r="AA137" s="48" t="n">
        <v>0.0025</v>
      </c>
      <c r="AB137" s="48" t="n">
        <v>0.005</v>
      </c>
      <c r="AC137" s="48" t="n">
        <v>0.0075</v>
      </c>
      <c r="AE137" s="48" t="n">
        <v>-0.25</v>
      </c>
      <c r="AF137" s="53" t="n">
        <v>1.5</v>
      </c>
      <c r="AG137" s="48" t="n">
        <v>0.25</v>
      </c>
      <c r="AI137" s="48" t="n">
        <v>-0.1</v>
      </c>
      <c r="AJ137" s="48" t="n">
        <v>0.3</v>
      </c>
      <c r="AK137" s="48" t="n">
        <v>0.1</v>
      </c>
      <c r="AM137" s="9" t="n">
        <v>44</v>
      </c>
      <c r="AN137" s="50" t="n">
        <v>0.4</v>
      </c>
      <c r="BE137" s="3" t="n">
        <v>40483</v>
      </c>
      <c r="BF137" s="52" t="n">
        <v>0.9</v>
      </c>
    </row>
    <row r="138" customFormat="false" ht="12.75" hidden="false" customHeight="false" outlineLevel="0" collapsed="false">
      <c r="A138" s="44" t="n">
        <v>39630</v>
      </c>
      <c r="B138" s="45" t="n">
        <v>97.4499969482422</v>
      </c>
      <c r="C138" s="46" t="n">
        <v>102.449996948242</v>
      </c>
      <c r="D138" s="45" t="n">
        <v>107.949996948242</v>
      </c>
      <c r="E138" s="32"/>
      <c r="F138" s="47" t="n">
        <v>14.8649998474121</v>
      </c>
      <c r="G138" s="47" t="n">
        <v>17.3649998474121</v>
      </c>
      <c r="H138" s="47" t="n">
        <v>19.8649998474121</v>
      </c>
      <c r="I138" s="9"/>
      <c r="J138" s="3" t="n">
        <v>40513</v>
      </c>
      <c r="K138" s="48" t="n">
        <v>22.701250076294</v>
      </c>
      <c r="L138" s="48" t="n">
        <v>23.788750076294</v>
      </c>
      <c r="M138" s="48" t="n">
        <v>24.876250076294</v>
      </c>
      <c r="O138" s="48" t="n">
        <v>14.5250001907349</v>
      </c>
      <c r="P138" s="48" t="n">
        <v>18.8250001907349</v>
      </c>
      <c r="Q138" s="48" t="n">
        <v>23.1250001907349</v>
      </c>
      <c r="S138" s="48" t="n">
        <v>0</v>
      </c>
      <c r="T138" s="48" t="n">
        <v>0</v>
      </c>
      <c r="U138" s="48" t="n">
        <v>0</v>
      </c>
      <c r="W138" s="48" t="n">
        <v>0.0437060639454658</v>
      </c>
      <c r="X138" s="53" t="n">
        <v>0.0874121278909317</v>
      </c>
      <c r="Y138" s="48" t="n">
        <v>0.131118191836398</v>
      </c>
      <c r="AA138" s="48" t="n">
        <v>0.0025</v>
      </c>
      <c r="AB138" s="48" t="n">
        <v>0.005</v>
      </c>
      <c r="AC138" s="48" t="n">
        <v>0.0075</v>
      </c>
      <c r="AE138" s="48" t="n">
        <v>-0.25</v>
      </c>
      <c r="AF138" s="53" t="n">
        <v>1.5</v>
      </c>
      <c r="AG138" s="48" t="n">
        <v>0.25</v>
      </c>
      <c r="AI138" s="48" t="n">
        <v>-0.1</v>
      </c>
      <c r="AJ138" s="48" t="n">
        <v>0.3</v>
      </c>
      <c r="AK138" s="48" t="n">
        <v>0.1</v>
      </c>
      <c r="AM138" s="9" t="n">
        <v>44</v>
      </c>
      <c r="AN138" s="50" t="n">
        <v>0.4</v>
      </c>
      <c r="BE138" s="3" t="n">
        <v>40513</v>
      </c>
      <c r="BF138" s="52" t="n">
        <v>0.9</v>
      </c>
    </row>
    <row r="139" customFormat="false" ht="12.75" hidden="false" customHeight="false" outlineLevel="0" collapsed="false">
      <c r="A139" s="44" t="n">
        <v>39661</v>
      </c>
      <c r="B139" s="45" t="n">
        <v>84.4499969482422</v>
      </c>
      <c r="C139" s="46" t="n">
        <v>89.4499969482422</v>
      </c>
      <c r="D139" s="45" t="n">
        <v>94.9499969482422</v>
      </c>
      <c r="E139" s="32"/>
      <c r="F139" s="47" t="n">
        <v>14.9149990844727</v>
      </c>
      <c r="G139" s="47" t="n">
        <v>17.4149990844727</v>
      </c>
      <c r="H139" s="47" t="n">
        <v>19.9149990844727</v>
      </c>
      <c r="I139" s="9"/>
      <c r="J139" s="3" t="n">
        <v>40544</v>
      </c>
      <c r="K139" s="48" t="n">
        <v>33.0987487792969</v>
      </c>
      <c r="L139" s="48" t="n">
        <v>34.4987487792969</v>
      </c>
      <c r="M139" s="48" t="n">
        <v>35.6987487792969</v>
      </c>
      <c r="O139" s="48" t="n">
        <v>28.7025005340576</v>
      </c>
      <c r="P139" s="48" t="n">
        <v>33.0025005340576</v>
      </c>
      <c r="Q139" s="48" t="n">
        <v>37.3025005340576</v>
      </c>
      <c r="S139" s="48" t="n">
        <v>0.25</v>
      </c>
      <c r="T139" s="48" t="n">
        <v>0.25</v>
      </c>
      <c r="U139" s="48" t="n">
        <v>0.25</v>
      </c>
      <c r="W139" s="48" t="n">
        <v>0.0671325142202355</v>
      </c>
      <c r="X139" s="53" t="n">
        <v>0.134265028440471</v>
      </c>
      <c r="Y139" s="48" t="n">
        <v>0.201397542660707</v>
      </c>
      <c r="AA139" s="48" t="n">
        <v>0.0025</v>
      </c>
      <c r="AB139" s="48" t="n">
        <v>0.005</v>
      </c>
      <c r="AC139" s="48" t="n">
        <v>0.0075</v>
      </c>
      <c r="AE139" s="48" t="n">
        <v>-0.4</v>
      </c>
      <c r="AF139" s="53" t="n">
        <v>1.75</v>
      </c>
      <c r="AG139" s="48" t="n">
        <v>0.5</v>
      </c>
      <c r="AI139" s="48" t="n">
        <v>-0.1</v>
      </c>
      <c r="AJ139" s="48" t="n">
        <v>0.3</v>
      </c>
      <c r="AK139" s="48" t="n">
        <v>0.1</v>
      </c>
      <c r="AM139" s="9" t="n">
        <v>45</v>
      </c>
      <c r="AN139" s="50" t="n">
        <v>0.4</v>
      </c>
      <c r="BE139" s="3" t="n">
        <v>40544</v>
      </c>
      <c r="BF139" s="52" t="n">
        <v>0.9</v>
      </c>
    </row>
    <row r="140" customFormat="false" ht="12.75" hidden="false" customHeight="false" outlineLevel="0" collapsed="false">
      <c r="A140" s="44" t="n">
        <v>39692</v>
      </c>
      <c r="B140" s="45" t="n">
        <v>34.0249984741211</v>
      </c>
      <c r="C140" s="46" t="n">
        <v>35.4249984741211</v>
      </c>
      <c r="D140" s="45" t="n">
        <v>37.3249984741211</v>
      </c>
      <c r="E140" s="32"/>
      <c r="F140" s="47" t="n">
        <v>16.7149990844727</v>
      </c>
      <c r="G140" s="47" t="n">
        <v>17.4149990844727</v>
      </c>
      <c r="H140" s="47" t="n">
        <v>18.1149990844727</v>
      </c>
      <c r="I140" s="9"/>
      <c r="J140" s="3" t="n">
        <v>40575</v>
      </c>
      <c r="K140" s="48" t="n">
        <v>32.0962501525879</v>
      </c>
      <c r="L140" s="48" t="n">
        <v>33.4962501525879</v>
      </c>
      <c r="M140" s="48" t="n">
        <v>34.6962501525879</v>
      </c>
      <c r="O140" s="48" t="n">
        <v>26.6974994659424</v>
      </c>
      <c r="P140" s="48" t="n">
        <v>30.9974994659424</v>
      </c>
      <c r="Q140" s="48" t="n">
        <v>35.2974994659424</v>
      </c>
      <c r="S140" s="48" t="n">
        <v>0</v>
      </c>
      <c r="T140" s="48" t="n">
        <v>0</v>
      </c>
      <c r="U140" s="48" t="n">
        <v>0</v>
      </c>
      <c r="W140" s="48" t="n">
        <v>0.0671325142202355</v>
      </c>
      <c r="X140" s="53" t="n">
        <v>0.134265028440471</v>
      </c>
      <c r="Y140" s="48" t="n">
        <v>0.201397542660707</v>
      </c>
      <c r="AA140" s="48" t="n">
        <v>0.0025</v>
      </c>
      <c r="AB140" s="48" t="n">
        <v>0.005</v>
      </c>
      <c r="AC140" s="48" t="n">
        <v>0.0075</v>
      </c>
      <c r="AE140" s="48" t="n">
        <v>-0.4</v>
      </c>
      <c r="AF140" s="53" t="n">
        <v>1.75</v>
      </c>
      <c r="AG140" s="48" t="n">
        <v>0.5</v>
      </c>
      <c r="AI140" s="48" t="n">
        <v>-0.1</v>
      </c>
      <c r="AJ140" s="48" t="n">
        <v>0.3</v>
      </c>
      <c r="AK140" s="48" t="n">
        <v>0.1</v>
      </c>
      <c r="AM140" s="9" t="n">
        <v>45</v>
      </c>
      <c r="AN140" s="50" t="n">
        <v>0.4</v>
      </c>
      <c r="BE140" s="3" t="n">
        <v>40575</v>
      </c>
      <c r="BF140" s="52" t="n">
        <v>0.9</v>
      </c>
    </row>
    <row r="141" customFormat="false" ht="12.75" hidden="false" customHeight="false" outlineLevel="0" collapsed="false">
      <c r="A141" s="44" t="n">
        <v>39722</v>
      </c>
      <c r="B141" s="45" t="n">
        <v>27.8250003814697</v>
      </c>
      <c r="C141" s="46" t="n">
        <v>29.0750003814697</v>
      </c>
      <c r="D141" s="45" t="n">
        <v>30.8250003814697</v>
      </c>
      <c r="E141" s="32"/>
      <c r="F141" s="47" t="n">
        <v>16.4899998474121</v>
      </c>
      <c r="G141" s="47" t="n">
        <v>17.1149998474121</v>
      </c>
      <c r="H141" s="47" t="n">
        <v>17.7399998474121</v>
      </c>
      <c r="I141" s="9"/>
      <c r="J141" s="3" t="n">
        <v>40603</v>
      </c>
      <c r="K141" s="48" t="n">
        <v>21.1597496032715</v>
      </c>
      <c r="L141" s="48" t="n">
        <v>21.8347496032715</v>
      </c>
      <c r="M141" s="48" t="n">
        <v>22.5097496032715</v>
      </c>
      <c r="O141" s="48" t="n">
        <v>17.1644989013672</v>
      </c>
      <c r="P141" s="48" t="n">
        <v>21.4644989013672</v>
      </c>
      <c r="Q141" s="48" t="n">
        <v>25.7644989013672</v>
      </c>
      <c r="S141" s="48" t="n">
        <v>0</v>
      </c>
      <c r="T141" s="48" t="n">
        <v>0</v>
      </c>
      <c r="U141" s="48" t="n">
        <v>0</v>
      </c>
      <c r="W141" s="48" t="n">
        <v>0.0559437618501963</v>
      </c>
      <c r="X141" s="53" t="n">
        <v>0.111887523700393</v>
      </c>
      <c r="Y141" s="48" t="n">
        <v>0.167831285550589</v>
      </c>
      <c r="AA141" s="48" t="n">
        <v>0.0025</v>
      </c>
      <c r="AB141" s="48" t="n">
        <v>0.005</v>
      </c>
      <c r="AC141" s="48" t="n">
        <v>0.0075</v>
      </c>
      <c r="AE141" s="48" t="n">
        <v>-0.25</v>
      </c>
      <c r="AF141" s="53" t="n">
        <v>1.1</v>
      </c>
      <c r="AG141" s="48" t="n">
        <v>0.25</v>
      </c>
      <c r="AI141" s="48" t="n">
        <v>-0.1</v>
      </c>
      <c r="AJ141" s="48" t="n">
        <v>0.3</v>
      </c>
      <c r="AK141" s="48" t="n">
        <v>0.1</v>
      </c>
      <c r="AM141" s="9" t="n">
        <v>45</v>
      </c>
      <c r="AN141" s="50" t="n">
        <v>0.4</v>
      </c>
      <c r="BE141" s="3" t="n">
        <v>40603</v>
      </c>
      <c r="BF141" s="52" t="n">
        <v>0.9</v>
      </c>
    </row>
    <row r="142" customFormat="false" ht="12.75" hidden="false" customHeight="false" outlineLevel="0" collapsed="false">
      <c r="A142" s="44" t="n">
        <v>39753</v>
      </c>
      <c r="B142" s="45" t="n">
        <v>27.4974990844727</v>
      </c>
      <c r="C142" s="46" t="n">
        <v>28.7474990844727</v>
      </c>
      <c r="D142" s="45" t="n">
        <v>30.4974990844727</v>
      </c>
      <c r="E142" s="32"/>
      <c r="F142" s="47" t="n">
        <v>14.7399998474121</v>
      </c>
      <c r="G142" s="47" t="n">
        <v>15.3649998474121</v>
      </c>
      <c r="H142" s="47" t="n">
        <v>15.9899998474121</v>
      </c>
      <c r="I142" s="9"/>
      <c r="J142" s="3" t="n">
        <v>40634</v>
      </c>
      <c r="K142" s="48" t="n">
        <v>21.9550003051758</v>
      </c>
      <c r="L142" s="48" t="n">
        <v>22.5175003051758</v>
      </c>
      <c r="M142" s="48" t="n">
        <v>23.0800003051758</v>
      </c>
      <c r="O142" s="48" t="n">
        <v>16.9349990844727</v>
      </c>
      <c r="P142" s="48" t="n">
        <v>21.2349990844727</v>
      </c>
      <c r="Q142" s="48" t="n">
        <v>25.5349990844727</v>
      </c>
      <c r="S142" s="48" t="n">
        <v>0</v>
      </c>
      <c r="T142" s="48" t="n">
        <v>0</v>
      </c>
      <c r="U142" s="48" t="n">
        <v>0</v>
      </c>
      <c r="W142" s="48" t="n">
        <v>0.0531465737576865</v>
      </c>
      <c r="X142" s="53" t="n">
        <v>0.106293147515373</v>
      </c>
      <c r="Y142" s="48" t="n">
        <v>0.159439721273059</v>
      </c>
      <c r="AA142" s="48" t="n">
        <v>0.0025</v>
      </c>
      <c r="AB142" s="48" t="n">
        <v>0.005</v>
      </c>
      <c r="AC142" s="48" t="n">
        <v>0.0075</v>
      </c>
      <c r="AE142" s="48" t="n">
        <v>-0.25</v>
      </c>
      <c r="AF142" s="53" t="n">
        <v>1.2</v>
      </c>
      <c r="AG142" s="48" t="n">
        <v>0.25</v>
      </c>
      <c r="AI142" s="48" t="n">
        <v>-0.1</v>
      </c>
      <c r="AJ142" s="48" t="n">
        <v>0.3</v>
      </c>
      <c r="AK142" s="48" t="n">
        <v>0.1</v>
      </c>
      <c r="AM142" s="9" t="n">
        <v>46</v>
      </c>
      <c r="AN142" s="50" t="n">
        <v>0.4</v>
      </c>
      <c r="BE142" s="3" t="n">
        <v>40634</v>
      </c>
      <c r="BF142" s="52" t="n">
        <v>0.9</v>
      </c>
    </row>
    <row r="143" customFormat="false" ht="12.75" hidden="false" customHeight="false" outlineLevel="0" collapsed="false">
      <c r="A143" s="44" t="n">
        <v>39783</v>
      </c>
      <c r="B143" s="45" t="n">
        <v>29.2499996185303</v>
      </c>
      <c r="C143" s="46" t="n">
        <v>30.4999996185303</v>
      </c>
      <c r="D143" s="45" t="n">
        <v>32.2499996185303</v>
      </c>
      <c r="E143" s="32"/>
      <c r="F143" s="47" t="n">
        <v>15.5900002288818</v>
      </c>
      <c r="G143" s="47" t="n">
        <v>16.2150002288818</v>
      </c>
      <c r="H143" s="47" t="n">
        <v>16.8400002288818</v>
      </c>
      <c r="I143" s="9"/>
      <c r="J143" s="3" t="n">
        <v>40664</v>
      </c>
      <c r="K143" s="48" t="n">
        <v>20.772500076294</v>
      </c>
      <c r="L143" s="48" t="n">
        <v>22.632500076294</v>
      </c>
      <c r="M143" s="48" t="n">
        <v>24.492500076294</v>
      </c>
      <c r="O143" s="48" t="n">
        <v>17.4649997711182</v>
      </c>
      <c r="P143" s="48" t="n">
        <v>21.7649997711182</v>
      </c>
      <c r="Q143" s="48" t="n">
        <v>26.0649997711182</v>
      </c>
      <c r="S143" s="48" t="n">
        <v>0</v>
      </c>
      <c r="T143" s="48" t="n">
        <v>0</v>
      </c>
      <c r="U143" s="48" t="n">
        <v>0</v>
      </c>
      <c r="W143" s="48" t="n">
        <v>0.0587409499427061</v>
      </c>
      <c r="X143" s="53" t="n">
        <v>0.117481899885412</v>
      </c>
      <c r="Y143" s="48" t="n">
        <v>0.176222849828118</v>
      </c>
      <c r="AA143" s="48" t="n">
        <v>0.0025</v>
      </c>
      <c r="AB143" s="48" t="n">
        <v>0.005</v>
      </c>
      <c r="AC143" s="48" t="n">
        <v>0.0075</v>
      </c>
      <c r="AE143" s="48" t="n">
        <v>-0.25</v>
      </c>
      <c r="AF143" s="53" t="n">
        <v>2</v>
      </c>
      <c r="AG143" s="48" t="n">
        <v>0.25</v>
      </c>
      <c r="AI143" s="48" t="n">
        <v>-0.1</v>
      </c>
      <c r="AJ143" s="48" t="n">
        <v>0.3</v>
      </c>
      <c r="AK143" s="48" t="n">
        <v>0.1</v>
      </c>
      <c r="AM143" s="9" t="n">
        <v>46</v>
      </c>
      <c r="AN143" s="50" t="n">
        <v>0.4</v>
      </c>
      <c r="BE143" s="3" t="n">
        <v>40664</v>
      </c>
      <c r="BF143" s="52" t="n">
        <v>0.9</v>
      </c>
    </row>
    <row r="144" customFormat="false" ht="12.75" hidden="false" customHeight="false" outlineLevel="0" collapsed="false">
      <c r="A144" s="44" t="n">
        <v>39814</v>
      </c>
      <c r="B144" s="45" t="n">
        <v>37.9249984741211</v>
      </c>
      <c r="C144" s="46" t="n">
        <v>39.3249984741211</v>
      </c>
      <c r="D144" s="45" t="n">
        <v>41.2249984741211</v>
      </c>
      <c r="E144" s="32"/>
      <c r="F144" s="47" t="n">
        <v>20.0649975585938</v>
      </c>
      <c r="G144" s="47" t="n">
        <v>20.7649975585938</v>
      </c>
      <c r="H144" s="47" t="n">
        <v>21.4649975585937</v>
      </c>
      <c r="I144" s="9"/>
      <c r="J144" s="3" t="n">
        <v>40695</v>
      </c>
      <c r="K144" s="48" t="n">
        <v>21.8762501525879</v>
      </c>
      <c r="L144" s="48" t="n">
        <v>27.2087501525879</v>
      </c>
      <c r="M144" s="48" t="n">
        <v>32.5412501525879</v>
      </c>
      <c r="O144" s="48" t="n">
        <v>16.3924995422363</v>
      </c>
      <c r="P144" s="48" t="n">
        <v>20.6924995422363</v>
      </c>
      <c r="Q144" s="48" t="n">
        <v>24.9924995422363</v>
      </c>
      <c r="S144" s="48" t="n">
        <v>0</v>
      </c>
      <c r="T144" s="48" t="n">
        <v>0</v>
      </c>
      <c r="U144" s="48" t="n">
        <v>0</v>
      </c>
      <c r="W144" s="48" t="n">
        <v>0.075524078497765</v>
      </c>
      <c r="X144" s="53" t="n">
        <v>0.15104815699553</v>
      </c>
      <c r="Y144" s="48" t="n">
        <v>0.226572235493295</v>
      </c>
      <c r="AA144" s="48" t="n">
        <v>0.0025</v>
      </c>
      <c r="AB144" s="48" t="n">
        <v>0.005</v>
      </c>
      <c r="AC144" s="48" t="n">
        <v>0.0075</v>
      </c>
      <c r="AE144" s="48" t="n">
        <v>-0.75</v>
      </c>
      <c r="AF144" s="53" t="n">
        <v>2.25</v>
      </c>
      <c r="AG144" s="48" t="n">
        <v>0.75</v>
      </c>
      <c r="AI144" s="48" t="n">
        <v>-0.1</v>
      </c>
      <c r="AJ144" s="48" t="n">
        <v>0.3</v>
      </c>
      <c r="AK144" s="48" t="n">
        <v>0.1</v>
      </c>
      <c r="AM144" s="9" t="n">
        <v>46</v>
      </c>
      <c r="AN144" s="50" t="n">
        <v>0.4</v>
      </c>
      <c r="BE144" s="3" t="n">
        <v>40695</v>
      </c>
      <c r="BF144" s="52" t="n">
        <v>0.9</v>
      </c>
    </row>
    <row r="145" customFormat="false" ht="12.75" hidden="false" customHeight="false" outlineLevel="0" collapsed="false">
      <c r="A145" s="44" t="n">
        <v>39845</v>
      </c>
      <c r="B145" s="45" t="n">
        <v>37.9249984741211</v>
      </c>
      <c r="C145" s="46" t="n">
        <v>39.3249984741211</v>
      </c>
      <c r="D145" s="45" t="n">
        <v>41.2249984741211</v>
      </c>
      <c r="E145" s="32"/>
      <c r="F145" s="47" t="n">
        <v>20.214997177124</v>
      </c>
      <c r="G145" s="47" t="n">
        <v>20.914997177124</v>
      </c>
      <c r="H145" s="47" t="n">
        <v>21.614997177124</v>
      </c>
      <c r="I145" s="9"/>
      <c r="J145" s="3" t="n">
        <v>40725</v>
      </c>
      <c r="K145" s="48" t="n">
        <v>37.9112495422363</v>
      </c>
      <c r="L145" s="48" t="n">
        <v>41.6612495422363</v>
      </c>
      <c r="M145" s="48" t="n">
        <v>45.4112495422363</v>
      </c>
      <c r="O145" s="48" t="n">
        <v>26.8474994659424</v>
      </c>
      <c r="P145" s="48" t="n">
        <v>31.1474994659424</v>
      </c>
      <c r="Q145" s="48" t="n">
        <v>35.4474994659424</v>
      </c>
      <c r="S145" s="48" t="n">
        <v>0</v>
      </c>
      <c r="T145" s="48" t="n">
        <v>0</v>
      </c>
      <c r="U145" s="48" t="n">
        <v>0</v>
      </c>
      <c r="W145" s="48" t="n">
        <v>0.0923072070528238</v>
      </c>
      <c r="X145" s="53" t="n">
        <v>0.184614414105648</v>
      </c>
      <c r="Y145" s="48" t="n">
        <v>0.276921621158472</v>
      </c>
      <c r="AA145" s="48" t="n">
        <v>0.0025</v>
      </c>
      <c r="AB145" s="48" t="n">
        <v>0.005</v>
      </c>
      <c r="AC145" s="48" t="n">
        <v>0.0075</v>
      </c>
      <c r="AE145" s="48" t="n">
        <v>-1</v>
      </c>
      <c r="AF145" s="53" t="n">
        <v>3</v>
      </c>
      <c r="AG145" s="48" t="n">
        <v>1</v>
      </c>
      <c r="AI145" s="48" t="n">
        <v>-0.1</v>
      </c>
      <c r="AJ145" s="48" t="n">
        <v>0.3</v>
      </c>
      <c r="AK145" s="48" t="n">
        <v>0.1</v>
      </c>
      <c r="AM145" s="9" t="n">
        <v>47</v>
      </c>
      <c r="AN145" s="50" t="n">
        <v>0.4</v>
      </c>
      <c r="BE145" s="3" t="n">
        <v>40725</v>
      </c>
      <c r="BF145" s="52" t="n">
        <v>0.9</v>
      </c>
    </row>
    <row r="146" customFormat="false" ht="12.75" hidden="false" customHeight="false" outlineLevel="0" collapsed="false">
      <c r="A146" s="44" t="n">
        <v>39873</v>
      </c>
      <c r="B146" s="45" t="n">
        <v>28.2500007629395</v>
      </c>
      <c r="C146" s="46" t="n">
        <v>29.0500007629395</v>
      </c>
      <c r="D146" s="45" t="n">
        <v>30.3500007629395</v>
      </c>
      <c r="E146" s="32"/>
      <c r="F146" s="47" t="n">
        <v>17.7649990844727</v>
      </c>
      <c r="G146" s="47" t="n">
        <v>18.1649990844727</v>
      </c>
      <c r="H146" s="47" t="n">
        <v>18.5649990844727</v>
      </c>
      <c r="I146" s="9"/>
      <c r="J146" s="3" t="n">
        <v>40756</v>
      </c>
      <c r="K146" s="48" t="n">
        <v>40.1724990844727</v>
      </c>
      <c r="L146" s="48" t="n">
        <v>43.9224990844727</v>
      </c>
      <c r="M146" s="48" t="n">
        <v>47.6724990844727</v>
      </c>
      <c r="O146" s="48" t="n">
        <v>28.3450008392334</v>
      </c>
      <c r="P146" s="48" t="n">
        <v>32.6450008392334</v>
      </c>
      <c r="Q146" s="48" t="n">
        <v>36.9450008392334</v>
      </c>
      <c r="S146" s="48" t="n">
        <v>0</v>
      </c>
      <c r="T146" s="48" t="n">
        <v>0</v>
      </c>
      <c r="U146" s="48" t="n">
        <v>0</v>
      </c>
      <c r="W146" s="48" t="n">
        <v>0.0923072070528238</v>
      </c>
      <c r="X146" s="53" t="n">
        <v>0.184614414105648</v>
      </c>
      <c r="Y146" s="48" t="n">
        <v>0.276921621158472</v>
      </c>
      <c r="AA146" s="48" t="n">
        <v>0.0025</v>
      </c>
      <c r="AB146" s="48" t="n">
        <v>0.005</v>
      </c>
      <c r="AC146" s="48" t="n">
        <v>0.0075</v>
      </c>
      <c r="AE146" s="48" t="n">
        <v>-1</v>
      </c>
      <c r="AF146" s="53" t="n">
        <v>3</v>
      </c>
      <c r="AG146" s="48" t="n">
        <v>1</v>
      </c>
      <c r="AI146" s="48" t="n">
        <v>-0.1</v>
      </c>
      <c r="AJ146" s="48" t="n">
        <v>0.3</v>
      </c>
      <c r="AK146" s="48" t="n">
        <v>0.1</v>
      </c>
      <c r="AM146" s="9" t="n">
        <v>47</v>
      </c>
      <c r="AN146" s="50" t="n">
        <v>0.4</v>
      </c>
      <c r="BE146" s="3" t="n">
        <v>40756</v>
      </c>
      <c r="BF146" s="52" t="n">
        <v>0.9</v>
      </c>
    </row>
    <row r="147" customFormat="false" ht="12.75" hidden="false" customHeight="false" outlineLevel="0" collapsed="false">
      <c r="A147" s="44" t="n">
        <v>39904</v>
      </c>
      <c r="B147" s="45" t="n">
        <v>28.1750007629395</v>
      </c>
      <c r="C147" s="46" t="n">
        <v>28.8250007629395</v>
      </c>
      <c r="D147" s="45" t="n">
        <v>29.9750007629395</v>
      </c>
      <c r="E147" s="32"/>
      <c r="F147" s="47" t="n">
        <v>18.0899990844727</v>
      </c>
      <c r="G147" s="47" t="n">
        <v>18.4149990844727</v>
      </c>
      <c r="H147" s="47" t="n">
        <v>18.7399990844727</v>
      </c>
      <c r="I147" s="9"/>
      <c r="J147" s="3" t="n">
        <v>40787</v>
      </c>
      <c r="K147" s="48" t="n">
        <v>19.8549995422363</v>
      </c>
      <c r="L147" s="48" t="n">
        <v>21.1299995422363</v>
      </c>
      <c r="M147" s="48" t="n">
        <v>22.4049995422363</v>
      </c>
      <c r="O147" s="48" t="n">
        <v>13.4100004196167</v>
      </c>
      <c r="P147" s="48" t="n">
        <v>17.7100004196167</v>
      </c>
      <c r="Q147" s="48" t="n">
        <v>22.0100004196167</v>
      </c>
      <c r="S147" s="48" t="n">
        <v>0</v>
      </c>
      <c r="T147" s="48" t="n">
        <v>0</v>
      </c>
      <c r="U147" s="48" t="n">
        <v>0</v>
      </c>
      <c r="W147" s="48" t="n">
        <v>0.0593342928714203</v>
      </c>
      <c r="X147" s="53" t="n">
        <v>0.118668585742841</v>
      </c>
      <c r="Y147" s="48" t="n">
        <v>0.178002878614261</v>
      </c>
      <c r="AA147" s="48" t="n">
        <v>0.0025</v>
      </c>
      <c r="AB147" s="48" t="n">
        <v>0.005</v>
      </c>
      <c r="AC147" s="48" t="n">
        <v>0.0075</v>
      </c>
      <c r="AE147" s="48" t="n">
        <v>-0.4</v>
      </c>
      <c r="AF147" s="53" t="n">
        <v>1.75</v>
      </c>
      <c r="AG147" s="48" t="n">
        <v>0.5</v>
      </c>
      <c r="AI147" s="48" t="n">
        <v>-0.1</v>
      </c>
      <c r="AJ147" s="48" t="n">
        <v>0.3</v>
      </c>
      <c r="AK147" s="48" t="n">
        <v>0.1</v>
      </c>
      <c r="AM147" s="9" t="n">
        <v>47</v>
      </c>
      <c r="AN147" s="50" t="n">
        <v>0.4</v>
      </c>
      <c r="BE147" s="3" t="n">
        <v>40787</v>
      </c>
      <c r="BF147" s="52" t="n">
        <v>0.9</v>
      </c>
    </row>
    <row r="148" customFormat="false" ht="12.75" hidden="false" customHeight="false" outlineLevel="0" collapsed="false">
      <c r="A148" s="44" t="n">
        <v>39934</v>
      </c>
      <c r="B148" s="45" t="n">
        <v>33.825</v>
      </c>
      <c r="C148" s="46" t="n">
        <v>36.075</v>
      </c>
      <c r="D148" s="45" t="n">
        <v>38.825</v>
      </c>
      <c r="E148" s="32"/>
      <c r="F148" s="47" t="n">
        <v>16.7399998474121</v>
      </c>
      <c r="G148" s="47" t="n">
        <v>17.8649998474121</v>
      </c>
      <c r="H148" s="47" t="n">
        <v>18.9899998474121</v>
      </c>
      <c r="I148" s="9"/>
      <c r="J148" s="3" t="n">
        <v>40817</v>
      </c>
      <c r="K148" s="48" t="n">
        <v>19.0194995880127</v>
      </c>
      <c r="L148" s="48" t="n">
        <v>20.1819995880127</v>
      </c>
      <c r="M148" s="48" t="n">
        <v>21.3444995880127</v>
      </c>
      <c r="O148" s="48" t="n">
        <v>13.5540004730225</v>
      </c>
      <c r="P148" s="48" t="n">
        <v>17.8540004730225</v>
      </c>
      <c r="Q148" s="48" t="n">
        <v>22.1540004730225</v>
      </c>
      <c r="S148" s="48" t="n">
        <v>0</v>
      </c>
      <c r="T148" s="48" t="n">
        <v>0</v>
      </c>
      <c r="U148" s="48" t="n">
        <v>0</v>
      </c>
      <c r="W148" s="48" t="n">
        <v>0.0419578213876472</v>
      </c>
      <c r="X148" s="53" t="n">
        <v>0.0839156427752944</v>
      </c>
      <c r="Y148" s="48" t="n">
        <v>0.125873464162942</v>
      </c>
      <c r="AA148" s="48" t="n">
        <v>0.0025</v>
      </c>
      <c r="AB148" s="48" t="n">
        <v>0.005</v>
      </c>
      <c r="AC148" s="48" t="n">
        <v>0.0075</v>
      </c>
      <c r="AE148" s="48" t="n">
        <v>-0.25</v>
      </c>
      <c r="AF148" s="53" t="n">
        <v>1.5</v>
      </c>
      <c r="AG148" s="48" t="n">
        <v>0.25</v>
      </c>
      <c r="AI148" s="48" t="n">
        <v>-0.1</v>
      </c>
      <c r="AJ148" s="48" t="n">
        <v>0.3</v>
      </c>
      <c r="AK148" s="48" t="n">
        <v>0.1</v>
      </c>
      <c r="AM148" s="9" t="n">
        <v>48</v>
      </c>
      <c r="AN148" s="50" t="n">
        <v>0.4</v>
      </c>
      <c r="BE148" s="3" t="n">
        <v>40817</v>
      </c>
      <c r="BF148" s="52" t="n">
        <v>0.9</v>
      </c>
    </row>
    <row r="149" customFormat="false" ht="12.75" hidden="false" customHeight="false" outlineLevel="0" collapsed="false">
      <c r="A149" s="44" t="n">
        <v>39965</v>
      </c>
      <c r="B149" s="45" t="n">
        <v>54.6399984741211</v>
      </c>
      <c r="C149" s="46" t="n">
        <v>61.0999984741211</v>
      </c>
      <c r="D149" s="45" t="n">
        <v>68.0599984741211</v>
      </c>
      <c r="E149" s="32"/>
      <c r="F149" s="47" t="n">
        <v>14.6950012207031</v>
      </c>
      <c r="G149" s="47" t="n">
        <v>17.9250012207031</v>
      </c>
      <c r="H149" s="47" t="n">
        <v>21.1550012207031</v>
      </c>
      <c r="I149" s="9"/>
      <c r="J149" s="3" t="n">
        <v>40848</v>
      </c>
      <c r="K149" s="48" t="n">
        <v>18.4812496185303</v>
      </c>
      <c r="L149" s="48" t="n">
        <v>19.6437496185303</v>
      </c>
      <c r="M149" s="48" t="n">
        <v>20.8062496185303</v>
      </c>
      <c r="O149" s="48" t="n">
        <v>14.0750003814697</v>
      </c>
      <c r="P149" s="48" t="n">
        <v>18.3750003814697</v>
      </c>
      <c r="Q149" s="48" t="n">
        <v>22.6750003814697</v>
      </c>
      <c r="S149" s="48" t="n">
        <v>0</v>
      </c>
      <c r="T149" s="48" t="n">
        <v>0</v>
      </c>
      <c r="U149" s="48" t="n">
        <v>0</v>
      </c>
      <c r="W149" s="48" t="n">
        <v>0.0419578213876472</v>
      </c>
      <c r="X149" s="53" t="n">
        <v>0.0839156427752944</v>
      </c>
      <c r="Y149" s="48" t="n">
        <v>0.125873464162942</v>
      </c>
      <c r="AA149" s="48" t="n">
        <v>0.0025</v>
      </c>
      <c r="AB149" s="48" t="n">
        <v>0.005</v>
      </c>
      <c r="AC149" s="48" t="n">
        <v>0.0075</v>
      </c>
      <c r="AE149" s="48" t="n">
        <v>-0.25</v>
      </c>
      <c r="AF149" s="53" t="n">
        <v>1.5</v>
      </c>
      <c r="AG149" s="48" t="n">
        <v>0.25</v>
      </c>
      <c r="AI149" s="48" t="n">
        <v>-0.1</v>
      </c>
      <c r="AJ149" s="48" t="n">
        <v>0.3</v>
      </c>
      <c r="AK149" s="48" t="n">
        <v>0.1</v>
      </c>
      <c r="AM149" s="9" t="n">
        <v>48</v>
      </c>
      <c r="AN149" s="50" t="n">
        <v>0.4</v>
      </c>
      <c r="BE149" s="3" t="n">
        <v>40848</v>
      </c>
      <c r="BF149" s="52" t="n">
        <v>0.9</v>
      </c>
    </row>
    <row r="150" customFormat="false" ht="12.75" hidden="false" customHeight="false" outlineLevel="0" collapsed="false">
      <c r="A150" s="44" t="n">
        <v>39995</v>
      </c>
      <c r="B150" s="45" t="n">
        <v>99.6999969482422</v>
      </c>
      <c r="C150" s="46" t="n">
        <v>104.699996948242</v>
      </c>
      <c r="D150" s="45" t="n">
        <v>110.199996948242</v>
      </c>
      <c r="E150" s="32"/>
      <c r="F150" s="47" t="n">
        <v>15.1149998474121</v>
      </c>
      <c r="G150" s="47" t="n">
        <v>17.6149998474121</v>
      </c>
      <c r="H150" s="47" t="n">
        <v>20.1149998474121</v>
      </c>
      <c r="I150" s="9"/>
      <c r="J150" s="3" t="n">
        <v>40878</v>
      </c>
      <c r="K150" s="48" t="n">
        <v>22.626250076294</v>
      </c>
      <c r="L150" s="48" t="n">
        <v>23.788750076294</v>
      </c>
      <c r="M150" s="48" t="n">
        <v>24.951250076294</v>
      </c>
      <c r="O150" s="48" t="n">
        <v>14.5250001907349</v>
      </c>
      <c r="P150" s="48" t="n">
        <v>18.8250001907349</v>
      </c>
      <c r="Q150" s="48" t="n">
        <v>23.1250001907349</v>
      </c>
      <c r="S150" s="48" t="n">
        <v>0</v>
      </c>
      <c r="T150" s="48" t="n">
        <v>0</v>
      </c>
      <c r="U150" s="48" t="n">
        <v>0</v>
      </c>
      <c r="W150" s="48" t="n">
        <v>0.0419578213876472</v>
      </c>
      <c r="X150" s="53" t="n">
        <v>0.0839156427752944</v>
      </c>
      <c r="Y150" s="48" t="n">
        <v>0.125873464162942</v>
      </c>
      <c r="AA150" s="48" t="n">
        <v>0.0025</v>
      </c>
      <c r="AB150" s="48" t="n">
        <v>0.005</v>
      </c>
      <c r="AC150" s="48" t="n">
        <v>0.0075</v>
      </c>
      <c r="AE150" s="48" t="n">
        <v>-0.25</v>
      </c>
      <c r="AF150" s="53" t="n">
        <v>1.5</v>
      </c>
      <c r="AG150" s="48" t="n">
        <v>0.25</v>
      </c>
      <c r="AI150" s="48" t="n">
        <v>-0.1</v>
      </c>
      <c r="AJ150" s="48" t="n">
        <v>0.3</v>
      </c>
      <c r="AK150" s="48" t="n">
        <v>0.1</v>
      </c>
      <c r="AM150" s="9" t="n">
        <v>48</v>
      </c>
      <c r="AN150" s="50" t="n">
        <v>0.4</v>
      </c>
      <c r="BE150" s="3" t="n">
        <v>40878</v>
      </c>
      <c r="BF150" s="52" t="n">
        <v>0.9</v>
      </c>
    </row>
    <row r="151" customFormat="false" ht="12.75" hidden="false" customHeight="false" outlineLevel="0" collapsed="false">
      <c r="A151" s="44" t="n">
        <v>40026</v>
      </c>
      <c r="B151" s="45" t="n">
        <v>86.6999969482422</v>
      </c>
      <c r="C151" s="46" t="n">
        <v>91.6999969482422</v>
      </c>
      <c r="D151" s="45" t="n">
        <v>97.1999969482422</v>
      </c>
      <c r="E151" s="32"/>
      <c r="F151" s="47" t="n">
        <v>15.1649990844727</v>
      </c>
      <c r="G151" s="47" t="n">
        <v>17.6649990844727</v>
      </c>
      <c r="H151" s="47" t="n">
        <v>20.1649990844727</v>
      </c>
      <c r="I151" s="9"/>
      <c r="J151" s="3" t="n">
        <v>40909</v>
      </c>
      <c r="K151" s="48" t="n">
        <v>33.0237487792969</v>
      </c>
      <c r="L151" s="48" t="n">
        <v>34.4987487792969</v>
      </c>
      <c r="M151" s="48" t="n">
        <v>35.7737487792969</v>
      </c>
      <c r="O151" s="48" t="n">
        <v>28.7025005340576</v>
      </c>
      <c r="P151" s="48" t="n">
        <v>33.0025005340576</v>
      </c>
      <c r="Q151" s="48" t="n">
        <v>37.3025005340576</v>
      </c>
      <c r="S151" s="48" t="n">
        <v>0.25</v>
      </c>
      <c r="T151" s="48" t="n">
        <v>0.25</v>
      </c>
      <c r="U151" s="48" t="n">
        <v>0.25</v>
      </c>
      <c r="W151" s="48" t="n">
        <v>0.0644472136514261</v>
      </c>
      <c r="X151" s="53" t="n">
        <v>0.128894427302852</v>
      </c>
      <c r="Y151" s="48" t="n">
        <v>0.193341640954278</v>
      </c>
      <c r="AA151" s="48" t="n">
        <v>0.0025</v>
      </c>
      <c r="AB151" s="48" t="n">
        <v>0.005</v>
      </c>
      <c r="AC151" s="48" t="n">
        <v>0.0075</v>
      </c>
      <c r="AE151" s="48" t="n">
        <v>-0.4</v>
      </c>
      <c r="AF151" s="53" t="n">
        <v>1.75</v>
      </c>
      <c r="AG151" s="48" t="n">
        <v>0.5</v>
      </c>
      <c r="AI151" s="48" t="n">
        <v>-0.1</v>
      </c>
      <c r="AJ151" s="48" t="n">
        <v>0.3</v>
      </c>
      <c r="AK151" s="48" t="n">
        <v>0.1</v>
      </c>
      <c r="AM151" s="9" t="n">
        <v>49</v>
      </c>
      <c r="AN151" s="50" t="n">
        <v>0.4</v>
      </c>
      <c r="BE151" s="3" t="n">
        <v>40909</v>
      </c>
      <c r="BF151" s="52" t="n">
        <v>0.9</v>
      </c>
    </row>
    <row r="152" customFormat="false" ht="12.75" hidden="false" customHeight="false" outlineLevel="0" collapsed="false">
      <c r="A152" s="44" t="n">
        <v>40057</v>
      </c>
      <c r="B152" s="45" t="n">
        <v>34.4249984741211</v>
      </c>
      <c r="C152" s="46" t="n">
        <v>35.9249984741211</v>
      </c>
      <c r="D152" s="45" t="n">
        <v>37.9249984741211</v>
      </c>
      <c r="E152" s="32"/>
      <c r="F152" s="47" t="n">
        <v>16.9149990844727</v>
      </c>
      <c r="G152" s="47" t="n">
        <v>17.6649990844727</v>
      </c>
      <c r="H152" s="47" t="n">
        <v>18.4149990844727</v>
      </c>
      <c r="I152" s="9"/>
      <c r="J152" s="3" t="n">
        <v>40940</v>
      </c>
      <c r="K152" s="48" t="n">
        <v>32.0212501525879</v>
      </c>
      <c r="L152" s="48" t="n">
        <v>33.4962501525879</v>
      </c>
      <c r="M152" s="48" t="n">
        <v>34.7712501525879</v>
      </c>
      <c r="O152" s="48" t="n">
        <v>26.6974994659424</v>
      </c>
      <c r="P152" s="48" t="n">
        <v>30.9974994659424</v>
      </c>
      <c r="Q152" s="48" t="n">
        <v>35.2974994659424</v>
      </c>
      <c r="S152" s="48" t="n">
        <v>0</v>
      </c>
      <c r="T152" s="48" t="n">
        <v>0</v>
      </c>
      <c r="U152" s="48" t="n">
        <v>0</v>
      </c>
      <c r="W152" s="48" t="n">
        <v>0.0644472136514261</v>
      </c>
      <c r="X152" s="53" t="n">
        <v>0.128894427302852</v>
      </c>
      <c r="Y152" s="48" t="n">
        <v>0.193341640954278</v>
      </c>
      <c r="AA152" s="48" t="n">
        <v>0.0025</v>
      </c>
      <c r="AB152" s="48" t="n">
        <v>0.005</v>
      </c>
      <c r="AC152" s="48" t="n">
        <v>0.0075</v>
      </c>
      <c r="AE152" s="48" t="n">
        <v>-0.4</v>
      </c>
      <c r="AF152" s="53" t="n">
        <v>1.75</v>
      </c>
      <c r="AG152" s="48" t="n">
        <v>0.5</v>
      </c>
      <c r="AI152" s="48" t="n">
        <v>-0.1</v>
      </c>
      <c r="AJ152" s="48" t="n">
        <v>0.3</v>
      </c>
      <c r="AK152" s="48" t="n">
        <v>0.1</v>
      </c>
      <c r="AM152" s="9" t="n">
        <v>49</v>
      </c>
      <c r="AN152" s="50" t="n">
        <v>0.4</v>
      </c>
      <c r="BE152" s="3" t="n">
        <v>40940</v>
      </c>
      <c r="BF152" s="52" t="n">
        <v>0.9</v>
      </c>
    </row>
    <row r="153" customFormat="false" ht="12.75" hidden="false" customHeight="false" outlineLevel="0" collapsed="false">
      <c r="A153" s="44" t="n">
        <v>40087</v>
      </c>
      <c r="B153" s="45" t="n">
        <v>28.2250003814697</v>
      </c>
      <c r="C153" s="46" t="n">
        <v>29.5750003814697</v>
      </c>
      <c r="D153" s="45" t="n">
        <v>31.4250003814697</v>
      </c>
      <c r="E153" s="32"/>
      <c r="F153" s="47" t="n">
        <v>16.6899998474121</v>
      </c>
      <c r="G153" s="47" t="n">
        <v>17.3649998474121</v>
      </c>
      <c r="H153" s="47" t="n">
        <v>18.0399998474121</v>
      </c>
      <c r="I153" s="9"/>
      <c r="J153" s="3" t="n">
        <v>40969</v>
      </c>
      <c r="K153" s="48" t="n">
        <v>21.1222496032715</v>
      </c>
      <c r="L153" s="48" t="n">
        <v>21.8347496032715</v>
      </c>
      <c r="M153" s="48" t="n">
        <v>22.5472496032715</v>
      </c>
      <c r="O153" s="48" t="n">
        <v>17.1644989013672</v>
      </c>
      <c r="P153" s="48" t="n">
        <v>21.4644989013672</v>
      </c>
      <c r="Q153" s="48" t="n">
        <v>25.7644989013672</v>
      </c>
      <c r="S153" s="48" t="n">
        <v>0</v>
      </c>
      <c r="T153" s="48" t="n">
        <v>0</v>
      </c>
      <c r="U153" s="48" t="n">
        <v>0</v>
      </c>
      <c r="W153" s="48" t="n">
        <v>0.0537060113761884</v>
      </c>
      <c r="X153" s="53" t="n">
        <v>0.107412022752377</v>
      </c>
      <c r="Y153" s="48" t="n">
        <v>0.161118034128565</v>
      </c>
      <c r="AA153" s="48" t="n">
        <v>0.0025</v>
      </c>
      <c r="AB153" s="48" t="n">
        <v>0.005</v>
      </c>
      <c r="AC153" s="48" t="n">
        <v>0.0075</v>
      </c>
      <c r="AE153" s="48" t="n">
        <v>-0.25</v>
      </c>
      <c r="AF153" s="53" t="n">
        <v>1.1</v>
      </c>
      <c r="AG153" s="48" t="n">
        <v>0.25</v>
      </c>
      <c r="AI153" s="48" t="n">
        <v>-0.1</v>
      </c>
      <c r="AJ153" s="48" t="n">
        <v>0.3</v>
      </c>
      <c r="AK153" s="48" t="n">
        <v>0.1</v>
      </c>
      <c r="AM153" s="9" t="n">
        <v>49</v>
      </c>
      <c r="AN153" s="50" t="n">
        <v>0.4</v>
      </c>
      <c r="BE153" s="3" t="n">
        <v>40969</v>
      </c>
      <c r="BF153" s="52" t="n">
        <v>0.9</v>
      </c>
    </row>
    <row r="154" customFormat="false" ht="12.75" hidden="false" customHeight="false" outlineLevel="0" collapsed="false">
      <c r="A154" s="44" t="n">
        <v>40118</v>
      </c>
      <c r="B154" s="45" t="n">
        <v>27.8974990844727</v>
      </c>
      <c r="C154" s="46" t="n">
        <v>29.2474990844727</v>
      </c>
      <c r="D154" s="45" t="n">
        <v>31.0974990844727</v>
      </c>
      <c r="E154" s="32"/>
      <c r="F154" s="47" t="n">
        <v>14.9399998474121</v>
      </c>
      <c r="G154" s="47" t="n">
        <v>15.6149998474121</v>
      </c>
      <c r="H154" s="47" t="n">
        <v>16.2899998474121</v>
      </c>
      <c r="I154" s="9"/>
      <c r="J154" s="3" t="n">
        <v>41000</v>
      </c>
      <c r="K154" s="48" t="n">
        <v>21.9175003051758</v>
      </c>
      <c r="L154" s="48" t="n">
        <v>22.5175003051758</v>
      </c>
      <c r="M154" s="48" t="n">
        <v>23.1175003051758</v>
      </c>
      <c r="O154" s="48" t="n">
        <v>16.9349990844727</v>
      </c>
      <c r="P154" s="48" t="n">
        <v>21.2349990844727</v>
      </c>
      <c r="Q154" s="48" t="n">
        <v>25.5349990844727</v>
      </c>
      <c r="S154" s="48" t="n">
        <v>0</v>
      </c>
      <c r="T154" s="48" t="n">
        <v>0</v>
      </c>
      <c r="U154" s="48" t="n">
        <v>0</v>
      </c>
      <c r="W154" s="48" t="n">
        <v>0.051020710807379</v>
      </c>
      <c r="X154" s="53" t="n">
        <v>0.102041421614758</v>
      </c>
      <c r="Y154" s="48" t="n">
        <v>0.153062132422137</v>
      </c>
      <c r="AA154" s="48" t="n">
        <v>0.0025</v>
      </c>
      <c r="AB154" s="48" t="n">
        <v>0.005</v>
      </c>
      <c r="AC154" s="48" t="n">
        <v>0.0075</v>
      </c>
      <c r="AE154" s="48" t="n">
        <v>-0.25</v>
      </c>
      <c r="AF154" s="53" t="n">
        <v>1.2</v>
      </c>
      <c r="AG154" s="48" t="n">
        <v>0.25</v>
      </c>
      <c r="AI154" s="48" t="n">
        <v>-0.1</v>
      </c>
      <c r="AJ154" s="48" t="n">
        <v>0.3</v>
      </c>
      <c r="AK154" s="48" t="n">
        <v>0.1</v>
      </c>
      <c r="AM154" s="9" t="n">
        <v>50</v>
      </c>
      <c r="AN154" s="50" t="n">
        <v>0.4</v>
      </c>
      <c r="BE154" s="3" t="n">
        <v>41000</v>
      </c>
      <c r="BF154" s="52" t="n">
        <v>0.9</v>
      </c>
    </row>
    <row r="155" customFormat="false" ht="12.75" hidden="false" customHeight="false" outlineLevel="0" collapsed="false">
      <c r="A155" s="44" t="n">
        <v>40148</v>
      </c>
      <c r="B155" s="45" t="n">
        <v>29.6499996185303</v>
      </c>
      <c r="C155" s="46" t="n">
        <v>30.9999996185303</v>
      </c>
      <c r="D155" s="45" t="n">
        <v>32.8499996185303</v>
      </c>
      <c r="E155" s="32"/>
      <c r="F155" s="47" t="n">
        <v>15.7900002288818</v>
      </c>
      <c r="G155" s="47" t="n">
        <v>16.4650002288818</v>
      </c>
      <c r="H155" s="47" t="n">
        <v>17.1400002288818</v>
      </c>
      <c r="I155" s="9"/>
      <c r="J155" s="3" t="n">
        <v>41030</v>
      </c>
      <c r="K155" s="48" t="n">
        <v>20.772500076294</v>
      </c>
      <c r="L155" s="48" t="n">
        <v>22.632500076294</v>
      </c>
      <c r="M155" s="48" t="n">
        <v>24.492500076294</v>
      </c>
      <c r="O155" s="48" t="n">
        <v>17.4649997711182</v>
      </c>
      <c r="P155" s="48" t="n">
        <v>21.7649997711182</v>
      </c>
      <c r="Q155" s="48" t="n">
        <v>26.0649997711182</v>
      </c>
      <c r="S155" s="48" t="n">
        <v>0</v>
      </c>
      <c r="T155" s="48" t="n">
        <v>0</v>
      </c>
      <c r="U155" s="48" t="n">
        <v>0</v>
      </c>
      <c r="W155" s="48" t="n">
        <v>0.0563913119449978</v>
      </c>
      <c r="X155" s="53" t="n">
        <v>0.112782623889996</v>
      </c>
      <c r="Y155" s="48" t="n">
        <v>0.169173935834994</v>
      </c>
      <c r="AA155" s="48" t="n">
        <v>0.0025</v>
      </c>
      <c r="AB155" s="48" t="n">
        <v>0.005</v>
      </c>
      <c r="AC155" s="48" t="n">
        <v>0.0075</v>
      </c>
      <c r="AE155" s="48" t="n">
        <v>-0.25</v>
      </c>
      <c r="AF155" s="53" t="n">
        <v>2</v>
      </c>
      <c r="AG155" s="48" t="n">
        <v>0.25</v>
      </c>
      <c r="AI155" s="48" t="n">
        <v>-0.1</v>
      </c>
      <c r="AJ155" s="48" t="n">
        <v>0.3</v>
      </c>
      <c r="AK155" s="48" t="n">
        <v>0.1</v>
      </c>
      <c r="AM155" s="9" t="n">
        <v>50</v>
      </c>
      <c r="AN155" s="50" t="n">
        <v>0.4</v>
      </c>
      <c r="BE155" s="3" t="n">
        <v>41030</v>
      </c>
      <c r="BF155" s="52" t="n">
        <v>0.9</v>
      </c>
    </row>
    <row r="156" customFormat="false" ht="12.75" hidden="false" customHeight="false" outlineLevel="0" collapsed="false">
      <c r="A156" s="44" t="n">
        <v>40179</v>
      </c>
      <c r="B156" s="45" t="n">
        <v>38.3249984741211</v>
      </c>
      <c r="C156" s="46" t="n">
        <v>39.8249984741211</v>
      </c>
      <c r="D156" s="45" t="n">
        <v>41.8249984741211</v>
      </c>
      <c r="E156" s="32"/>
      <c r="F156" s="47" t="n">
        <v>20.2649975585938</v>
      </c>
      <c r="G156" s="47" t="n">
        <v>21.0149975585938</v>
      </c>
      <c r="H156" s="47" t="n">
        <v>21.7649975585938</v>
      </c>
      <c r="I156" s="9"/>
      <c r="J156" s="3" t="n">
        <v>41061</v>
      </c>
      <c r="K156" s="48" t="n">
        <v>21.8762501525879</v>
      </c>
      <c r="L156" s="48" t="n">
        <v>27.2087501525879</v>
      </c>
      <c r="M156" s="48" t="n">
        <v>32.5412501525879</v>
      </c>
      <c r="O156" s="48" t="n">
        <v>16.3924995422363</v>
      </c>
      <c r="P156" s="48" t="n">
        <v>20.6924995422363</v>
      </c>
      <c r="Q156" s="48" t="n">
        <v>24.9924995422363</v>
      </c>
      <c r="S156" s="48" t="n">
        <v>0</v>
      </c>
      <c r="T156" s="48" t="n">
        <v>0</v>
      </c>
      <c r="U156" s="48" t="n">
        <v>0</v>
      </c>
      <c r="W156" s="48" t="n">
        <v>0.0725031153578544</v>
      </c>
      <c r="X156" s="53" t="n">
        <v>0.145006230715709</v>
      </c>
      <c r="Y156" s="48" t="n">
        <v>0.217509346073563</v>
      </c>
      <c r="AA156" s="48" t="n">
        <v>0.0025</v>
      </c>
      <c r="AB156" s="48" t="n">
        <v>0.005</v>
      </c>
      <c r="AC156" s="48" t="n">
        <v>0.0075</v>
      </c>
      <c r="AE156" s="48" t="n">
        <v>-0.75</v>
      </c>
      <c r="AF156" s="53" t="n">
        <v>2.25</v>
      </c>
      <c r="AG156" s="48" t="n">
        <v>0.75</v>
      </c>
      <c r="AI156" s="48" t="n">
        <v>-0.1</v>
      </c>
      <c r="AJ156" s="48" t="n">
        <v>0.3</v>
      </c>
      <c r="AK156" s="48" t="n">
        <v>0.1</v>
      </c>
      <c r="AM156" s="9" t="n">
        <v>50</v>
      </c>
      <c r="AN156" s="50" t="n">
        <v>0.4</v>
      </c>
      <c r="BE156" s="3" t="n">
        <v>41061</v>
      </c>
      <c r="BF156" s="52" t="n">
        <v>0.9</v>
      </c>
    </row>
    <row r="157" customFormat="false" ht="12.75" hidden="false" customHeight="false" outlineLevel="0" collapsed="false">
      <c r="A157" s="44" t="n">
        <v>40210</v>
      </c>
      <c r="B157" s="45" t="n">
        <v>38.3249984741211</v>
      </c>
      <c r="C157" s="46" t="n">
        <v>39.8249984741211</v>
      </c>
      <c r="D157" s="45" t="n">
        <v>41.8249984741211</v>
      </c>
      <c r="E157" s="32"/>
      <c r="F157" s="47" t="n">
        <v>20.414997177124</v>
      </c>
      <c r="G157" s="47" t="n">
        <v>21.164997177124</v>
      </c>
      <c r="H157" s="47" t="n">
        <v>21.914997177124</v>
      </c>
      <c r="I157" s="9"/>
      <c r="J157" s="3" t="n">
        <v>41091</v>
      </c>
      <c r="K157" s="48" t="n">
        <v>37.9112495422363</v>
      </c>
      <c r="L157" s="48" t="n">
        <v>41.6612495422363</v>
      </c>
      <c r="M157" s="48" t="n">
        <v>45.4112495422363</v>
      </c>
      <c r="O157" s="48" t="n">
        <v>26.8474994659424</v>
      </c>
      <c r="P157" s="48" t="n">
        <v>31.1474994659424</v>
      </c>
      <c r="Q157" s="48" t="n">
        <v>35.4474994659424</v>
      </c>
      <c r="S157" s="48" t="n">
        <v>0</v>
      </c>
      <c r="T157" s="48" t="n">
        <v>0</v>
      </c>
      <c r="U157" s="48" t="n">
        <v>0</v>
      </c>
      <c r="W157" s="48" t="n">
        <v>0.0886149187707109</v>
      </c>
      <c r="X157" s="53" t="n">
        <v>0.177229837541422</v>
      </c>
      <c r="Y157" s="48" t="n">
        <v>0.265844756312133</v>
      </c>
      <c r="AA157" s="48" t="n">
        <v>0.0025</v>
      </c>
      <c r="AB157" s="48" t="n">
        <v>0.005</v>
      </c>
      <c r="AC157" s="48" t="n">
        <v>0.0075</v>
      </c>
      <c r="AE157" s="48" t="n">
        <v>-1</v>
      </c>
      <c r="AF157" s="53" t="n">
        <v>3</v>
      </c>
      <c r="AG157" s="48" t="n">
        <v>1</v>
      </c>
      <c r="AI157" s="48" t="n">
        <v>-0.1</v>
      </c>
      <c r="AJ157" s="48" t="n">
        <v>0.3</v>
      </c>
      <c r="AK157" s="48" t="n">
        <v>0.1</v>
      </c>
      <c r="AM157" s="9" t="n">
        <v>51</v>
      </c>
      <c r="AN157" s="50" t="n">
        <v>0.4</v>
      </c>
      <c r="BE157" s="3" t="n">
        <v>41091</v>
      </c>
      <c r="BF157" s="52" t="n">
        <v>0.9</v>
      </c>
    </row>
    <row r="158" customFormat="false" ht="12.75" hidden="false" customHeight="false" outlineLevel="0" collapsed="false">
      <c r="A158" s="44" t="n">
        <v>40238</v>
      </c>
      <c r="B158" s="45" t="n">
        <v>28.7000007629395</v>
      </c>
      <c r="C158" s="46" t="n">
        <v>29.5500007629395</v>
      </c>
      <c r="D158" s="45" t="n">
        <v>30.9000007629395</v>
      </c>
      <c r="E158" s="32"/>
      <c r="F158" s="47" t="n">
        <v>17.9899990844727</v>
      </c>
      <c r="G158" s="47" t="n">
        <v>18.4149990844727</v>
      </c>
      <c r="H158" s="47" t="n">
        <v>18.8399990844727</v>
      </c>
      <c r="I158" s="9"/>
      <c r="J158" s="3" t="n">
        <v>41122</v>
      </c>
      <c r="K158" s="48" t="n">
        <v>40.1724990844727</v>
      </c>
      <c r="L158" s="48" t="n">
        <v>43.9224990844727</v>
      </c>
      <c r="M158" s="48" t="n">
        <v>47.6724990844727</v>
      </c>
      <c r="O158" s="48" t="n">
        <v>28.3450008392334</v>
      </c>
      <c r="P158" s="48" t="n">
        <v>32.6450008392334</v>
      </c>
      <c r="Q158" s="48" t="n">
        <v>36.9450008392334</v>
      </c>
      <c r="S158" s="48" t="n">
        <v>0</v>
      </c>
      <c r="T158" s="48" t="n">
        <v>0</v>
      </c>
      <c r="U158" s="48" t="n">
        <v>0</v>
      </c>
      <c r="W158" s="48" t="n">
        <v>0.0886149187707109</v>
      </c>
      <c r="X158" s="53" t="n">
        <v>0.177229837541422</v>
      </c>
      <c r="Y158" s="48" t="n">
        <v>0.265844756312133</v>
      </c>
      <c r="AA158" s="48" t="n">
        <v>0.0025</v>
      </c>
      <c r="AB158" s="48" t="n">
        <v>0.005</v>
      </c>
      <c r="AC158" s="48" t="n">
        <v>0.0075</v>
      </c>
      <c r="AE158" s="48" t="n">
        <v>-1</v>
      </c>
      <c r="AF158" s="53" t="n">
        <v>3</v>
      </c>
      <c r="AG158" s="48" t="n">
        <v>1</v>
      </c>
      <c r="AI158" s="48" t="n">
        <v>-0.1</v>
      </c>
      <c r="AJ158" s="48" t="n">
        <v>0.3</v>
      </c>
      <c r="AK158" s="48" t="n">
        <v>0.1</v>
      </c>
      <c r="AM158" s="9" t="n">
        <v>51</v>
      </c>
      <c r="AN158" s="50" t="n">
        <v>0.4</v>
      </c>
      <c r="BE158" s="3" t="n">
        <v>41122</v>
      </c>
      <c r="BF158" s="52" t="n">
        <v>0.9</v>
      </c>
    </row>
    <row r="159" customFormat="false" ht="12.75" hidden="false" customHeight="false" outlineLevel="0" collapsed="false">
      <c r="A159" s="44" t="n">
        <v>40269</v>
      </c>
      <c r="B159" s="45" t="n">
        <v>28.6250007629395</v>
      </c>
      <c r="C159" s="46" t="n">
        <v>29.3250007629395</v>
      </c>
      <c r="D159" s="45" t="n">
        <v>30.5250007629395</v>
      </c>
      <c r="E159" s="32"/>
      <c r="F159" s="47" t="n">
        <v>18.3149990844727</v>
      </c>
      <c r="G159" s="47" t="n">
        <v>18.6649990844727</v>
      </c>
      <c r="H159" s="47" t="n">
        <v>19.0149990844727</v>
      </c>
      <c r="I159" s="9"/>
      <c r="J159" s="3" t="n">
        <v>41153</v>
      </c>
      <c r="K159" s="48" t="n">
        <v>19.7799995422363</v>
      </c>
      <c r="L159" s="48" t="n">
        <v>21.1299995422363</v>
      </c>
      <c r="M159" s="48" t="n">
        <v>22.4799995422363</v>
      </c>
      <c r="O159" s="48" t="n">
        <v>13.4100004196167</v>
      </c>
      <c r="P159" s="48" t="n">
        <v>17.7100004196167</v>
      </c>
      <c r="Q159" s="48" t="n">
        <v>22.0100004196167</v>
      </c>
      <c r="S159" s="48" t="n">
        <v>0</v>
      </c>
      <c r="T159" s="48" t="n">
        <v>0</v>
      </c>
      <c r="U159" s="48" t="n">
        <v>0</v>
      </c>
      <c r="W159" s="48" t="n">
        <v>0.0569609211565635</v>
      </c>
      <c r="X159" s="53" t="n">
        <v>0.113921842313127</v>
      </c>
      <c r="Y159" s="48" t="n">
        <v>0.17088276346969</v>
      </c>
      <c r="AA159" s="48" t="n">
        <v>0.0025</v>
      </c>
      <c r="AB159" s="48" t="n">
        <v>0.005</v>
      </c>
      <c r="AC159" s="48" t="n">
        <v>0.0075</v>
      </c>
      <c r="AE159" s="48" t="n">
        <v>-0.4</v>
      </c>
      <c r="AF159" s="53" t="n">
        <v>1.75</v>
      </c>
      <c r="AG159" s="48" t="n">
        <v>0.5</v>
      </c>
      <c r="AI159" s="48" t="n">
        <v>-0.1</v>
      </c>
      <c r="AJ159" s="48" t="n">
        <v>0.3</v>
      </c>
      <c r="AK159" s="48" t="n">
        <v>0.1</v>
      </c>
      <c r="AM159" s="9" t="n">
        <v>51</v>
      </c>
      <c r="AN159" s="50" t="n">
        <v>0.4</v>
      </c>
      <c r="BE159" s="3" t="n">
        <v>41153</v>
      </c>
      <c r="BF159" s="52" t="n">
        <v>0.9</v>
      </c>
    </row>
    <row r="160" customFormat="false" ht="12.75" hidden="false" customHeight="false" outlineLevel="0" collapsed="false">
      <c r="A160" s="44" t="n">
        <v>40299</v>
      </c>
      <c r="B160" s="45" t="n">
        <v>34.845</v>
      </c>
      <c r="C160" s="46" t="n">
        <v>37.325</v>
      </c>
      <c r="D160" s="45" t="n">
        <v>40.305</v>
      </c>
      <c r="E160" s="32"/>
      <c r="F160" s="47" t="n">
        <v>16.8749998474121</v>
      </c>
      <c r="G160" s="47" t="n">
        <v>18.1149998474121</v>
      </c>
      <c r="H160" s="47" t="n">
        <v>19.3549998474121</v>
      </c>
      <c r="I160" s="9"/>
      <c r="J160" s="3" t="n">
        <v>41183</v>
      </c>
      <c r="K160" s="48" t="n">
        <v>18.9444995880127</v>
      </c>
      <c r="L160" s="48" t="n">
        <v>20.1819995880127</v>
      </c>
      <c r="M160" s="48" t="n">
        <v>21.4194995880127</v>
      </c>
      <c r="O160" s="48" t="n">
        <v>13.5540004730225</v>
      </c>
      <c r="P160" s="48" t="n">
        <v>17.8540004730225</v>
      </c>
      <c r="Q160" s="48" t="n">
        <v>22.1540004730225</v>
      </c>
      <c r="S160" s="48" t="n">
        <v>0</v>
      </c>
      <c r="T160" s="48" t="n">
        <v>0</v>
      </c>
      <c r="U160" s="48" t="n">
        <v>0</v>
      </c>
      <c r="W160" s="48" t="n">
        <v>0.0402795085321413</v>
      </c>
      <c r="X160" s="53" t="n">
        <v>0.0805590170642826</v>
      </c>
      <c r="Y160" s="48" t="n">
        <v>0.120838525596424</v>
      </c>
      <c r="AA160" s="48" t="n">
        <v>0.0025</v>
      </c>
      <c r="AB160" s="48" t="n">
        <v>0.005</v>
      </c>
      <c r="AC160" s="48" t="n">
        <v>0.0075</v>
      </c>
      <c r="AE160" s="48" t="n">
        <v>-0.25</v>
      </c>
      <c r="AF160" s="53" t="n">
        <v>1.5</v>
      </c>
      <c r="AG160" s="48" t="n">
        <v>0.25</v>
      </c>
      <c r="AI160" s="48" t="n">
        <v>-0.1</v>
      </c>
      <c r="AJ160" s="48" t="n">
        <v>0.3</v>
      </c>
      <c r="AK160" s="48" t="n">
        <v>0.1</v>
      </c>
      <c r="AM160" s="9" t="n">
        <v>52</v>
      </c>
      <c r="AN160" s="50" t="n">
        <v>0.4</v>
      </c>
      <c r="BE160" s="3" t="n">
        <v>41183</v>
      </c>
      <c r="BF160" s="52" t="n">
        <v>0.9</v>
      </c>
    </row>
    <row r="161" customFormat="false" ht="12.75" hidden="false" customHeight="false" outlineLevel="0" collapsed="false">
      <c r="A161" s="44" t="n">
        <v>40330</v>
      </c>
      <c r="B161" s="45" t="n">
        <v>55.2399984741211</v>
      </c>
      <c r="C161" s="46" t="n">
        <v>62.3499984741211</v>
      </c>
      <c r="D161" s="45" t="n">
        <v>69.9599984741211</v>
      </c>
      <c r="E161" s="32"/>
      <c r="F161" s="47" t="n">
        <v>14.6200012207031</v>
      </c>
      <c r="G161" s="47" t="n">
        <v>18.1750012207031</v>
      </c>
      <c r="H161" s="47" t="n">
        <v>21.7300012207031</v>
      </c>
      <c r="I161" s="9"/>
      <c r="J161" s="3" t="n">
        <v>41214</v>
      </c>
      <c r="K161" s="48" t="n">
        <v>18.4062496185303</v>
      </c>
      <c r="L161" s="48" t="n">
        <v>19.6437496185303</v>
      </c>
      <c r="M161" s="48" t="n">
        <v>20.8812496185303</v>
      </c>
      <c r="O161" s="48" t="n">
        <v>14.0750003814697</v>
      </c>
      <c r="P161" s="48" t="n">
        <v>18.3750003814697</v>
      </c>
      <c r="Q161" s="48" t="n">
        <v>22.6750003814697</v>
      </c>
      <c r="S161" s="48" t="n">
        <v>0</v>
      </c>
      <c r="T161" s="48" t="n">
        <v>0</v>
      </c>
      <c r="U161" s="48" t="n">
        <v>0</v>
      </c>
      <c r="W161" s="48" t="n">
        <v>0.0402795085321413</v>
      </c>
      <c r="X161" s="53" t="n">
        <v>0.0805590170642826</v>
      </c>
      <c r="Y161" s="48" t="n">
        <v>0.120838525596424</v>
      </c>
      <c r="AA161" s="48" t="n">
        <v>0.0025</v>
      </c>
      <c r="AB161" s="48" t="n">
        <v>0.005</v>
      </c>
      <c r="AC161" s="48" t="n">
        <v>0.0075</v>
      </c>
      <c r="AE161" s="48" t="n">
        <v>-0.25</v>
      </c>
      <c r="AF161" s="53" t="n">
        <v>1.5</v>
      </c>
      <c r="AG161" s="48" t="n">
        <v>0.25</v>
      </c>
      <c r="AI161" s="48" t="n">
        <v>-0.1</v>
      </c>
      <c r="AJ161" s="48" t="n">
        <v>0.3</v>
      </c>
      <c r="AK161" s="48" t="n">
        <v>0.1</v>
      </c>
      <c r="AM161" s="9" t="n">
        <v>52</v>
      </c>
      <c r="AN161" s="50" t="n">
        <v>0.4</v>
      </c>
      <c r="BE161" s="3" t="n">
        <v>41214</v>
      </c>
      <c r="BF161" s="52" t="n">
        <v>0.9</v>
      </c>
    </row>
    <row r="162" customFormat="false" ht="12.75" hidden="false" customHeight="false" outlineLevel="0" collapsed="false">
      <c r="A162" s="44" t="n">
        <v>40360</v>
      </c>
      <c r="B162" s="45" t="n">
        <v>101.949996948242</v>
      </c>
      <c r="C162" s="46" t="n">
        <v>106.949996948242</v>
      </c>
      <c r="D162" s="45" t="n">
        <v>112.449996948242</v>
      </c>
      <c r="E162" s="32"/>
      <c r="F162" s="47" t="n">
        <v>15.3649998474121</v>
      </c>
      <c r="G162" s="47" t="n">
        <v>17.8649998474121</v>
      </c>
      <c r="H162" s="47" t="n">
        <v>20.3649998474121</v>
      </c>
      <c r="I162" s="9"/>
      <c r="J162" s="3" t="n">
        <v>41244</v>
      </c>
      <c r="K162" s="48" t="n">
        <v>22.551250076294</v>
      </c>
      <c r="L162" s="48" t="n">
        <v>23.788750076294</v>
      </c>
      <c r="M162" s="48" t="n">
        <v>25.026250076294</v>
      </c>
      <c r="O162" s="48" t="n">
        <v>14.5250001907349</v>
      </c>
      <c r="P162" s="48" t="n">
        <v>18.8250001907349</v>
      </c>
      <c r="Q162" s="48" t="n">
        <v>23.1250001907349</v>
      </c>
      <c r="S162" s="48" t="n">
        <v>0</v>
      </c>
      <c r="T162" s="48" t="n">
        <v>0</v>
      </c>
      <c r="U162" s="48" t="n">
        <v>0</v>
      </c>
      <c r="W162" s="48" t="n">
        <v>0.0402795085321413</v>
      </c>
      <c r="X162" s="53" t="n">
        <v>0.0805590170642826</v>
      </c>
      <c r="Y162" s="48" t="n">
        <v>0.120838525596424</v>
      </c>
      <c r="AA162" s="48" t="n">
        <v>0.0025</v>
      </c>
      <c r="AB162" s="48" t="n">
        <v>0.005</v>
      </c>
      <c r="AC162" s="48" t="n">
        <v>0.0075</v>
      </c>
      <c r="AE162" s="48" t="n">
        <v>-0.25</v>
      </c>
      <c r="AF162" s="53" t="n">
        <v>1.5</v>
      </c>
      <c r="AG162" s="48" t="n">
        <v>0.25</v>
      </c>
      <c r="AI162" s="48" t="n">
        <v>-0.1</v>
      </c>
      <c r="AJ162" s="48" t="n">
        <v>0.3</v>
      </c>
      <c r="AK162" s="48" t="n">
        <v>0.1</v>
      </c>
      <c r="AM162" s="9" t="n">
        <v>52</v>
      </c>
      <c r="AN162" s="50" t="n">
        <v>0.4</v>
      </c>
      <c r="BE162" s="3" t="n">
        <v>41244</v>
      </c>
      <c r="BF162" s="52" t="n">
        <v>0.9</v>
      </c>
    </row>
    <row r="163" customFormat="false" ht="12.75" hidden="false" customHeight="false" outlineLevel="0" collapsed="false">
      <c r="A163" s="44" t="n">
        <v>40391</v>
      </c>
      <c r="B163" s="45" t="n">
        <v>88.9499969482422</v>
      </c>
      <c r="C163" s="46" t="n">
        <v>93.9499969482422</v>
      </c>
      <c r="D163" s="45" t="n">
        <v>99.4499969482422</v>
      </c>
      <c r="E163" s="32"/>
      <c r="F163" s="47" t="n">
        <v>15.4149990844727</v>
      </c>
      <c r="G163" s="47" t="n">
        <v>17.9149990844727</v>
      </c>
      <c r="H163" s="47" t="n">
        <v>20.4149990844727</v>
      </c>
      <c r="I163" s="9"/>
      <c r="J163" s="3" t="n">
        <v>41275</v>
      </c>
      <c r="K163" s="48" t="n">
        <v>32.9487487792969</v>
      </c>
      <c r="L163" s="48" t="n">
        <v>34.4987487792969</v>
      </c>
      <c r="M163" s="48" t="n">
        <v>35.8487487792969</v>
      </c>
      <c r="O163" s="48" t="n">
        <v>28.7025005340576</v>
      </c>
      <c r="P163" s="48" t="n">
        <v>33.0025005340576</v>
      </c>
      <c r="Q163" s="48" t="n">
        <v>37.3025005340576</v>
      </c>
      <c r="S163" s="48" t="n">
        <v>0.25</v>
      </c>
      <c r="T163" s="48" t="n">
        <v>0.25</v>
      </c>
      <c r="U163" s="48" t="n">
        <v>0.25</v>
      </c>
      <c r="W163" s="48" t="n">
        <v>0.0618693251053691</v>
      </c>
      <c r="X163" s="53" t="n">
        <v>0.123738650210738</v>
      </c>
      <c r="Y163" s="48" t="n">
        <v>0.185607975316107</v>
      </c>
      <c r="AA163" s="48" t="n">
        <v>0.0025</v>
      </c>
      <c r="AB163" s="48" t="n">
        <v>0.005</v>
      </c>
      <c r="AC163" s="48" t="n">
        <v>0.0075</v>
      </c>
      <c r="AE163" s="48" t="n">
        <v>-0.4</v>
      </c>
      <c r="AF163" s="53" t="n">
        <v>1.75</v>
      </c>
      <c r="AG163" s="48" t="n">
        <v>0.5</v>
      </c>
      <c r="AI163" s="48" t="n">
        <v>-0.1</v>
      </c>
      <c r="AJ163" s="48" t="n">
        <v>0.3</v>
      </c>
      <c r="AK163" s="48" t="n">
        <v>0.1</v>
      </c>
      <c r="AM163" s="9" t="n">
        <v>53</v>
      </c>
      <c r="AN163" s="50" t="n">
        <v>0.4</v>
      </c>
      <c r="BE163" s="3" t="n">
        <v>41275</v>
      </c>
      <c r="BF163" s="52" t="n">
        <v>0.9</v>
      </c>
    </row>
    <row r="164" customFormat="false" ht="12.75" hidden="false" customHeight="false" outlineLevel="0" collapsed="false">
      <c r="A164" s="44" t="n">
        <v>40422</v>
      </c>
      <c r="B164" s="45" t="n">
        <v>34.8249984741211</v>
      </c>
      <c r="C164" s="46" t="n">
        <v>36.4249984741211</v>
      </c>
      <c r="D164" s="45" t="n">
        <v>38.5249984741211</v>
      </c>
      <c r="E164" s="32"/>
      <c r="F164" s="47" t="n">
        <v>17.1149990844727</v>
      </c>
      <c r="G164" s="47" t="n">
        <v>17.9149990844727</v>
      </c>
      <c r="H164" s="47" t="n">
        <v>18.7149990844727</v>
      </c>
      <c r="I164" s="9"/>
      <c r="J164" s="3" t="n">
        <v>41306</v>
      </c>
      <c r="K164" s="48" t="n">
        <v>31.9462501525879</v>
      </c>
      <c r="L164" s="48" t="n">
        <v>33.4962501525879</v>
      </c>
      <c r="M164" s="48" t="n">
        <v>34.8462501525879</v>
      </c>
      <c r="O164" s="48" t="n">
        <v>26.6974994659424</v>
      </c>
      <c r="P164" s="48" t="n">
        <v>30.9974994659424</v>
      </c>
      <c r="Q164" s="48" t="n">
        <v>35.2974994659424</v>
      </c>
      <c r="S164" s="48" t="n">
        <v>0</v>
      </c>
      <c r="T164" s="48" t="n">
        <v>0</v>
      </c>
      <c r="U164" s="48" t="n">
        <v>0</v>
      </c>
      <c r="W164" s="48" t="n">
        <v>0.0618693251053691</v>
      </c>
      <c r="X164" s="53" t="n">
        <v>0.123738650210738</v>
      </c>
      <c r="Y164" s="48" t="n">
        <v>0.185607975316107</v>
      </c>
      <c r="AA164" s="48" t="n">
        <v>0.0025</v>
      </c>
      <c r="AB164" s="48" t="n">
        <v>0.005</v>
      </c>
      <c r="AC164" s="48" t="n">
        <v>0.0075</v>
      </c>
      <c r="AE164" s="48" t="n">
        <v>-0.4</v>
      </c>
      <c r="AF164" s="53" t="n">
        <v>1.75</v>
      </c>
      <c r="AG164" s="48" t="n">
        <v>0.5</v>
      </c>
      <c r="AI164" s="48" t="n">
        <v>-0.1</v>
      </c>
      <c r="AJ164" s="48" t="n">
        <v>0.3</v>
      </c>
      <c r="AK164" s="48" t="n">
        <v>0.1</v>
      </c>
      <c r="AM164" s="9" t="n">
        <v>53</v>
      </c>
      <c r="AN164" s="50" t="n">
        <v>0.4</v>
      </c>
      <c r="BE164" s="3" t="n">
        <v>41306</v>
      </c>
      <c r="BF164" s="52" t="n">
        <v>0.9</v>
      </c>
    </row>
    <row r="165" customFormat="false" ht="12.75" hidden="false" customHeight="false" outlineLevel="0" collapsed="false">
      <c r="A165" s="44" t="n">
        <v>40452</v>
      </c>
      <c r="B165" s="45" t="n">
        <v>28.6250003814697</v>
      </c>
      <c r="C165" s="46" t="n">
        <v>30.0750003814697</v>
      </c>
      <c r="D165" s="45" t="n">
        <v>32.0250003814697</v>
      </c>
      <c r="E165" s="32"/>
      <c r="F165" s="47" t="n">
        <v>16.8899998474121</v>
      </c>
      <c r="G165" s="47" t="n">
        <v>17.6149998474121</v>
      </c>
      <c r="H165" s="47" t="n">
        <v>18.3399998474121</v>
      </c>
      <c r="I165" s="9"/>
      <c r="J165" s="3" t="n">
        <v>41334</v>
      </c>
      <c r="K165" s="48" t="n">
        <v>21.0847496032715</v>
      </c>
      <c r="L165" s="48" t="n">
        <v>21.8347496032715</v>
      </c>
      <c r="M165" s="48" t="n">
        <v>22.5847496032715</v>
      </c>
      <c r="O165" s="48" t="n">
        <v>17.1644989013672</v>
      </c>
      <c r="P165" s="48" t="n">
        <v>21.4644989013672</v>
      </c>
      <c r="Q165" s="48" t="n">
        <v>25.7644989013672</v>
      </c>
      <c r="S165" s="48" t="n">
        <v>0</v>
      </c>
      <c r="T165" s="48" t="n">
        <v>0</v>
      </c>
      <c r="U165" s="48" t="n">
        <v>0</v>
      </c>
      <c r="W165" s="48" t="n">
        <v>0.0515577709211409</v>
      </c>
      <c r="X165" s="53" t="n">
        <v>0.103115541842282</v>
      </c>
      <c r="Y165" s="48" t="n">
        <v>0.154673312763423</v>
      </c>
      <c r="AA165" s="48" t="n">
        <v>0.0025</v>
      </c>
      <c r="AB165" s="48" t="n">
        <v>0.005</v>
      </c>
      <c r="AC165" s="48" t="n">
        <v>0.0075</v>
      </c>
      <c r="AE165" s="48" t="n">
        <v>-0.25</v>
      </c>
      <c r="AF165" s="53" t="n">
        <v>1.1</v>
      </c>
      <c r="AG165" s="48" t="n">
        <v>0.25</v>
      </c>
      <c r="AI165" s="48" t="n">
        <v>-0.1</v>
      </c>
      <c r="AJ165" s="48" t="n">
        <v>0.3</v>
      </c>
      <c r="AK165" s="48" t="n">
        <v>0.1</v>
      </c>
      <c r="AM165" s="9" t="n">
        <v>53</v>
      </c>
      <c r="AN165" s="50" t="n">
        <v>0.4</v>
      </c>
      <c r="BE165" s="3" t="n">
        <v>41334</v>
      </c>
      <c r="BF165" s="52" t="n">
        <v>0.9</v>
      </c>
    </row>
    <row r="166" customFormat="false" ht="12.75" hidden="false" customHeight="false" outlineLevel="0" collapsed="false">
      <c r="A166" s="44" t="n">
        <v>40483</v>
      </c>
      <c r="B166" s="45" t="n">
        <v>28.2974990844727</v>
      </c>
      <c r="C166" s="46" t="n">
        <v>29.7474990844727</v>
      </c>
      <c r="D166" s="45" t="n">
        <v>31.6974990844727</v>
      </c>
      <c r="E166" s="32"/>
      <c r="F166" s="47" t="n">
        <v>15.1399998474121</v>
      </c>
      <c r="G166" s="47" t="n">
        <v>15.8649998474121</v>
      </c>
      <c r="H166" s="47" t="n">
        <v>16.5899998474121</v>
      </c>
      <c r="I166" s="9"/>
      <c r="J166" s="3" t="n">
        <v>41365</v>
      </c>
      <c r="K166" s="48" t="n">
        <v>21.8800003051758</v>
      </c>
      <c r="L166" s="48" t="n">
        <v>22.5175003051758</v>
      </c>
      <c r="M166" s="48" t="n">
        <v>23.1550003051758</v>
      </c>
      <c r="O166" s="48" t="n">
        <v>16.9349990844727</v>
      </c>
      <c r="P166" s="48" t="n">
        <v>21.2349990844727</v>
      </c>
      <c r="Q166" s="48" t="n">
        <v>25.5349990844727</v>
      </c>
      <c r="S166" s="48" t="n">
        <v>0</v>
      </c>
      <c r="T166" s="48" t="n">
        <v>0</v>
      </c>
      <c r="U166" s="48" t="n">
        <v>0</v>
      </c>
      <c r="W166" s="48" t="n">
        <v>0.0489798823750839</v>
      </c>
      <c r="X166" s="53" t="n">
        <v>0.0979597647501677</v>
      </c>
      <c r="Y166" s="48" t="n">
        <v>0.146939647125252</v>
      </c>
      <c r="AA166" s="48" t="n">
        <v>0.0025</v>
      </c>
      <c r="AB166" s="48" t="n">
        <v>0.005</v>
      </c>
      <c r="AC166" s="48" t="n">
        <v>0.0075</v>
      </c>
      <c r="AE166" s="48" t="n">
        <v>-0.25</v>
      </c>
      <c r="AF166" s="53" t="n">
        <v>1.2</v>
      </c>
      <c r="AG166" s="48" t="n">
        <v>0.25</v>
      </c>
      <c r="AI166" s="48" t="n">
        <v>-0.1</v>
      </c>
      <c r="AJ166" s="48" t="n">
        <v>0.3</v>
      </c>
      <c r="AK166" s="48" t="n">
        <v>0.1</v>
      </c>
      <c r="AM166" s="9" t="n">
        <v>54</v>
      </c>
      <c r="AN166" s="50" t="n">
        <v>0.4</v>
      </c>
      <c r="BE166" s="3" t="n">
        <v>41365</v>
      </c>
      <c r="BF166" s="52" t="n">
        <v>0.9</v>
      </c>
    </row>
    <row r="167" customFormat="false" ht="12.75" hidden="false" customHeight="false" outlineLevel="0" collapsed="false">
      <c r="A167" s="44" t="n">
        <v>40513</v>
      </c>
      <c r="B167" s="45" t="n">
        <v>30.0499996185303</v>
      </c>
      <c r="C167" s="46" t="n">
        <v>31.4999996185303</v>
      </c>
      <c r="D167" s="45" t="n">
        <v>33.4499996185303</v>
      </c>
      <c r="E167" s="32"/>
      <c r="F167" s="47" t="n">
        <v>15.9900002288818</v>
      </c>
      <c r="G167" s="47" t="n">
        <v>16.7150002288818</v>
      </c>
      <c r="H167" s="47" t="n">
        <v>17.4400002288818</v>
      </c>
      <c r="I167" s="9"/>
      <c r="J167" s="3" t="n">
        <v>41395</v>
      </c>
      <c r="K167" s="48" t="n">
        <v>20.772500076294</v>
      </c>
      <c r="L167" s="48" t="n">
        <v>22.632500076294</v>
      </c>
      <c r="M167" s="48" t="n">
        <v>24.492500076294</v>
      </c>
      <c r="O167" s="48" t="n">
        <v>17.4649997711182</v>
      </c>
      <c r="P167" s="48" t="n">
        <v>21.7649997711182</v>
      </c>
      <c r="Q167" s="48" t="n">
        <v>26.0649997711182</v>
      </c>
      <c r="S167" s="48" t="n">
        <v>0</v>
      </c>
      <c r="T167" s="48" t="n">
        <v>0</v>
      </c>
      <c r="U167" s="48" t="n">
        <v>0</v>
      </c>
      <c r="W167" s="48" t="n">
        <v>0.0541356594671979</v>
      </c>
      <c r="X167" s="53" t="n">
        <v>0.108271318934396</v>
      </c>
      <c r="Y167" s="48" t="n">
        <v>0.162406978401594</v>
      </c>
      <c r="AA167" s="48" t="n">
        <v>0.0025</v>
      </c>
      <c r="AB167" s="48" t="n">
        <v>0.005</v>
      </c>
      <c r="AC167" s="48" t="n">
        <v>0.0075</v>
      </c>
      <c r="AE167" s="48" t="n">
        <v>-0.25</v>
      </c>
      <c r="AF167" s="53" t="n">
        <v>2</v>
      </c>
      <c r="AG167" s="48" t="n">
        <v>0.25</v>
      </c>
      <c r="AI167" s="48" t="n">
        <v>-0.1</v>
      </c>
      <c r="AJ167" s="48" t="n">
        <v>0.3</v>
      </c>
      <c r="AK167" s="48" t="n">
        <v>0.1</v>
      </c>
      <c r="AM167" s="9" t="n">
        <v>54</v>
      </c>
      <c r="AN167" s="50" t="n">
        <v>0.4</v>
      </c>
      <c r="BE167" s="3" t="n">
        <v>41395</v>
      </c>
      <c r="BF167" s="52" t="n">
        <v>0.9</v>
      </c>
    </row>
    <row r="168" customFormat="false" ht="12.75" hidden="false" customHeight="false" outlineLevel="0" collapsed="false">
      <c r="A168" s="44" t="n">
        <v>40544</v>
      </c>
      <c r="B168" s="45" t="n">
        <v>38.4749984741211</v>
      </c>
      <c r="C168" s="46" t="n">
        <v>40.0749984741211</v>
      </c>
      <c r="D168" s="45" t="n">
        <v>42.1749984741211</v>
      </c>
      <c r="E168" s="32"/>
      <c r="F168" s="47" t="n">
        <v>20.2149975585937</v>
      </c>
      <c r="G168" s="47" t="n">
        <v>21.0149975585938</v>
      </c>
      <c r="H168" s="47" t="n">
        <v>21.8149975585938</v>
      </c>
      <c r="I168" s="9"/>
      <c r="J168" s="3" t="n">
        <v>41426</v>
      </c>
      <c r="K168" s="48" t="n">
        <v>21.8762501525879</v>
      </c>
      <c r="L168" s="48" t="n">
        <v>27.2087501525879</v>
      </c>
      <c r="M168" s="48" t="n">
        <v>32.5412501525879</v>
      </c>
      <c r="O168" s="48" t="n">
        <v>16.3924995422363</v>
      </c>
      <c r="P168" s="48" t="n">
        <v>20.6924995422363</v>
      </c>
      <c r="Q168" s="48" t="n">
        <v>24.9924995422363</v>
      </c>
      <c r="S168" s="48" t="n">
        <v>0</v>
      </c>
      <c r="T168" s="48" t="n">
        <v>0</v>
      </c>
      <c r="U168" s="48" t="n">
        <v>0</v>
      </c>
      <c r="W168" s="48" t="n">
        <v>0.0696029907435402</v>
      </c>
      <c r="X168" s="53" t="n">
        <v>0.13920598148708</v>
      </c>
      <c r="Y168" s="48" t="n">
        <v>0.208808972230621</v>
      </c>
      <c r="AA168" s="48" t="n">
        <v>0.0025</v>
      </c>
      <c r="AB168" s="48" t="n">
        <v>0.005</v>
      </c>
      <c r="AC168" s="48" t="n">
        <v>0.0075</v>
      </c>
      <c r="AE168" s="48" t="n">
        <v>-0.75</v>
      </c>
      <c r="AF168" s="53" t="n">
        <v>2.25</v>
      </c>
      <c r="AG168" s="48" t="n">
        <v>0.75</v>
      </c>
      <c r="AI168" s="48" t="n">
        <v>-0.1</v>
      </c>
      <c r="AJ168" s="48" t="n">
        <v>0.3</v>
      </c>
      <c r="AK168" s="48" t="n">
        <v>0.1</v>
      </c>
      <c r="AM168" s="9" t="n">
        <v>54</v>
      </c>
      <c r="AN168" s="50" t="n">
        <v>0.4</v>
      </c>
      <c r="BE168" s="3" t="n">
        <v>41426</v>
      </c>
      <c r="BF168" s="52" t="n">
        <v>0.9</v>
      </c>
    </row>
    <row r="169" customFormat="false" ht="12.75" hidden="false" customHeight="false" outlineLevel="0" collapsed="false">
      <c r="A169" s="44" t="n">
        <v>40575</v>
      </c>
      <c r="B169" s="45" t="n">
        <v>38.4749984741211</v>
      </c>
      <c r="C169" s="46" t="n">
        <v>40.0749984741211</v>
      </c>
      <c r="D169" s="45" t="n">
        <v>42.1749984741211</v>
      </c>
      <c r="E169" s="32"/>
      <c r="F169" s="47" t="n">
        <v>20.364997177124</v>
      </c>
      <c r="G169" s="47" t="n">
        <v>21.164997177124</v>
      </c>
      <c r="H169" s="47" t="n">
        <v>21.964997177124</v>
      </c>
      <c r="I169" s="9"/>
      <c r="J169" s="3" t="n">
        <v>41456</v>
      </c>
      <c r="K169" s="48" t="n">
        <v>37.9112495422363</v>
      </c>
      <c r="L169" s="48" t="n">
        <v>41.6612495422363</v>
      </c>
      <c r="M169" s="48" t="n">
        <v>45.4112495422363</v>
      </c>
      <c r="O169" s="48" t="n">
        <v>26.8474994659424</v>
      </c>
      <c r="P169" s="48" t="n">
        <v>31.1474994659424</v>
      </c>
      <c r="Q169" s="48" t="n">
        <v>35.4474994659424</v>
      </c>
      <c r="S169" s="48" t="n">
        <v>0</v>
      </c>
      <c r="T169" s="48" t="n">
        <v>0</v>
      </c>
      <c r="U169" s="48" t="n">
        <v>0</v>
      </c>
      <c r="W169" s="48" t="n">
        <v>0.0850703220198825</v>
      </c>
      <c r="X169" s="53" t="n">
        <v>0.170140644039765</v>
      </c>
      <c r="Y169" s="48" t="n">
        <v>0.255210966059647</v>
      </c>
      <c r="AA169" s="48" t="n">
        <v>0.0025</v>
      </c>
      <c r="AB169" s="48" t="n">
        <v>0.005</v>
      </c>
      <c r="AC169" s="48" t="n">
        <v>0.0075</v>
      </c>
      <c r="AE169" s="48" t="n">
        <v>-1</v>
      </c>
      <c r="AF169" s="53" t="n">
        <v>3</v>
      </c>
      <c r="AG169" s="48" t="n">
        <v>1</v>
      </c>
      <c r="AI169" s="48" t="n">
        <v>-0.1</v>
      </c>
      <c r="AJ169" s="48" t="n">
        <v>0.3</v>
      </c>
      <c r="AK169" s="48" t="n">
        <v>0.1</v>
      </c>
      <c r="AM169" s="9" t="n">
        <v>55</v>
      </c>
      <c r="AN169" s="50" t="n">
        <v>0.4</v>
      </c>
      <c r="BE169" s="3" t="n">
        <v>41456</v>
      </c>
      <c r="BF169" s="52" t="n">
        <v>0.9</v>
      </c>
    </row>
    <row r="170" customFormat="false" ht="12.75" hidden="false" customHeight="false" outlineLevel="0" collapsed="false">
      <c r="A170" s="44" t="n">
        <v>40603</v>
      </c>
      <c r="B170" s="45" t="n">
        <v>28.9000007629395</v>
      </c>
      <c r="C170" s="46" t="n">
        <v>29.8000007629395</v>
      </c>
      <c r="D170" s="45" t="n">
        <v>31.2000007629395</v>
      </c>
      <c r="E170" s="32"/>
      <c r="F170" s="47" t="n">
        <v>17.9649990844727</v>
      </c>
      <c r="G170" s="47" t="n">
        <v>18.4149990844727</v>
      </c>
      <c r="H170" s="47" t="n">
        <v>18.8649990844727</v>
      </c>
      <c r="I170" s="9"/>
      <c r="J170" s="3" t="n">
        <v>41487</v>
      </c>
      <c r="K170" s="48" t="n">
        <v>40.1724990844727</v>
      </c>
      <c r="L170" s="48" t="n">
        <v>43.9224990844727</v>
      </c>
      <c r="M170" s="48" t="n">
        <v>47.6724990844727</v>
      </c>
      <c r="O170" s="48" t="n">
        <v>28.3450008392334</v>
      </c>
      <c r="P170" s="48" t="n">
        <v>32.6450008392334</v>
      </c>
      <c r="Q170" s="48" t="n">
        <v>36.9450008392334</v>
      </c>
      <c r="S170" s="48" t="n">
        <v>0</v>
      </c>
      <c r="T170" s="48" t="n">
        <v>0</v>
      </c>
      <c r="U170" s="48" t="n">
        <v>0</v>
      </c>
      <c r="W170" s="48" t="n">
        <v>0.0850703220198825</v>
      </c>
      <c r="X170" s="53" t="n">
        <v>0.170140644039765</v>
      </c>
      <c r="Y170" s="48" t="n">
        <v>0.255210966059647</v>
      </c>
      <c r="AA170" s="48" t="n">
        <v>0.0025</v>
      </c>
      <c r="AB170" s="48" t="n">
        <v>0.005</v>
      </c>
      <c r="AC170" s="48" t="n">
        <v>0.0075</v>
      </c>
      <c r="AE170" s="48" t="n">
        <v>-1</v>
      </c>
      <c r="AF170" s="53" t="n">
        <v>3</v>
      </c>
      <c r="AG170" s="48" t="n">
        <v>1</v>
      </c>
      <c r="AI170" s="48" t="n">
        <v>-0.1</v>
      </c>
      <c r="AJ170" s="48" t="n">
        <v>0.3</v>
      </c>
      <c r="AK170" s="48" t="n">
        <v>0.1</v>
      </c>
      <c r="AM170" s="9" t="n">
        <v>55</v>
      </c>
      <c r="AN170" s="50" t="n">
        <v>0.4</v>
      </c>
      <c r="BE170" s="3" t="n">
        <v>41487</v>
      </c>
      <c r="BF170" s="52" t="n">
        <v>0.9</v>
      </c>
    </row>
    <row r="171" customFormat="false" ht="12.75" hidden="false" customHeight="false" outlineLevel="0" collapsed="false">
      <c r="A171" s="44" t="n">
        <v>40634</v>
      </c>
      <c r="B171" s="45" t="n">
        <v>28.8250007629395</v>
      </c>
      <c r="C171" s="46" t="n">
        <v>29.5750007629395</v>
      </c>
      <c r="D171" s="45" t="n">
        <v>30.8250007629395</v>
      </c>
      <c r="E171" s="32"/>
      <c r="F171" s="47" t="n">
        <v>18.2899990844727</v>
      </c>
      <c r="G171" s="47" t="n">
        <v>18.6649990844727</v>
      </c>
      <c r="H171" s="47" t="n">
        <v>19.0399990844727</v>
      </c>
      <c r="I171" s="9"/>
      <c r="J171" s="3" t="n">
        <v>41518</v>
      </c>
      <c r="K171" s="48" t="n">
        <v>19.7049995422363</v>
      </c>
      <c r="L171" s="48" t="n">
        <v>21.1299995422363</v>
      </c>
      <c r="M171" s="48" t="n">
        <v>22.5549995422363</v>
      </c>
      <c r="O171" s="48" t="n">
        <v>13.4100004196167</v>
      </c>
      <c r="P171" s="48" t="n">
        <v>17.7100004196167</v>
      </c>
      <c r="Q171" s="48" t="n">
        <v>22.0100004196167</v>
      </c>
      <c r="S171" s="48" t="n">
        <v>0</v>
      </c>
      <c r="T171" s="48" t="n">
        <v>0</v>
      </c>
      <c r="U171" s="48" t="n">
        <v>0</v>
      </c>
      <c r="W171" s="48" t="n">
        <v>0.0546824843103009</v>
      </c>
      <c r="X171" s="53" t="n">
        <v>0.109364968620602</v>
      </c>
      <c r="Y171" s="48" t="n">
        <v>0.164047452930903</v>
      </c>
      <c r="AA171" s="48" t="n">
        <v>0.0025</v>
      </c>
      <c r="AB171" s="48" t="n">
        <v>0.005</v>
      </c>
      <c r="AC171" s="48" t="n">
        <v>0.0075</v>
      </c>
      <c r="AE171" s="48" t="n">
        <v>-0.4</v>
      </c>
      <c r="AF171" s="53" t="n">
        <v>1.75</v>
      </c>
      <c r="AG171" s="48" t="n">
        <v>0.5</v>
      </c>
      <c r="AI171" s="48" t="n">
        <v>-0.1</v>
      </c>
      <c r="AJ171" s="48" t="n">
        <v>0.3</v>
      </c>
      <c r="AK171" s="48" t="n">
        <v>0.1</v>
      </c>
      <c r="AM171" s="9" t="n">
        <v>55</v>
      </c>
      <c r="AN171" s="50" t="n">
        <v>0.4</v>
      </c>
      <c r="BE171" s="3" t="n">
        <v>41518</v>
      </c>
      <c r="BF171" s="52" t="n">
        <v>0.9</v>
      </c>
    </row>
    <row r="172" customFormat="false" ht="12.75" hidden="false" customHeight="false" outlineLevel="0" collapsed="false">
      <c r="A172" s="44" t="n">
        <v>40664</v>
      </c>
      <c r="B172" s="45" t="n">
        <v>35.095</v>
      </c>
      <c r="C172" s="46" t="n">
        <v>37.575</v>
      </c>
      <c r="D172" s="45" t="n">
        <v>40.555</v>
      </c>
      <c r="E172" s="32"/>
      <c r="F172" s="47" t="n">
        <v>16.8749998474121</v>
      </c>
      <c r="G172" s="47" t="n">
        <v>18.1149998474121</v>
      </c>
      <c r="H172" s="47" t="n">
        <v>19.3549998474121</v>
      </c>
      <c r="I172" s="9"/>
      <c r="J172" s="3" t="n">
        <v>41548</v>
      </c>
      <c r="K172" s="48" t="n">
        <v>18.8694995880127</v>
      </c>
      <c r="L172" s="48" t="n">
        <v>20.1819995880127</v>
      </c>
      <c r="M172" s="48" t="n">
        <v>21.4944995880127</v>
      </c>
      <c r="O172" s="48" t="n">
        <v>13.5540004730225</v>
      </c>
      <c r="P172" s="48" t="n">
        <v>17.8540004730225</v>
      </c>
      <c r="Q172" s="48" t="n">
        <v>22.1540004730225</v>
      </c>
      <c r="S172" s="48" t="n">
        <v>0</v>
      </c>
      <c r="T172" s="48" t="n">
        <v>0</v>
      </c>
      <c r="U172" s="48" t="n">
        <v>0</v>
      </c>
      <c r="W172" s="48" t="n">
        <v>0.0386683281908557</v>
      </c>
      <c r="X172" s="53" t="n">
        <v>0.0773366563817113</v>
      </c>
      <c r="Y172" s="48" t="n">
        <v>0.116004984572567</v>
      </c>
      <c r="AA172" s="48" t="n">
        <v>0.0025</v>
      </c>
      <c r="AB172" s="48" t="n">
        <v>0.005</v>
      </c>
      <c r="AC172" s="48" t="n">
        <v>0.0075</v>
      </c>
      <c r="AE172" s="48" t="n">
        <v>-0.25</v>
      </c>
      <c r="AF172" s="53" t="n">
        <v>1.5</v>
      </c>
      <c r="AG172" s="48" t="n">
        <v>0.25</v>
      </c>
      <c r="AI172" s="48" t="n">
        <v>-0.1</v>
      </c>
      <c r="AJ172" s="48" t="n">
        <v>0.3</v>
      </c>
      <c r="AK172" s="48" t="n">
        <v>0.1</v>
      </c>
      <c r="AM172" s="9" t="n">
        <v>56</v>
      </c>
      <c r="AN172" s="50" t="n">
        <v>0.4</v>
      </c>
      <c r="BE172" s="3" t="n">
        <v>41548</v>
      </c>
      <c r="BF172" s="52" t="n">
        <v>0.9</v>
      </c>
    </row>
    <row r="173" customFormat="false" ht="12.75" hidden="false" customHeight="false" outlineLevel="0" collapsed="false">
      <c r="A173" s="44" t="n">
        <v>40695</v>
      </c>
      <c r="B173" s="45" t="n">
        <v>55.9899984741211</v>
      </c>
      <c r="C173" s="46" t="n">
        <v>63.0999984741211</v>
      </c>
      <c r="D173" s="45" t="n">
        <v>70.7099984741211</v>
      </c>
      <c r="E173" s="32"/>
      <c r="F173" s="47" t="n">
        <v>14.6200012207031</v>
      </c>
      <c r="G173" s="47" t="n">
        <v>18.1750012207031</v>
      </c>
      <c r="H173" s="47" t="n">
        <v>21.7300012207031</v>
      </c>
      <c r="I173" s="9"/>
      <c r="J173" s="3" t="n">
        <v>41579</v>
      </c>
      <c r="K173" s="48" t="n">
        <v>18.3312496185303</v>
      </c>
      <c r="L173" s="48" t="n">
        <v>19.6437496185303</v>
      </c>
      <c r="M173" s="48" t="n">
        <v>20.9562496185303</v>
      </c>
      <c r="O173" s="48" t="n">
        <v>14.0750003814697</v>
      </c>
      <c r="P173" s="48" t="n">
        <v>18.3750003814697</v>
      </c>
      <c r="Q173" s="48" t="n">
        <v>22.6750003814697</v>
      </c>
      <c r="S173" s="48" t="n">
        <v>0</v>
      </c>
      <c r="T173" s="48" t="n">
        <v>0</v>
      </c>
      <c r="U173" s="48" t="n">
        <v>0</v>
      </c>
      <c r="W173" s="48" t="n">
        <v>0.0386683281908557</v>
      </c>
      <c r="X173" s="53" t="n">
        <v>0.0773366563817113</v>
      </c>
      <c r="Y173" s="48" t="n">
        <v>0.116004984572567</v>
      </c>
      <c r="AA173" s="48" t="n">
        <v>0.0025</v>
      </c>
      <c r="AB173" s="48" t="n">
        <v>0.005</v>
      </c>
      <c r="AC173" s="48" t="n">
        <v>0.0075</v>
      </c>
      <c r="AE173" s="48" t="n">
        <v>-0.25</v>
      </c>
      <c r="AF173" s="53" t="n">
        <v>1.5</v>
      </c>
      <c r="AG173" s="48" t="n">
        <v>0.25</v>
      </c>
      <c r="AI173" s="48" t="n">
        <v>-0.1</v>
      </c>
      <c r="AJ173" s="48" t="n">
        <v>0.3</v>
      </c>
      <c r="AK173" s="48" t="n">
        <v>0.1</v>
      </c>
      <c r="AM173" s="9" t="n">
        <v>56</v>
      </c>
      <c r="AN173" s="50" t="n">
        <v>0.4</v>
      </c>
      <c r="BE173" s="3" t="n">
        <v>41579</v>
      </c>
      <c r="BF173" s="52" t="n">
        <v>0.9</v>
      </c>
    </row>
    <row r="174" customFormat="false" ht="12.75" hidden="false" customHeight="false" outlineLevel="0" collapsed="false">
      <c r="A174" s="44" t="n">
        <v>40725</v>
      </c>
      <c r="B174" s="45" t="n">
        <v>104.199996948242</v>
      </c>
      <c r="C174" s="46" t="n">
        <v>109.199996948242</v>
      </c>
      <c r="D174" s="45" t="n">
        <v>114.699996948242</v>
      </c>
      <c r="E174" s="32"/>
      <c r="F174" s="47" t="n">
        <v>15.3649998474121</v>
      </c>
      <c r="G174" s="47" t="n">
        <v>17.8649998474121</v>
      </c>
      <c r="H174" s="47" t="n">
        <v>20.3649998474121</v>
      </c>
      <c r="I174" s="9"/>
      <c r="J174" s="3" t="n">
        <v>41609</v>
      </c>
      <c r="K174" s="48" t="n">
        <v>22.476250076294</v>
      </c>
      <c r="L174" s="48" t="n">
        <v>23.788750076294</v>
      </c>
      <c r="M174" s="48" t="n">
        <v>25.101250076294</v>
      </c>
      <c r="O174" s="48" t="n">
        <v>14.5250001907349</v>
      </c>
      <c r="P174" s="48" t="n">
        <v>18.8250001907349</v>
      </c>
      <c r="Q174" s="48" t="n">
        <v>23.1250001907349</v>
      </c>
      <c r="S174" s="48" t="n">
        <v>0</v>
      </c>
      <c r="T174" s="48" t="n">
        <v>0</v>
      </c>
      <c r="U174" s="48" t="n">
        <v>0</v>
      </c>
      <c r="W174" s="48" t="n">
        <v>0.0386683281908557</v>
      </c>
      <c r="X174" s="53" t="n">
        <v>0.0773366563817113</v>
      </c>
      <c r="Y174" s="48" t="n">
        <v>0.116004984572567</v>
      </c>
      <c r="AA174" s="48" t="n">
        <v>0.0025</v>
      </c>
      <c r="AB174" s="48" t="n">
        <v>0.005</v>
      </c>
      <c r="AC174" s="48" t="n">
        <v>0.0075</v>
      </c>
      <c r="AE174" s="48" t="n">
        <v>-0.25</v>
      </c>
      <c r="AF174" s="53" t="n">
        <v>1.5</v>
      </c>
      <c r="AG174" s="48" t="n">
        <v>0.25</v>
      </c>
      <c r="AI174" s="48" t="n">
        <v>-0.1</v>
      </c>
      <c r="AJ174" s="48" t="n">
        <v>0.3</v>
      </c>
      <c r="AK174" s="48" t="n">
        <v>0.1</v>
      </c>
      <c r="AM174" s="9" t="n">
        <v>56</v>
      </c>
      <c r="AN174" s="50" t="n">
        <v>0.4</v>
      </c>
      <c r="BE174" s="3" t="n">
        <v>41609</v>
      </c>
      <c r="BF174" s="52" t="n">
        <v>0.9</v>
      </c>
    </row>
    <row r="175" customFormat="false" ht="12.75" hidden="false" customHeight="false" outlineLevel="0" collapsed="false">
      <c r="A175" s="44" t="n">
        <v>40756</v>
      </c>
      <c r="B175" s="45" t="n">
        <v>91.1999969482422</v>
      </c>
      <c r="C175" s="46" t="n">
        <v>96.1999969482422</v>
      </c>
      <c r="D175" s="45" t="n">
        <v>101.699996948242</v>
      </c>
      <c r="E175" s="32"/>
      <c r="F175" s="47" t="n">
        <v>15.4149990844727</v>
      </c>
      <c r="G175" s="47" t="n">
        <v>17.9149990844727</v>
      </c>
      <c r="H175" s="47" t="n">
        <v>20.4149990844727</v>
      </c>
      <c r="I175" s="9"/>
      <c r="J175" s="3" t="n">
        <v>41640</v>
      </c>
      <c r="K175" s="48" t="n">
        <v>32.8737487792969</v>
      </c>
      <c r="L175" s="48" t="n">
        <v>34.4987487792969</v>
      </c>
      <c r="M175" s="48" t="n">
        <v>35.9237487792969</v>
      </c>
      <c r="O175" s="48" t="n">
        <v>28.7025005340576</v>
      </c>
      <c r="P175" s="48" t="n">
        <v>33.0025005340576</v>
      </c>
      <c r="Q175" s="48" t="n">
        <v>37.3025005340576</v>
      </c>
      <c r="S175" s="48" t="n">
        <v>0.25</v>
      </c>
      <c r="T175" s="48" t="n">
        <v>0.25</v>
      </c>
      <c r="U175" s="48" t="n">
        <v>0.25</v>
      </c>
      <c r="W175" s="48" t="n">
        <v>0.0593945521011543</v>
      </c>
      <c r="X175" s="53" t="n">
        <v>0.118789104202309</v>
      </c>
      <c r="Y175" s="48" t="n">
        <v>0.178183656303463</v>
      </c>
      <c r="AA175" s="48" t="n">
        <v>0.0025</v>
      </c>
      <c r="AB175" s="48" t="n">
        <v>0.005</v>
      </c>
      <c r="AC175" s="48" t="n">
        <v>0.0075</v>
      </c>
      <c r="AE175" s="48" t="n">
        <v>-0.4</v>
      </c>
      <c r="AF175" s="53" t="n">
        <v>1.75</v>
      </c>
      <c r="AG175" s="48" t="n">
        <v>0.5</v>
      </c>
      <c r="AI175" s="48" t="n">
        <v>-0.1</v>
      </c>
      <c r="AJ175" s="48" t="n">
        <v>0.3</v>
      </c>
      <c r="AK175" s="48" t="n">
        <v>0.1</v>
      </c>
      <c r="AM175" s="9" t="n">
        <v>57</v>
      </c>
      <c r="AN175" s="50" t="n">
        <v>0.4</v>
      </c>
      <c r="BE175" s="3" t="n">
        <v>41640</v>
      </c>
      <c r="BF175" s="52" t="n">
        <v>0.9</v>
      </c>
    </row>
    <row r="176" customFormat="false" ht="12.75" hidden="false" customHeight="false" outlineLevel="0" collapsed="false">
      <c r="A176" s="44" t="n">
        <v>40787</v>
      </c>
      <c r="B176" s="45" t="n">
        <v>35.2249984741211</v>
      </c>
      <c r="C176" s="46" t="n">
        <v>36.9249984741211</v>
      </c>
      <c r="D176" s="45" t="n">
        <v>39.1249984741211</v>
      </c>
      <c r="E176" s="32"/>
      <c r="F176" s="47" t="n">
        <v>17.0649990844727</v>
      </c>
      <c r="G176" s="47" t="n">
        <v>17.9149990844727</v>
      </c>
      <c r="H176" s="47" t="n">
        <v>18.7649990844727</v>
      </c>
      <c r="I176" s="9"/>
      <c r="J176" s="3" t="n">
        <v>41671</v>
      </c>
      <c r="K176" s="48" t="n">
        <v>31.8712501525879</v>
      </c>
      <c r="L176" s="48" t="n">
        <v>33.4962501525879</v>
      </c>
      <c r="M176" s="48" t="n">
        <v>34.9212501525879</v>
      </c>
      <c r="O176" s="48" t="n">
        <v>26.6974994659424</v>
      </c>
      <c r="P176" s="48" t="n">
        <v>30.9974994659424</v>
      </c>
      <c r="Q176" s="48" t="n">
        <v>35.2974994659424</v>
      </c>
      <c r="S176" s="48" t="n">
        <v>0</v>
      </c>
      <c r="T176" s="48" t="n">
        <v>0</v>
      </c>
      <c r="U176" s="48" t="n">
        <v>0</v>
      </c>
      <c r="W176" s="48" t="n">
        <v>0.0593945521011543</v>
      </c>
      <c r="X176" s="53" t="n">
        <v>0.118789104202309</v>
      </c>
      <c r="Y176" s="48" t="n">
        <v>0.178183656303463</v>
      </c>
      <c r="AA176" s="48" t="n">
        <v>0.0025</v>
      </c>
      <c r="AB176" s="48" t="n">
        <v>0.005</v>
      </c>
      <c r="AC176" s="48" t="n">
        <v>0.0075</v>
      </c>
      <c r="AE176" s="48" t="n">
        <v>-0.4</v>
      </c>
      <c r="AF176" s="53" t="n">
        <v>1.75</v>
      </c>
      <c r="AG176" s="48" t="n">
        <v>0.5</v>
      </c>
      <c r="AI176" s="48" t="n">
        <v>-0.1</v>
      </c>
      <c r="AJ176" s="48" t="n">
        <v>0.3</v>
      </c>
      <c r="AK176" s="48" t="n">
        <v>0.1</v>
      </c>
      <c r="AM176" s="9" t="n">
        <v>57</v>
      </c>
      <c r="AN176" s="50" t="n">
        <v>0.4</v>
      </c>
      <c r="BE176" s="3" t="n">
        <v>41671</v>
      </c>
      <c r="BF176" s="52" t="n">
        <v>0.9</v>
      </c>
    </row>
    <row r="177" customFormat="false" ht="12.75" hidden="false" customHeight="false" outlineLevel="0" collapsed="false">
      <c r="A177" s="44" t="n">
        <v>40817</v>
      </c>
      <c r="B177" s="45" t="n">
        <v>28.7750003814697</v>
      </c>
      <c r="C177" s="46" t="n">
        <v>30.3250003814697</v>
      </c>
      <c r="D177" s="45" t="n">
        <v>32.3750003814697</v>
      </c>
      <c r="E177" s="32"/>
      <c r="F177" s="47" t="n">
        <v>16.8399998474121</v>
      </c>
      <c r="G177" s="47" t="n">
        <v>17.6149998474121</v>
      </c>
      <c r="H177" s="47" t="n">
        <v>18.3899998474121</v>
      </c>
      <c r="I177" s="9"/>
      <c r="J177" s="3" t="n">
        <v>41699</v>
      </c>
      <c r="K177" s="48" t="n">
        <v>21.0472496032715</v>
      </c>
      <c r="L177" s="48" t="n">
        <v>21.8347496032715</v>
      </c>
      <c r="M177" s="48" t="n">
        <v>22.6222496032715</v>
      </c>
      <c r="O177" s="48" t="n">
        <v>17.1644989013672</v>
      </c>
      <c r="P177" s="48" t="n">
        <v>21.4644989013672</v>
      </c>
      <c r="Q177" s="48" t="n">
        <v>25.7644989013672</v>
      </c>
      <c r="S177" s="48" t="n">
        <v>0</v>
      </c>
      <c r="T177" s="48" t="n">
        <v>0</v>
      </c>
      <c r="U177" s="48" t="n">
        <v>0</v>
      </c>
      <c r="W177" s="48" t="n">
        <v>0.0494954600842953</v>
      </c>
      <c r="X177" s="53" t="n">
        <v>0.0989909201685905</v>
      </c>
      <c r="Y177" s="48" t="n">
        <v>0.148486380252886</v>
      </c>
      <c r="AA177" s="48" t="n">
        <v>0.0025</v>
      </c>
      <c r="AB177" s="48" t="n">
        <v>0.005</v>
      </c>
      <c r="AC177" s="48" t="n">
        <v>0.0075</v>
      </c>
      <c r="AE177" s="48" t="n">
        <v>-0.25</v>
      </c>
      <c r="AF177" s="53" t="n">
        <v>1.1</v>
      </c>
      <c r="AG177" s="48" t="n">
        <v>0.25</v>
      </c>
      <c r="AI177" s="48" t="n">
        <v>-0.1</v>
      </c>
      <c r="AJ177" s="48" t="n">
        <v>0.3</v>
      </c>
      <c r="AK177" s="48" t="n">
        <v>0.1</v>
      </c>
      <c r="AM177" s="9" t="n">
        <v>57</v>
      </c>
      <c r="AN177" s="50" t="n">
        <v>0.4</v>
      </c>
      <c r="BE177" s="3" t="n">
        <v>41699</v>
      </c>
      <c r="BF177" s="52" t="n">
        <v>0.9</v>
      </c>
    </row>
    <row r="178" customFormat="false" ht="12.75" hidden="false" customHeight="false" outlineLevel="0" collapsed="false">
      <c r="A178" s="44" t="n">
        <v>40848</v>
      </c>
      <c r="B178" s="45" t="n">
        <v>28.4474990844727</v>
      </c>
      <c r="C178" s="46" t="n">
        <v>29.9974990844727</v>
      </c>
      <c r="D178" s="45" t="n">
        <v>32.0474990844727</v>
      </c>
      <c r="E178" s="32"/>
      <c r="F178" s="47" t="n">
        <v>15.0899998474121</v>
      </c>
      <c r="G178" s="47" t="n">
        <v>15.8649998474121</v>
      </c>
      <c r="H178" s="47" t="n">
        <v>16.6399998474121</v>
      </c>
      <c r="I178" s="9"/>
      <c r="J178" s="3" t="n">
        <v>41730</v>
      </c>
      <c r="K178" s="48" t="n">
        <v>21.8425003051758</v>
      </c>
      <c r="L178" s="48" t="n">
        <v>22.5175003051758</v>
      </c>
      <c r="M178" s="48" t="n">
        <v>23.1925003051758</v>
      </c>
      <c r="O178" s="48" t="n">
        <v>16.9349990844727</v>
      </c>
      <c r="P178" s="48" t="n">
        <v>21.2349990844727</v>
      </c>
      <c r="Q178" s="48" t="n">
        <v>25.5349990844727</v>
      </c>
      <c r="S178" s="48" t="n">
        <v>0</v>
      </c>
      <c r="T178" s="48" t="n">
        <v>0</v>
      </c>
      <c r="U178" s="48" t="n">
        <v>0</v>
      </c>
      <c r="W178" s="48" t="n">
        <v>0.0470206870800805</v>
      </c>
      <c r="X178" s="53" t="n">
        <v>0.094041374160161</v>
      </c>
      <c r="Y178" s="48" t="n">
        <v>0.141062061240241</v>
      </c>
      <c r="AA178" s="48" t="n">
        <v>0.0025</v>
      </c>
      <c r="AB178" s="48" t="n">
        <v>0.005</v>
      </c>
      <c r="AC178" s="48" t="n">
        <v>0.0075</v>
      </c>
      <c r="AE178" s="48" t="n">
        <v>-0.25</v>
      </c>
      <c r="AF178" s="53" t="n">
        <v>1.2</v>
      </c>
      <c r="AG178" s="48" t="n">
        <v>0.25</v>
      </c>
      <c r="AI178" s="48" t="n">
        <v>-0.1</v>
      </c>
      <c r="AJ178" s="48" t="n">
        <v>0.3</v>
      </c>
      <c r="AK178" s="48" t="n">
        <v>0.1</v>
      </c>
      <c r="AM178" s="9" t="n">
        <v>58</v>
      </c>
      <c r="AN178" s="50" t="n">
        <v>0.4</v>
      </c>
      <c r="BE178" s="3" t="n">
        <v>41730</v>
      </c>
      <c r="BF178" s="52" t="n">
        <v>0.9</v>
      </c>
    </row>
    <row r="179" customFormat="false" ht="12.75" hidden="false" customHeight="false" outlineLevel="0" collapsed="false">
      <c r="A179" s="44" t="n">
        <v>40878</v>
      </c>
      <c r="B179" s="45" t="n">
        <v>30.1999996185303</v>
      </c>
      <c r="C179" s="46" t="n">
        <v>31.7499996185303</v>
      </c>
      <c r="D179" s="45" t="n">
        <v>33.7999996185303</v>
      </c>
      <c r="E179" s="32"/>
      <c r="F179" s="47" t="n">
        <v>15.9400002288818</v>
      </c>
      <c r="G179" s="47" t="n">
        <v>16.7150002288818</v>
      </c>
      <c r="H179" s="47" t="n">
        <v>17.4900002288818</v>
      </c>
      <c r="I179" s="9"/>
      <c r="J179" s="3" t="n">
        <v>41760</v>
      </c>
      <c r="K179" s="48" t="n">
        <v>20.772500076294</v>
      </c>
      <c r="L179" s="48" t="n">
        <v>22.632500076294</v>
      </c>
      <c r="M179" s="48" t="n">
        <v>24.492500076294</v>
      </c>
      <c r="O179" s="48" t="n">
        <v>17.4649997711182</v>
      </c>
      <c r="P179" s="48" t="n">
        <v>21.7649997711182</v>
      </c>
      <c r="Q179" s="48" t="n">
        <v>26.0649997711182</v>
      </c>
      <c r="S179" s="48" t="n">
        <v>0</v>
      </c>
      <c r="T179" s="48" t="n">
        <v>0</v>
      </c>
      <c r="U179" s="48" t="n">
        <v>0</v>
      </c>
      <c r="W179" s="48" t="n">
        <v>0.05197023308851</v>
      </c>
      <c r="X179" s="53" t="n">
        <v>0.10394046617702</v>
      </c>
      <c r="Y179" s="48" t="n">
        <v>0.15591069926553</v>
      </c>
      <c r="AA179" s="48" t="n">
        <v>0.0025</v>
      </c>
      <c r="AB179" s="48" t="n">
        <v>0.005</v>
      </c>
      <c r="AC179" s="48" t="n">
        <v>0.0075</v>
      </c>
      <c r="AE179" s="48" t="n">
        <v>-0.25</v>
      </c>
      <c r="AF179" s="53" t="n">
        <v>2</v>
      </c>
      <c r="AG179" s="48" t="n">
        <v>0.25</v>
      </c>
      <c r="AI179" s="48" t="n">
        <v>-0.1</v>
      </c>
      <c r="AJ179" s="48" t="n">
        <v>0.3</v>
      </c>
      <c r="AK179" s="48" t="n">
        <v>0.1</v>
      </c>
      <c r="AM179" s="9" t="n">
        <v>58</v>
      </c>
      <c r="AN179" s="50" t="n">
        <v>0.4</v>
      </c>
      <c r="BE179" s="3" t="n">
        <v>41760</v>
      </c>
      <c r="BF179" s="52" t="n">
        <v>0.9</v>
      </c>
    </row>
    <row r="180" customFormat="false" ht="12.75" hidden="false" customHeight="false" outlineLevel="0" collapsed="false">
      <c r="A180" s="44" t="n">
        <v>40909</v>
      </c>
      <c r="B180" s="45" t="n">
        <v>38.6249984741211</v>
      </c>
      <c r="C180" s="46" t="n">
        <v>40.3249984741211</v>
      </c>
      <c r="D180" s="45" t="n">
        <v>42.5249984741211</v>
      </c>
      <c r="E180" s="32"/>
      <c r="F180" s="47" t="n">
        <v>20.1649975585937</v>
      </c>
      <c r="G180" s="47" t="n">
        <v>21.0149975585938</v>
      </c>
      <c r="H180" s="47" t="n">
        <v>21.8649975585938</v>
      </c>
      <c r="I180" s="9"/>
      <c r="J180" s="3" t="n">
        <v>41791</v>
      </c>
      <c r="K180" s="48" t="n">
        <v>21.8762501525879</v>
      </c>
      <c r="L180" s="48" t="n">
        <v>27.2087501525879</v>
      </c>
      <c r="M180" s="48" t="n">
        <v>32.5412501525879</v>
      </c>
      <c r="O180" s="48" t="n">
        <v>16.3924995422363</v>
      </c>
      <c r="P180" s="48" t="n">
        <v>20.6924995422363</v>
      </c>
      <c r="Q180" s="48" t="n">
        <v>24.9924995422363</v>
      </c>
      <c r="S180" s="48" t="n">
        <v>0</v>
      </c>
      <c r="T180" s="48" t="n">
        <v>0</v>
      </c>
      <c r="U180" s="48" t="n">
        <v>0</v>
      </c>
      <c r="W180" s="48" t="n">
        <v>0.0668188711137986</v>
      </c>
      <c r="X180" s="53" t="n">
        <v>0.133637742227597</v>
      </c>
      <c r="Y180" s="48" t="n">
        <v>0.200456613341396</v>
      </c>
      <c r="AA180" s="48" t="n">
        <v>0.0025</v>
      </c>
      <c r="AB180" s="48" t="n">
        <v>0.005</v>
      </c>
      <c r="AC180" s="48" t="n">
        <v>0.0075</v>
      </c>
      <c r="AE180" s="48" t="n">
        <v>-0.75</v>
      </c>
      <c r="AF180" s="53" t="n">
        <v>2.25</v>
      </c>
      <c r="AG180" s="48" t="n">
        <v>0.75</v>
      </c>
      <c r="AI180" s="48" t="n">
        <v>-0.1</v>
      </c>
      <c r="AJ180" s="48" t="n">
        <v>0.3</v>
      </c>
      <c r="AK180" s="48" t="n">
        <v>0.1</v>
      </c>
      <c r="AM180" s="9" t="n">
        <v>58</v>
      </c>
      <c r="AN180" s="50" t="n">
        <v>0.4</v>
      </c>
      <c r="BE180" s="3" t="n">
        <v>41791</v>
      </c>
      <c r="BF180" s="52" t="n">
        <v>0.9</v>
      </c>
    </row>
    <row r="181" customFormat="false" ht="12.75" hidden="false" customHeight="false" outlineLevel="0" collapsed="false">
      <c r="A181" s="44" t="n">
        <v>40940</v>
      </c>
      <c r="B181" s="45" t="n">
        <v>38.6249984741211</v>
      </c>
      <c r="C181" s="46" t="n">
        <v>40.3249984741211</v>
      </c>
      <c r="D181" s="45" t="n">
        <v>42.5249984741211</v>
      </c>
      <c r="E181" s="32"/>
      <c r="F181" s="47" t="n">
        <v>20.314997177124</v>
      </c>
      <c r="G181" s="47" t="n">
        <v>21.164997177124</v>
      </c>
      <c r="H181" s="47" t="n">
        <v>22.014997177124</v>
      </c>
      <c r="I181" s="9"/>
      <c r="J181" s="3" t="n">
        <v>41821</v>
      </c>
      <c r="K181" s="48" t="n">
        <v>37.9112495422363</v>
      </c>
      <c r="L181" s="48" t="n">
        <v>41.6612495422363</v>
      </c>
      <c r="M181" s="48" t="n">
        <v>45.4112495422363</v>
      </c>
      <c r="O181" s="48" t="n">
        <v>26.8474994659424</v>
      </c>
      <c r="P181" s="48" t="n">
        <v>31.1474994659424</v>
      </c>
      <c r="Q181" s="48" t="n">
        <v>35.4474994659424</v>
      </c>
      <c r="S181" s="48" t="n">
        <v>0</v>
      </c>
      <c r="T181" s="48" t="n">
        <v>0</v>
      </c>
      <c r="U181" s="48" t="n">
        <v>0</v>
      </c>
      <c r="W181" s="48" t="n">
        <v>0.0816675091390871</v>
      </c>
      <c r="X181" s="53" t="n">
        <v>0.163335018278174</v>
      </c>
      <c r="Y181" s="48" t="n">
        <v>0.245002527417261</v>
      </c>
      <c r="AA181" s="48" t="n">
        <v>0.0025</v>
      </c>
      <c r="AB181" s="48" t="n">
        <v>0.005</v>
      </c>
      <c r="AC181" s="48" t="n">
        <v>0.0075</v>
      </c>
      <c r="AE181" s="48" t="n">
        <v>-1</v>
      </c>
      <c r="AF181" s="53" t="n">
        <v>3</v>
      </c>
      <c r="AG181" s="48" t="n">
        <v>1</v>
      </c>
      <c r="AI181" s="48" t="n">
        <v>-0.1</v>
      </c>
      <c r="AJ181" s="48" t="n">
        <v>0.3</v>
      </c>
      <c r="AK181" s="48" t="n">
        <v>0.1</v>
      </c>
      <c r="AM181" s="9" t="n">
        <v>59</v>
      </c>
      <c r="AN181" s="50" t="n">
        <v>0.4</v>
      </c>
      <c r="BE181" s="3" t="n">
        <v>41821</v>
      </c>
      <c r="BF181" s="52" t="n">
        <v>0.9</v>
      </c>
    </row>
    <row r="182" customFormat="false" ht="12.75" hidden="false" customHeight="false" outlineLevel="0" collapsed="false">
      <c r="A182" s="44" t="n">
        <v>40969</v>
      </c>
      <c r="B182" s="45" t="n">
        <v>29.1000007629395</v>
      </c>
      <c r="C182" s="46" t="n">
        <v>30.0500007629395</v>
      </c>
      <c r="D182" s="45" t="n">
        <v>31.5000007629395</v>
      </c>
      <c r="E182" s="32"/>
      <c r="F182" s="47" t="n">
        <v>17.9399990844727</v>
      </c>
      <c r="G182" s="47" t="n">
        <v>18.4149990844727</v>
      </c>
      <c r="H182" s="47" t="n">
        <v>18.8899990844727</v>
      </c>
      <c r="I182" s="9"/>
      <c r="J182" s="3" t="n">
        <v>41852</v>
      </c>
      <c r="K182" s="48" t="n">
        <v>40.1724990844727</v>
      </c>
      <c r="L182" s="48" t="n">
        <v>43.9224990844727</v>
      </c>
      <c r="M182" s="48" t="n">
        <v>47.6724990844727</v>
      </c>
      <c r="O182" s="48" t="n">
        <v>28.3450008392334</v>
      </c>
      <c r="P182" s="48" t="n">
        <v>32.6450008392334</v>
      </c>
      <c r="Q182" s="48" t="n">
        <v>36.9450008392334</v>
      </c>
      <c r="S182" s="48" t="n">
        <v>0</v>
      </c>
      <c r="T182" s="48" t="n">
        <v>0</v>
      </c>
      <c r="U182" s="48" t="n">
        <v>0</v>
      </c>
      <c r="W182" s="48" t="n">
        <v>0.0816675091390871</v>
      </c>
      <c r="X182" s="53" t="n">
        <v>0.163335018278174</v>
      </c>
      <c r="Y182" s="48" t="n">
        <v>0.245002527417261</v>
      </c>
      <c r="AA182" s="48" t="n">
        <v>0.0025</v>
      </c>
      <c r="AB182" s="48" t="n">
        <v>0.005</v>
      </c>
      <c r="AC182" s="48" t="n">
        <v>0.0075</v>
      </c>
      <c r="AE182" s="48" t="n">
        <v>-1</v>
      </c>
      <c r="AF182" s="53" t="n">
        <v>3</v>
      </c>
      <c r="AG182" s="48" t="n">
        <v>1</v>
      </c>
      <c r="AI182" s="48" t="n">
        <v>-0.1</v>
      </c>
      <c r="AJ182" s="48" t="n">
        <v>0.3</v>
      </c>
      <c r="AK182" s="48" t="n">
        <v>0.1</v>
      </c>
      <c r="AM182" s="9" t="n">
        <v>59</v>
      </c>
      <c r="AN182" s="50" t="n">
        <v>0.4</v>
      </c>
      <c r="BE182" s="3" t="n">
        <v>41852</v>
      </c>
      <c r="BF182" s="52" t="n">
        <v>0.9</v>
      </c>
    </row>
    <row r="183" customFormat="false" ht="12.75" hidden="false" customHeight="false" outlineLevel="0" collapsed="false">
      <c r="A183" s="44" t="n">
        <v>41000</v>
      </c>
      <c r="B183" s="45" t="n">
        <v>29.0250007629395</v>
      </c>
      <c r="C183" s="46" t="n">
        <v>29.8250007629395</v>
      </c>
      <c r="D183" s="45" t="n">
        <v>31.1250007629395</v>
      </c>
      <c r="E183" s="32"/>
      <c r="F183" s="47" t="n">
        <v>18.2649990844727</v>
      </c>
      <c r="G183" s="47" t="n">
        <v>18.6649990844727</v>
      </c>
      <c r="H183" s="47" t="n">
        <v>19.0649990844727</v>
      </c>
      <c r="I183" s="9"/>
      <c r="J183" s="3" t="n">
        <v>41883</v>
      </c>
      <c r="K183" s="48" t="n">
        <v>19.6299995422363</v>
      </c>
      <c r="L183" s="48" t="n">
        <v>21.1299995422363</v>
      </c>
      <c r="M183" s="48" t="n">
        <v>22.6299995422363</v>
      </c>
      <c r="O183" s="48" t="n">
        <v>13.4100004196167</v>
      </c>
      <c r="P183" s="48" t="n">
        <v>17.7100004196167</v>
      </c>
      <c r="Q183" s="48" t="n">
        <v>22.0100004196167</v>
      </c>
      <c r="S183" s="48" t="n">
        <v>0</v>
      </c>
      <c r="T183" s="48" t="n">
        <v>0</v>
      </c>
      <c r="U183" s="48" t="n">
        <v>0</v>
      </c>
      <c r="W183" s="48" t="n">
        <v>0.0524951849378889</v>
      </c>
      <c r="X183" s="53" t="n">
        <v>0.104990369875778</v>
      </c>
      <c r="Y183" s="48" t="n">
        <v>0.157485554813667</v>
      </c>
      <c r="AA183" s="48" t="n">
        <v>0.0025</v>
      </c>
      <c r="AB183" s="48" t="n">
        <v>0.005</v>
      </c>
      <c r="AC183" s="48" t="n">
        <v>0.0075</v>
      </c>
      <c r="AE183" s="48" t="n">
        <v>-0.4</v>
      </c>
      <c r="AF183" s="53" t="n">
        <v>1.75</v>
      </c>
      <c r="AG183" s="48" t="n">
        <v>0.5</v>
      </c>
      <c r="AI183" s="48" t="n">
        <v>-0.1</v>
      </c>
      <c r="AJ183" s="48" t="n">
        <v>0.3</v>
      </c>
      <c r="AK183" s="48" t="n">
        <v>0.1</v>
      </c>
      <c r="AM183" s="9" t="n">
        <v>59</v>
      </c>
      <c r="AN183" s="50" t="n">
        <v>0.4</v>
      </c>
      <c r="BE183" s="3" t="n">
        <v>41883</v>
      </c>
      <c r="BF183" s="52" t="n">
        <v>0.9</v>
      </c>
    </row>
    <row r="184" customFormat="false" ht="12.75" hidden="false" customHeight="false" outlineLevel="0" collapsed="false">
      <c r="A184" s="44" t="n">
        <v>41030</v>
      </c>
      <c r="B184" s="45" t="n">
        <v>35.345</v>
      </c>
      <c r="C184" s="46" t="n">
        <v>37.825</v>
      </c>
      <c r="D184" s="45" t="n">
        <v>40.805</v>
      </c>
      <c r="E184" s="32"/>
      <c r="F184" s="47" t="n">
        <v>16.8749998474121</v>
      </c>
      <c r="G184" s="47" t="n">
        <v>18.1149998474121</v>
      </c>
      <c r="H184" s="47" t="n">
        <v>19.3549998474121</v>
      </c>
      <c r="I184" s="9"/>
      <c r="J184" s="3" t="n">
        <v>41913</v>
      </c>
      <c r="K184" s="48" t="n">
        <v>18.7944995880127</v>
      </c>
      <c r="L184" s="48" t="n">
        <v>20.1819995880127</v>
      </c>
      <c r="M184" s="48" t="n">
        <v>21.5694995880127</v>
      </c>
      <c r="O184" s="48" t="n">
        <v>13.5540004730225</v>
      </c>
      <c r="P184" s="48" t="n">
        <v>17.8540004730225</v>
      </c>
      <c r="Q184" s="48" t="n">
        <v>22.1540004730225</v>
      </c>
      <c r="S184" s="48" t="n">
        <v>0</v>
      </c>
      <c r="T184" s="48" t="n">
        <v>0</v>
      </c>
      <c r="U184" s="48" t="n">
        <v>0</v>
      </c>
      <c r="W184" s="48" t="n">
        <v>0.0371215950632214</v>
      </c>
      <c r="X184" s="53" t="n">
        <v>0.0742431901264429</v>
      </c>
      <c r="Y184" s="48" t="n">
        <v>0.111364785189664</v>
      </c>
      <c r="AA184" s="48" t="n">
        <v>0.0025</v>
      </c>
      <c r="AB184" s="48" t="n">
        <v>0.005</v>
      </c>
      <c r="AC184" s="48" t="n">
        <v>0.0075</v>
      </c>
      <c r="AE184" s="48" t="n">
        <v>-0.25</v>
      </c>
      <c r="AF184" s="53" t="n">
        <v>1.5</v>
      </c>
      <c r="AG184" s="48" t="n">
        <v>0.25</v>
      </c>
      <c r="AI184" s="48" t="n">
        <v>-0.1</v>
      </c>
      <c r="AJ184" s="48" t="n">
        <v>0.3</v>
      </c>
      <c r="AK184" s="48" t="n">
        <v>0.1</v>
      </c>
      <c r="AM184" s="9" t="n">
        <v>60</v>
      </c>
      <c r="AN184" s="50" t="n">
        <v>0.4</v>
      </c>
      <c r="BE184" s="3" t="n">
        <v>41913</v>
      </c>
      <c r="BF184" s="52" t="n">
        <v>0.9</v>
      </c>
    </row>
    <row r="185" customFormat="false" ht="12.75" hidden="false" customHeight="false" outlineLevel="0" collapsed="false">
      <c r="A185" s="44" t="n">
        <v>41061</v>
      </c>
      <c r="B185" s="45" t="n">
        <v>56.7399984741211</v>
      </c>
      <c r="C185" s="46" t="n">
        <v>63.8499984741211</v>
      </c>
      <c r="D185" s="45" t="n">
        <v>71.4599984741211</v>
      </c>
      <c r="E185" s="32"/>
      <c r="F185" s="47" t="n">
        <v>14.6200012207031</v>
      </c>
      <c r="G185" s="47" t="n">
        <v>18.1750012207031</v>
      </c>
      <c r="H185" s="47" t="n">
        <v>21.7300012207031</v>
      </c>
      <c r="I185" s="9"/>
      <c r="J185" s="3" t="n">
        <v>41944</v>
      </c>
      <c r="K185" s="48" t="n">
        <v>18.2562496185303</v>
      </c>
      <c r="L185" s="48" t="n">
        <v>19.6437496185303</v>
      </c>
      <c r="M185" s="48" t="n">
        <v>21.0312496185303</v>
      </c>
      <c r="O185" s="48" t="n">
        <v>14.0750003814697</v>
      </c>
      <c r="P185" s="48" t="n">
        <v>18.3750003814697</v>
      </c>
      <c r="Q185" s="48" t="n">
        <v>22.6750003814697</v>
      </c>
      <c r="S185" s="48" t="n">
        <v>0</v>
      </c>
      <c r="T185" s="48" t="n">
        <v>0</v>
      </c>
      <c r="U185" s="48" t="n">
        <v>0</v>
      </c>
      <c r="W185" s="48" t="n">
        <v>0.0371215950632214</v>
      </c>
      <c r="X185" s="53" t="n">
        <v>0.0742431901264429</v>
      </c>
      <c r="Y185" s="48" t="n">
        <v>0.111364785189664</v>
      </c>
      <c r="AA185" s="48" t="n">
        <v>0.0025</v>
      </c>
      <c r="AB185" s="48" t="n">
        <v>0.005</v>
      </c>
      <c r="AC185" s="48" t="n">
        <v>0.0075</v>
      </c>
      <c r="AE185" s="48" t="n">
        <v>-0.25</v>
      </c>
      <c r="AF185" s="53" t="n">
        <v>1.5</v>
      </c>
      <c r="AG185" s="48" t="n">
        <v>0.25</v>
      </c>
      <c r="AI185" s="48" t="n">
        <v>-0.1</v>
      </c>
      <c r="AJ185" s="48" t="n">
        <v>0.3</v>
      </c>
      <c r="AK185" s="48" t="n">
        <v>0.1</v>
      </c>
      <c r="AM185" s="9" t="n">
        <v>60</v>
      </c>
      <c r="AN185" s="50" t="n">
        <v>0.4</v>
      </c>
      <c r="BE185" s="3" t="n">
        <v>41944</v>
      </c>
      <c r="BF185" s="52" t="n">
        <v>0.9</v>
      </c>
    </row>
    <row r="186" customFormat="false" ht="12.75" hidden="false" customHeight="false" outlineLevel="0" collapsed="false">
      <c r="A186" s="44" t="n">
        <v>41091</v>
      </c>
      <c r="B186" s="45" t="n">
        <v>106.449996948242</v>
      </c>
      <c r="C186" s="46" t="n">
        <v>111.449996948242</v>
      </c>
      <c r="D186" s="45" t="n">
        <v>116.949996948242</v>
      </c>
      <c r="E186" s="32"/>
      <c r="F186" s="47" t="n">
        <v>15.3649998474121</v>
      </c>
      <c r="G186" s="47" t="n">
        <v>17.8649998474121</v>
      </c>
      <c r="H186" s="47" t="n">
        <v>20.3649998474121</v>
      </c>
      <c r="I186" s="9"/>
      <c r="J186" s="3" t="n">
        <v>41974</v>
      </c>
      <c r="K186" s="48" t="n">
        <v>22.401250076294</v>
      </c>
      <c r="L186" s="48" t="n">
        <v>23.788750076294</v>
      </c>
      <c r="M186" s="48" t="n">
        <v>25.176250076294</v>
      </c>
      <c r="O186" s="48" t="n">
        <v>14.5250001907349</v>
      </c>
      <c r="P186" s="48" t="n">
        <v>18.8250001907349</v>
      </c>
      <c r="Q186" s="48" t="n">
        <v>23.1250001907349</v>
      </c>
      <c r="S186" s="48" t="n">
        <v>0</v>
      </c>
      <c r="T186" s="48" t="n">
        <v>0</v>
      </c>
      <c r="U186" s="48" t="n">
        <v>0</v>
      </c>
      <c r="W186" s="48" t="n">
        <v>0.0371215950632214</v>
      </c>
      <c r="X186" s="53" t="n">
        <v>0.0742431901264429</v>
      </c>
      <c r="Y186" s="48" t="n">
        <v>0.111364785189664</v>
      </c>
      <c r="AA186" s="48" t="n">
        <v>0.0025</v>
      </c>
      <c r="AB186" s="48" t="n">
        <v>0.005</v>
      </c>
      <c r="AC186" s="48" t="n">
        <v>0.0075</v>
      </c>
      <c r="AE186" s="48" t="n">
        <v>-0.25</v>
      </c>
      <c r="AF186" s="53" t="n">
        <v>1.5</v>
      </c>
      <c r="AG186" s="48" t="n">
        <v>0.25</v>
      </c>
      <c r="AI186" s="48" t="n">
        <v>-0.1</v>
      </c>
      <c r="AJ186" s="48" t="n">
        <v>0.3</v>
      </c>
      <c r="AK186" s="48" t="n">
        <v>0.1</v>
      </c>
      <c r="AM186" s="9" t="n">
        <v>60</v>
      </c>
      <c r="AN186" s="50" t="n">
        <v>0.4</v>
      </c>
      <c r="BE186" s="3" t="n">
        <v>41974</v>
      </c>
      <c r="BF186" s="52" t="n">
        <v>0.9</v>
      </c>
    </row>
    <row r="187" customFormat="false" ht="12.75" hidden="false" customHeight="false" outlineLevel="0" collapsed="false">
      <c r="A187" s="44" t="n">
        <v>41122</v>
      </c>
      <c r="B187" s="45" t="n">
        <v>93.4499969482422</v>
      </c>
      <c r="C187" s="46" t="n">
        <v>98.4499969482422</v>
      </c>
      <c r="D187" s="45" t="n">
        <v>103.949996948242</v>
      </c>
      <c r="E187" s="32"/>
      <c r="F187" s="47" t="n">
        <v>15.4149990844727</v>
      </c>
      <c r="G187" s="47" t="n">
        <v>17.9149990844727</v>
      </c>
      <c r="H187" s="47" t="n">
        <v>20.4149990844727</v>
      </c>
      <c r="I187" s="9"/>
      <c r="J187" s="3" t="n">
        <v>42005</v>
      </c>
      <c r="K187" s="48" t="n">
        <v>32.7987487792969</v>
      </c>
      <c r="L187" s="48" t="n">
        <v>34.4987487792969</v>
      </c>
      <c r="M187" s="48" t="n">
        <v>35.9987487792969</v>
      </c>
      <c r="O187" s="48" t="n">
        <v>28.7025005340576</v>
      </c>
      <c r="P187" s="48" t="n">
        <v>33.0025005340576</v>
      </c>
      <c r="Q187" s="48" t="n">
        <v>37.3025005340576</v>
      </c>
      <c r="S187" s="48" t="n">
        <v>0.25</v>
      </c>
      <c r="T187" s="48" t="n">
        <v>0.25</v>
      </c>
      <c r="U187" s="48" t="n">
        <v>0.25</v>
      </c>
      <c r="W187" s="48" t="n">
        <v>0.0570187700171081</v>
      </c>
      <c r="X187" s="53" t="n">
        <v>0.114037540034216</v>
      </c>
      <c r="Y187" s="48" t="n">
        <v>0.171056310051324</v>
      </c>
      <c r="AA187" s="48" t="n">
        <v>0.0025</v>
      </c>
      <c r="AB187" s="48" t="n">
        <v>0.005</v>
      </c>
      <c r="AC187" s="48" t="n">
        <v>0.0075</v>
      </c>
      <c r="AE187" s="48" t="n">
        <v>-0.4</v>
      </c>
      <c r="AF187" s="53" t="n">
        <v>1.75</v>
      </c>
      <c r="AG187" s="48" t="n">
        <v>0.5</v>
      </c>
      <c r="AI187" s="48" t="n">
        <v>-0.1</v>
      </c>
      <c r="AJ187" s="48" t="n">
        <v>0.3</v>
      </c>
      <c r="AK187" s="48" t="n">
        <v>0.1</v>
      </c>
      <c r="AM187" s="9" t="n">
        <v>61</v>
      </c>
      <c r="AN187" s="50" t="n">
        <v>0.4</v>
      </c>
      <c r="BE187" s="3" t="n">
        <v>42005</v>
      </c>
      <c r="BF187" s="52" t="n">
        <v>0.9</v>
      </c>
    </row>
    <row r="188" customFormat="false" ht="12.75" hidden="false" customHeight="false" outlineLevel="0" collapsed="false">
      <c r="A188" s="44" t="n">
        <v>41153</v>
      </c>
      <c r="B188" s="45" t="n">
        <v>35.6249984741211</v>
      </c>
      <c r="C188" s="46" t="n">
        <v>37.4249984741211</v>
      </c>
      <c r="D188" s="45" t="n">
        <v>39.7249984741211</v>
      </c>
      <c r="E188" s="32"/>
      <c r="F188" s="47" t="n">
        <v>17.0149990844727</v>
      </c>
      <c r="G188" s="47" t="n">
        <v>17.9149990844727</v>
      </c>
      <c r="H188" s="47" t="n">
        <v>18.8149990844727</v>
      </c>
      <c r="I188" s="9"/>
      <c r="J188" s="3" t="n">
        <v>42036</v>
      </c>
      <c r="K188" s="48" t="n">
        <v>31.7962501525879</v>
      </c>
      <c r="L188" s="48" t="n">
        <v>33.4962501525879</v>
      </c>
      <c r="M188" s="48" t="n">
        <v>34.9962501525879</v>
      </c>
      <c r="O188" s="48" t="n">
        <v>26.6974994659424</v>
      </c>
      <c r="P188" s="48" t="n">
        <v>30.9974994659424</v>
      </c>
      <c r="Q188" s="48" t="n">
        <v>35.2974994659424</v>
      </c>
      <c r="S188" s="48" t="n">
        <v>0</v>
      </c>
      <c r="T188" s="48" t="n">
        <v>0</v>
      </c>
      <c r="U188" s="48" t="n">
        <v>0</v>
      </c>
      <c r="W188" s="48" t="n">
        <v>0.0570187700171081</v>
      </c>
      <c r="X188" s="53" t="n">
        <v>0.114037540034216</v>
      </c>
      <c r="Y188" s="48" t="n">
        <v>0.171056310051324</v>
      </c>
      <c r="AA188" s="48" t="n">
        <v>0.0025</v>
      </c>
      <c r="AB188" s="48" t="n">
        <v>0.005</v>
      </c>
      <c r="AC188" s="48" t="n">
        <v>0.0075</v>
      </c>
      <c r="AE188" s="48" t="n">
        <v>-0.4</v>
      </c>
      <c r="AF188" s="53" t="n">
        <v>1.75</v>
      </c>
      <c r="AG188" s="48" t="n">
        <v>0.5</v>
      </c>
      <c r="AI188" s="48" t="n">
        <v>-0.1</v>
      </c>
      <c r="AJ188" s="48" t="n">
        <v>0.3</v>
      </c>
      <c r="AK188" s="48" t="n">
        <v>0.1</v>
      </c>
      <c r="AM188" s="9" t="n">
        <v>61</v>
      </c>
      <c r="AN188" s="50" t="n">
        <v>0.4</v>
      </c>
      <c r="BE188" s="3" t="n">
        <v>42036</v>
      </c>
      <c r="BF188" s="52" t="n">
        <v>0.9</v>
      </c>
    </row>
    <row r="189" customFormat="false" ht="12.75" hidden="false" customHeight="false" outlineLevel="0" collapsed="false">
      <c r="A189" s="44" t="n">
        <v>41183</v>
      </c>
      <c r="B189" s="45" t="n">
        <v>28.9250003814697</v>
      </c>
      <c r="C189" s="46" t="n">
        <v>30.5750003814697</v>
      </c>
      <c r="D189" s="45" t="n">
        <v>32.7250003814697</v>
      </c>
      <c r="E189" s="32"/>
      <c r="F189" s="47" t="n">
        <v>16.7899998474121</v>
      </c>
      <c r="G189" s="47" t="n">
        <v>17.6149998474121</v>
      </c>
      <c r="H189" s="47" t="n">
        <v>18.4399998474121</v>
      </c>
      <c r="I189" s="9"/>
      <c r="J189" s="3" t="n">
        <v>42064</v>
      </c>
      <c r="K189" s="48" t="n">
        <v>21.0097496032715</v>
      </c>
      <c r="L189" s="48" t="n">
        <v>21.8347496032715</v>
      </c>
      <c r="M189" s="48" t="n">
        <v>22.6597496032715</v>
      </c>
      <c r="O189" s="48" t="n">
        <v>17.1644989013672</v>
      </c>
      <c r="P189" s="48" t="n">
        <v>21.4644989013672</v>
      </c>
      <c r="Q189" s="48" t="n">
        <v>25.7644989013672</v>
      </c>
      <c r="S189" s="48" t="n">
        <v>0</v>
      </c>
      <c r="T189" s="48" t="n">
        <v>0</v>
      </c>
      <c r="U189" s="48" t="n">
        <v>0</v>
      </c>
      <c r="W189" s="48" t="n">
        <v>0.0475156416809234</v>
      </c>
      <c r="X189" s="53" t="n">
        <v>0.0950312833618469</v>
      </c>
      <c r="Y189" s="48" t="n">
        <v>0.14254692504277</v>
      </c>
      <c r="AA189" s="48" t="n">
        <v>0.0025</v>
      </c>
      <c r="AB189" s="48" t="n">
        <v>0.005</v>
      </c>
      <c r="AC189" s="48" t="n">
        <v>0.0075</v>
      </c>
      <c r="AE189" s="48" t="n">
        <v>-0.25</v>
      </c>
      <c r="AF189" s="53" t="n">
        <v>1.1</v>
      </c>
      <c r="AG189" s="48" t="n">
        <v>0.25</v>
      </c>
      <c r="AI189" s="48" t="n">
        <v>-0.1</v>
      </c>
      <c r="AJ189" s="48" t="n">
        <v>0.3</v>
      </c>
      <c r="AK189" s="48" t="n">
        <v>0.1</v>
      </c>
      <c r="AM189" s="9" t="n">
        <v>61</v>
      </c>
      <c r="AN189" s="50" t="n">
        <v>0.4</v>
      </c>
      <c r="BE189" s="3" t="n">
        <v>42064</v>
      </c>
      <c r="BF189" s="52" t="n">
        <v>0.9</v>
      </c>
    </row>
    <row r="190" customFormat="false" ht="12.75" hidden="false" customHeight="false" outlineLevel="0" collapsed="false">
      <c r="A190" s="44" t="n">
        <v>41214</v>
      </c>
      <c r="B190" s="45" t="n">
        <v>28.5974990844727</v>
      </c>
      <c r="C190" s="46" t="n">
        <v>30.2474990844727</v>
      </c>
      <c r="D190" s="45" t="n">
        <v>32.3974990844727</v>
      </c>
      <c r="E190" s="32"/>
      <c r="F190" s="47" t="n">
        <v>15.0399998474121</v>
      </c>
      <c r="G190" s="47" t="n">
        <v>15.8649998474121</v>
      </c>
      <c r="H190" s="47" t="n">
        <v>16.6899998474121</v>
      </c>
      <c r="I190" s="9"/>
      <c r="J190" s="3" t="n">
        <v>42095</v>
      </c>
      <c r="K190" s="48" t="n">
        <v>21.8050003051758</v>
      </c>
      <c r="L190" s="48" t="n">
        <v>22.5175003051758</v>
      </c>
      <c r="M190" s="48" t="n">
        <v>23.2300003051758</v>
      </c>
      <c r="O190" s="48" t="n">
        <v>16.9349990844727</v>
      </c>
      <c r="P190" s="48" t="n">
        <v>21.2349990844727</v>
      </c>
      <c r="Q190" s="48" t="n">
        <v>25.5349990844727</v>
      </c>
      <c r="S190" s="48" t="n">
        <v>0</v>
      </c>
      <c r="T190" s="48" t="n">
        <v>0</v>
      </c>
      <c r="U190" s="48" t="n">
        <v>0</v>
      </c>
      <c r="W190" s="48" t="n">
        <v>0.0451398595968773</v>
      </c>
      <c r="X190" s="53" t="n">
        <v>0.0902797191937545</v>
      </c>
      <c r="Y190" s="48" t="n">
        <v>0.135419578790632</v>
      </c>
      <c r="AA190" s="48" t="n">
        <v>0.0025</v>
      </c>
      <c r="AB190" s="48" t="n">
        <v>0.005</v>
      </c>
      <c r="AC190" s="48" t="n">
        <v>0.0075</v>
      </c>
      <c r="AE190" s="48" t="n">
        <v>-0.25</v>
      </c>
      <c r="AF190" s="53" t="n">
        <v>1.2</v>
      </c>
      <c r="AG190" s="48" t="n">
        <v>0.25</v>
      </c>
      <c r="AI190" s="48" t="n">
        <v>-0.1</v>
      </c>
      <c r="AJ190" s="48" t="n">
        <v>0.3</v>
      </c>
      <c r="AK190" s="48" t="n">
        <v>0.1</v>
      </c>
      <c r="AM190" s="9" t="n">
        <v>62</v>
      </c>
      <c r="AN190" s="50" t="n">
        <v>0.4</v>
      </c>
      <c r="BE190" s="3" t="n">
        <v>42095</v>
      </c>
      <c r="BF190" s="52" t="n">
        <v>0.9</v>
      </c>
    </row>
    <row r="191" customFormat="false" ht="12.75" hidden="false" customHeight="false" outlineLevel="0" collapsed="false">
      <c r="A191" s="44" t="n">
        <v>41244</v>
      </c>
      <c r="B191" s="45" t="n">
        <v>30.3499996185303</v>
      </c>
      <c r="C191" s="46" t="n">
        <v>31.9999996185303</v>
      </c>
      <c r="D191" s="45" t="n">
        <v>34.1499996185303</v>
      </c>
      <c r="E191" s="32"/>
      <c r="F191" s="47" t="n">
        <v>15.8900002288818</v>
      </c>
      <c r="G191" s="47" t="n">
        <v>16.7150002288818</v>
      </c>
      <c r="H191" s="47" t="n">
        <v>17.5400002288818</v>
      </c>
      <c r="I191" s="9"/>
      <c r="J191" s="3" t="n">
        <v>42125</v>
      </c>
      <c r="K191" s="48" t="n">
        <v>20.772500076294</v>
      </c>
      <c r="L191" s="48" t="n">
        <v>22.632500076294</v>
      </c>
      <c r="M191" s="48" t="n">
        <v>24.492500076294</v>
      </c>
      <c r="O191" s="48" t="n">
        <v>17.4649997711182</v>
      </c>
      <c r="P191" s="48" t="n">
        <v>21.7649997711182</v>
      </c>
      <c r="Q191" s="48" t="n">
        <v>26.0649997711182</v>
      </c>
      <c r="S191" s="48" t="n">
        <v>0</v>
      </c>
      <c r="T191" s="48" t="n">
        <v>0</v>
      </c>
      <c r="U191" s="48" t="n">
        <v>0</v>
      </c>
      <c r="W191" s="48" t="n">
        <v>0.0498914237649696</v>
      </c>
      <c r="X191" s="53" t="n">
        <v>0.0997828475299392</v>
      </c>
      <c r="Y191" s="48" t="n">
        <v>0.149674271294909</v>
      </c>
      <c r="AA191" s="48" t="n">
        <v>0.0025</v>
      </c>
      <c r="AB191" s="48" t="n">
        <v>0.005</v>
      </c>
      <c r="AC191" s="48" t="n">
        <v>0.0075</v>
      </c>
      <c r="AE191" s="48" t="n">
        <v>-0.25</v>
      </c>
      <c r="AF191" s="53" t="n">
        <v>2</v>
      </c>
      <c r="AG191" s="48" t="n">
        <v>0.25</v>
      </c>
      <c r="AI191" s="48" t="n">
        <v>-0.1</v>
      </c>
      <c r="AJ191" s="48" t="n">
        <v>0.3</v>
      </c>
      <c r="AK191" s="48" t="n">
        <v>0.1</v>
      </c>
      <c r="AM191" s="9" t="n">
        <v>62</v>
      </c>
      <c r="AN191" s="50" t="n">
        <v>0.4</v>
      </c>
      <c r="BE191" s="3" t="n">
        <v>42125</v>
      </c>
      <c r="BF191" s="52" t="n">
        <v>0.9</v>
      </c>
    </row>
    <row r="192" customFormat="false" ht="12.75" hidden="false" customHeight="false" outlineLevel="0" collapsed="false">
      <c r="A192" s="44" t="n">
        <v>41275</v>
      </c>
      <c r="B192" s="45" t="n">
        <v>38.7749984741211</v>
      </c>
      <c r="C192" s="46" t="n">
        <v>40.5749984741211</v>
      </c>
      <c r="D192" s="45" t="n">
        <v>42.8749984741211</v>
      </c>
      <c r="E192" s="32"/>
      <c r="F192" s="47" t="n">
        <v>20.1149975585938</v>
      </c>
      <c r="G192" s="47" t="n">
        <v>21.0149975585938</v>
      </c>
      <c r="H192" s="47" t="n">
        <v>21.9149975585937</v>
      </c>
      <c r="I192" s="9"/>
      <c r="J192" s="3" t="n">
        <v>42156</v>
      </c>
      <c r="K192" s="48" t="n">
        <v>21.8762501525879</v>
      </c>
      <c r="L192" s="48" t="n">
        <v>27.2087501525879</v>
      </c>
      <c r="M192" s="48" t="n">
        <v>32.5412501525879</v>
      </c>
      <c r="O192" s="48" t="n">
        <v>16.3924995422363</v>
      </c>
      <c r="P192" s="48" t="n">
        <v>20.6924995422363</v>
      </c>
      <c r="Q192" s="48" t="n">
        <v>24.9924995422363</v>
      </c>
      <c r="S192" s="48" t="n">
        <v>0</v>
      </c>
      <c r="T192" s="48" t="n">
        <v>0</v>
      </c>
      <c r="U192" s="48" t="n">
        <v>0</v>
      </c>
      <c r="W192" s="48" t="n">
        <v>0.0641461162692467</v>
      </c>
      <c r="X192" s="53" t="n">
        <v>0.128292232538493</v>
      </c>
      <c r="Y192" s="48" t="n">
        <v>0.19243834880774</v>
      </c>
      <c r="AA192" s="48" t="n">
        <v>0.0025</v>
      </c>
      <c r="AB192" s="48" t="n">
        <v>0.005</v>
      </c>
      <c r="AC192" s="48" t="n">
        <v>0.0075</v>
      </c>
      <c r="AE192" s="48" t="n">
        <v>-0.75</v>
      </c>
      <c r="AF192" s="53" t="n">
        <v>2.25</v>
      </c>
      <c r="AG192" s="48" t="n">
        <v>0.75</v>
      </c>
      <c r="AI192" s="48" t="n">
        <v>-0.1</v>
      </c>
      <c r="AJ192" s="48" t="n">
        <v>0.3</v>
      </c>
      <c r="AK192" s="48" t="n">
        <v>0.1</v>
      </c>
      <c r="AM192" s="9" t="n">
        <v>62</v>
      </c>
      <c r="AN192" s="50" t="n">
        <v>0.4</v>
      </c>
      <c r="BE192" s="3" t="n">
        <v>42156</v>
      </c>
      <c r="BF192" s="52" t="n">
        <v>0.9</v>
      </c>
    </row>
    <row r="193" customFormat="false" ht="12.75" hidden="false" customHeight="false" outlineLevel="0" collapsed="false">
      <c r="A193" s="44" t="n">
        <v>41306</v>
      </c>
      <c r="B193" s="45" t="n">
        <v>38.7749984741211</v>
      </c>
      <c r="C193" s="46" t="n">
        <v>40.5749984741211</v>
      </c>
      <c r="D193" s="45" t="n">
        <v>42.8749984741211</v>
      </c>
      <c r="E193" s="32"/>
      <c r="F193" s="47" t="n">
        <v>20.264997177124</v>
      </c>
      <c r="G193" s="47" t="n">
        <v>21.164997177124</v>
      </c>
      <c r="H193" s="47" t="n">
        <v>22.064997177124</v>
      </c>
      <c r="I193" s="9"/>
      <c r="J193" s="3" t="n">
        <v>42186</v>
      </c>
      <c r="K193" s="48" t="n">
        <v>37.9112495422363</v>
      </c>
      <c r="L193" s="48" t="n">
        <v>41.6612495422363</v>
      </c>
      <c r="M193" s="48" t="n">
        <v>45.4112495422363</v>
      </c>
      <c r="O193" s="48" t="n">
        <v>26.8474994659424</v>
      </c>
      <c r="P193" s="48" t="n">
        <v>31.1474994659424</v>
      </c>
      <c r="Q193" s="48" t="n">
        <v>35.4474994659424</v>
      </c>
      <c r="S193" s="48" t="n">
        <v>0</v>
      </c>
      <c r="T193" s="48" t="n">
        <v>0</v>
      </c>
      <c r="U193" s="48" t="n">
        <v>0</v>
      </c>
      <c r="W193" s="48" t="n">
        <v>0.0784008087735237</v>
      </c>
      <c r="X193" s="53" t="n">
        <v>0.156801617547047</v>
      </c>
      <c r="Y193" s="48" t="n">
        <v>0.235202426320571</v>
      </c>
      <c r="AA193" s="48" t="n">
        <v>0.0025</v>
      </c>
      <c r="AB193" s="48" t="n">
        <v>0.005</v>
      </c>
      <c r="AC193" s="48" t="n">
        <v>0.0075</v>
      </c>
      <c r="AE193" s="48" t="n">
        <v>-1</v>
      </c>
      <c r="AF193" s="53" t="n">
        <v>3</v>
      </c>
      <c r="AG193" s="48" t="n">
        <v>1</v>
      </c>
      <c r="AI193" s="48" t="n">
        <v>-0.1</v>
      </c>
      <c r="AJ193" s="48" t="n">
        <v>0.3</v>
      </c>
      <c r="AK193" s="48" t="n">
        <v>0.1</v>
      </c>
      <c r="AM193" s="9" t="n">
        <v>63</v>
      </c>
      <c r="AN193" s="50" t="n">
        <v>0.4</v>
      </c>
      <c r="BE193" s="3" t="n">
        <v>42186</v>
      </c>
      <c r="BF193" s="52" t="n">
        <v>0.9</v>
      </c>
    </row>
    <row r="194" customFormat="false" ht="12.75" hidden="false" customHeight="false" outlineLevel="0" collapsed="false">
      <c r="A194" s="44" t="n">
        <v>41334</v>
      </c>
      <c r="B194" s="45" t="n">
        <v>29.3000007629395</v>
      </c>
      <c r="C194" s="46" t="n">
        <v>30.3000007629395</v>
      </c>
      <c r="D194" s="45" t="n">
        <v>31.8000007629395</v>
      </c>
      <c r="E194" s="32"/>
      <c r="F194" s="47" t="n">
        <v>17.9149990844727</v>
      </c>
      <c r="G194" s="47" t="n">
        <v>18.4149990844727</v>
      </c>
      <c r="H194" s="47" t="n">
        <v>18.9149990844727</v>
      </c>
      <c r="I194" s="9"/>
      <c r="J194" s="3" t="n">
        <v>42217</v>
      </c>
      <c r="K194" s="48" t="n">
        <v>40.1724990844727</v>
      </c>
      <c r="L194" s="48" t="n">
        <v>43.9224990844727</v>
      </c>
      <c r="M194" s="48" t="n">
        <v>47.6724990844727</v>
      </c>
      <c r="O194" s="48" t="n">
        <v>28.3450008392334</v>
      </c>
      <c r="P194" s="48" t="n">
        <v>32.6450008392334</v>
      </c>
      <c r="Q194" s="48" t="n">
        <v>36.9450008392334</v>
      </c>
      <c r="S194" s="48" t="n">
        <v>0</v>
      </c>
      <c r="T194" s="48" t="n">
        <v>0</v>
      </c>
      <c r="U194" s="48" t="n">
        <v>0</v>
      </c>
      <c r="W194" s="48" t="n">
        <v>0.0784008087735237</v>
      </c>
      <c r="X194" s="53" t="n">
        <v>0.156801617547047</v>
      </c>
      <c r="Y194" s="48" t="n">
        <v>0.235202426320571</v>
      </c>
      <c r="AA194" s="48" t="n">
        <v>0.0025</v>
      </c>
      <c r="AB194" s="48" t="n">
        <v>0.005</v>
      </c>
      <c r="AC194" s="48" t="n">
        <v>0.0075</v>
      </c>
      <c r="AE194" s="48" t="n">
        <v>-1</v>
      </c>
      <c r="AF194" s="53" t="n">
        <v>3</v>
      </c>
      <c r="AG194" s="48" t="n">
        <v>1</v>
      </c>
      <c r="AI194" s="48" t="n">
        <v>-0.1</v>
      </c>
      <c r="AJ194" s="48" t="n">
        <v>0.3</v>
      </c>
      <c r="AK194" s="48" t="n">
        <v>0.1</v>
      </c>
      <c r="AM194" s="9" t="n">
        <v>63</v>
      </c>
      <c r="AN194" s="50" t="n">
        <v>0.4</v>
      </c>
      <c r="BE194" s="3" t="n">
        <v>42217</v>
      </c>
      <c r="BF194" s="52" t="n">
        <v>0.9</v>
      </c>
    </row>
    <row r="195" customFormat="false" ht="12.75" hidden="false" customHeight="false" outlineLevel="0" collapsed="false">
      <c r="A195" s="44" t="n">
        <v>41365</v>
      </c>
      <c r="B195" s="45" t="n">
        <v>29.2250007629395</v>
      </c>
      <c r="C195" s="46" t="n">
        <v>30.0750007629395</v>
      </c>
      <c r="D195" s="45" t="n">
        <v>31.4250007629395</v>
      </c>
      <c r="E195" s="32"/>
      <c r="F195" s="47" t="n">
        <v>18.2399990844727</v>
      </c>
      <c r="G195" s="47" t="n">
        <v>18.6649990844727</v>
      </c>
      <c r="H195" s="47" t="n">
        <v>19.0899990844727</v>
      </c>
      <c r="I195" s="9"/>
      <c r="J195" s="3" t="n">
        <v>42248</v>
      </c>
      <c r="K195" s="48" t="n">
        <v>19.5549995422363</v>
      </c>
      <c r="L195" s="48" t="n">
        <v>21.1299995422363</v>
      </c>
      <c r="M195" s="48" t="n">
        <v>22.7049995422363</v>
      </c>
      <c r="O195" s="48" t="n">
        <v>13.4100004196167</v>
      </c>
      <c r="P195" s="48" t="n">
        <v>17.7100004196167</v>
      </c>
      <c r="Q195" s="48" t="n">
        <v>22.0100004196167</v>
      </c>
      <c r="S195" s="48" t="n">
        <v>0</v>
      </c>
      <c r="T195" s="48" t="n">
        <v>0</v>
      </c>
      <c r="U195" s="48" t="n">
        <v>0</v>
      </c>
      <c r="W195" s="48" t="n">
        <v>0.0503953775403733</v>
      </c>
      <c r="X195" s="53" t="n">
        <v>0.100790755080747</v>
      </c>
      <c r="Y195" s="48" t="n">
        <v>0.15118613262112</v>
      </c>
      <c r="AA195" s="48" t="n">
        <v>0.0025</v>
      </c>
      <c r="AB195" s="48" t="n">
        <v>0.005</v>
      </c>
      <c r="AC195" s="48" t="n">
        <v>0.0075</v>
      </c>
      <c r="AE195" s="48" t="n">
        <v>-0.4</v>
      </c>
      <c r="AF195" s="53" t="n">
        <v>1.75</v>
      </c>
      <c r="AG195" s="48" t="n">
        <v>0.5</v>
      </c>
      <c r="AI195" s="48" t="n">
        <v>-0.1</v>
      </c>
      <c r="AJ195" s="48" t="n">
        <v>0.3</v>
      </c>
      <c r="AK195" s="48" t="n">
        <v>0.1</v>
      </c>
      <c r="AM195" s="9" t="n">
        <v>63</v>
      </c>
      <c r="AN195" s="50" t="n">
        <v>0.4</v>
      </c>
      <c r="BE195" s="3" t="n">
        <v>42248</v>
      </c>
      <c r="BF195" s="52" t="n">
        <v>0.9</v>
      </c>
    </row>
    <row r="196" customFormat="false" ht="12.75" hidden="false" customHeight="false" outlineLevel="0" collapsed="false">
      <c r="A196" s="44" t="n">
        <v>41395</v>
      </c>
      <c r="B196" s="45" t="n">
        <v>35.595</v>
      </c>
      <c r="C196" s="46" t="n">
        <v>38.075</v>
      </c>
      <c r="D196" s="45" t="n">
        <v>41.055</v>
      </c>
      <c r="E196" s="32"/>
      <c r="F196" s="47" t="n">
        <v>16.8749998474121</v>
      </c>
      <c r="G196" s="47" t="n">
        <v>18.1149998474121</v>
      </c>
      <c r="H196" s="47" t="n">
        <v>19.3549998474121</v>
      </c>
      <c r="I196" s="9"/>
      <c r="J196" s="3" t="n">
        <v>42278</v>
      </c>
      <c r="K196" s="48" t="n">
        <v>18.7194995880127</v>
      </c>
      <c r="L196" s="48" t="n">
        <v>20.1819995880127</v>
      </c>
      <c r="M196" s="48" t="n">
        <v>21.6444995880127</v>
      </c>
      <c r="O196" s="48" t="n">
        <v>13.5540004730225</v>
      </c>
      <c r="P196" s="48" t="n">
        <v>17.8540004730225</v>
      </c>
      <c r="Q196" s="48" t="n">
        <v>22.1540004730225</v>
      </c>
      <c r="S196" s="48" t="n">
        <v>0</v>
      </c>
      <c r="T196" s="48" t="n">
        <v>0</v>
      </c>
      <c r="U196" s="48" t="n">
        <v>0</v>
      </c>
      <c r="W196" s="48" t="n">
        <v>0.0356367312606926</v>
      </c>
      <c r="X196" s="53" t="n">
        <v>0.0712734625213851</v>
      </c>
      <c r="Y196" s="48" t="n">
        <v>0.106910193782078</v>
      </c>
      <c r="AA196" s="48" t="n">
        <v>0.0025</v>
      </c>
      <c r="AB196" s="48" t="n">
        <v>0.005</v>
      </c>
      <c r="AC196" s="48" t="n">
        <v>0.0075</v>
      </c>
      <c r="AE196" s="48" t="n">
        <v>-0.25</v>
      </c>
      <c r="AF196" s="53" t="n">
        <v>1.5</v>
      </c>
      <c r="AG196" s="48" t="n">
        <v>0.25</v>
      </c>
      <c r="AI196" s="48" t="n">
        <v>-0.1</v>
      </c>
      <c r="AJ196" s="48" t="n">
        <v>0.3</v>
      </c>
      <c r="AK196" s="48" t="n">
        <v>0.1</v>
      </c>
      <c r="AM196" s="9" t="n">
        <v>64</v>
      </c>
      <c r="AN196" s="50" t="n">
        <v>0.4</v>
      </c>
      <c r="BE196" s="3" t="n">
        <v>42278</v>
      </c>
      <c r="BF196" s="52" t="n">
        <v>0.9</v>
      </c>
    </row>
    <row r="197" customFormat="false" ht="12.75" hidden="false" customHeight="false" outlineLevel="0" collapsed="false">
      <c r="A197" s="44" t="n">
        <v>41426</v>
      </c>
      <c r="B197" s="45" t="n">
        <v>57.4899984741211</v>
      </c>
      <c r="C197" s="46" t="n">
        <v>64.5999984741211</v>
      </c>
      <c r="D197" s="45" t="n">
        <v>72.2099984741211</v>
      </c>
      <c r="E197" s="32"/>
      <c r="F197" s="47" t="n">
        <v>14.6200012207031</v>
      </c>
      <c r="G197" s="47" t="n">
        <v>18.1750012207031</v>
      </c>
      <c r="H197" s="47" t="n">
        <v>21.7300012207031</v>
      </c>
      <c r="I197" s="9"/>
      <c r="J197" s="3" t="n">
        <v>42309</v>
      </c>
      <c r="K197" s="48" t="n">
        <v>18.1812496185303</v>
      </c>
      <c r="L197" s="48" t="n">
        <v>19.6437496185303</v>
      </c>
      <c r="M197" s="48" t="n">
        <v>21.1062496185303</v>
      </c>
      <c r="O197" s="48" t="n">
        <v>14.0750003814697</v>
      </c>
      <c r="P197" s="48" t="n">
        <v>18.3750003814697</v>
      </c>
      <c r="Q197" s="48" t="n">
        <v>22.6750003814697</v>
      </c>
      <c r="S197" s="48" t="n">
        <v>0</v>
      </c>
      <c r="T197" s="48" t="n">
        <v>0</v>
      </c>
      <c r="U197" s="48" t="n">
        <v>0</v>
      </c>
      <c r="W197" s="48" t="n">
        <v>0.0356367312606926</v>
      </c>
      <c r="X197" s="53" t="n">
        <v>0.0712734625213851</v>
      </c>
      <c r="Y197" s="48" t="n">
        <v>0.106910193782078</v>
      </c>
      <c r="AA197" s="48" t="n">
        <v>0.0025</v>
      </c>
      <c r="AB197" s="48" t="n">
        <v>0.005</v>
      </c>
      <c r="AC197" s="48" t="n">
        <v>0.0075</v>
      </c>
      <c r="AE197" s="48" t="n">
        <v>-0.25</v>
      </c>
      <c r="AF197" s="53" t="n">
        <v>1.5</v>
      </c>
      <c r="AG197" s="48" t="n">
        <v>0.25</v>
      </c>
      <c r="AI197" s="48" t="n">
        <v>-0.1</v>
      </c>
      <c r="AJ197" s="48" t="n">
        <v>0.3</v>
      </c>
      <c r="AK197" s="48" t="n">
        <v>0.1</v>
      </c>
      <c r="AM197" s="9" t="n">
        <v>64</v>
      </c>
      <c r="AN197" s="50" t="n">
        <v>0.4</v>
      </c>
      <c r="BE197" s="3" t="n">
        <v>42309</v>
      </c>
      <c r="BF197" s="52" t="n">
        <v>0.9</v>
      </c>
    </row>
    <row r="198" customFormat="false" ht="12.75" hidden="false" customHeight="false" outlineLevel="0" collapsed="false">
      <c r="A198" s="44" t="n">
        <v>41456</v>
      </c>
      <c r="B198" s="45" t="n">
        <v>108.699996948242</v>
      </c>
      <c r="C198" s="46" t="n">
        <v>113.699996948242</v>
      </c>
      <c r="D198" s="45" t="n">
        <v>119.199996948242</v>
      </c>
      <c r="E198" s="32"/>
      <c r="F198" s="47" t="n">
        <v>15.3649998474121</v>
      </c>
      <c r="G198" s="47" t="n">
        <v>17.8649998474121</v>
      </c>
      <c r="H198" s="47" t="n">
        <v>20.3649998474121</v>
      </c>
      <c r="I198" s="9"/>
      <c r="J198" s="3" t="n">
        <v>42339</v>
      </c>
      <c r="K198" s="48" t="n">
        <v>22.326250076294</v>
      </c>
      <c r="L198" s="48" t="n">
        <v>23.788750076294</v>
      </c>
      <c r="M198" s="48" t="n">
        <v>25.251250076294</v>
      </c>
      <c r="O198" s="48" t="n">
        <v>14.5250001907349</v>
      </c>
      <c r="P198" s="48" t="n">
        <v>18.8250001907349</v>
      </c>
      <c r="Q198" s="48" t="n">
        <v>23.1250001907349</v>
      </c>
      <c r="S198" s="48" t="n">
        <v>0</v>
      </c>
      <c r="T198" s="48" t="n">
        <v>0</v>
      </c>
      <c r="U198" s="48" t="n">
        <v>0</v>
      </c>
      <c r="W198" s="48" t="n">
        <v>0.0356367312606926</v>
      </c>
      <c r="X198" s="53" t="n">
        <v>0.0712734625213851</v>
      </c>
      <c r="Y198" s="48" t="n">
        <v>0.106910193782078</v>
      </c>
      <c r="AA198" s="48" t="n">
        <v>0.0025</v>
      </c>
      <c r="AB198" s="48" t="n">
        <v>0.005</v>
      </c>
      <c r="AC198" s="48" t="n">
        <v>0.0075</v>
      </c>
      <c r="AE198" s="48" t="n">
        <v>-0.25</v>
      </c>
      <c r="AF198" s="53" t="n">
        <v>1.5</v>
      </c>
      <c r="AG198" s="48" t="n">
        <v>0.25</v>
      </c>
      <c r="AI198" s="48" t="n">
        <v>-0.1</v>
      </c>
      <c r="AJ198" s="48" t="n">
        <v>0.3</v>
      </c>
      <c r="AK198" s="48" t="n">
        <v>0.1</v>
      </c>
      <c r="AM198" s="9" t="n">
        <v>64</v>
      </c>
      <c r="AN198" s="50" t="n">
        <v>0.4</v>
      </c>
      <c r="BE198" s="3" t="n">
        <v>42339</v>
      </c>
      <c r="BF198" s="52" t="n">
        <v>0.9</v>
      </c>
    </row>
    <row r="199" customFormat="false" ht="12.75" hidden="false" customHeight="false" outlineLevel="0" collapsed="false">
      <c r="A199" s="44" t="n">
        <v>41487</v>
      </c>
      <c r="B199" s="45" t="n">
        <v>95.6999969482422</v>
      </c>
      <c r="C199" s="46" t="n">
        <v>100.699996948242</v>
      </c>
      <c r="D199" s="45" t="n">
        <v>106.199996948242</v>
      </c>
      <c r="E199" s="32"/>
      <c r="F199" s="47" t="n">
        <v>15.4149990844727</v>
      </c>
      <c r="G199" s="47" t="n">
        <v>17.9149990844727</v>
      </c>
      <c r="H199" s="47" t="n">
        <v>20.4149990844727</v>
      </c>
      <c r="I199" s="9"/>
      <c r="J199" s="3" t="n">
        <v>42370</v>
      </c>
      <c r="K199" s="48" t="n">
        <v>32.7237487792969</v>
      </c>
      <c r="L199" s="48" t="n">
        <v>34.4987487792969</v>
      </c>
      <c r="M199" s="48" t="n">
        <v>36.0737487792969</v>
      </c>
      <c r="O199" s="48" t="n">
        <v>28.7025005340576</v>
      </c>
      <c r="P199" s="48" t="n">
        <v>33.0025005340576</v>
      </c>
      <c r="Q199" s="48" t="n">
        <v>37.3025005340576</v>
      </c>
      <c r="S199" s="48" t="n">
        <v>0.25</v>
      </c>
      <c r="T199" s="48" t="n">
        <v>0.25</v>
      </c>
      <c r="U199" s="48" t="n">
        <v>0.25</v>
      </c>
      <c r="W199" s="48" t="n">
        <v>0.0547380192164238</v>
      </c>
      <c r="X199" s="53" t="n">
        <v>0.109476038432848</v>
      </c>
      <c r="Y199" s="48" t="n">
        <v>0.164214057649271</v>
      </c>
      <c r="AA199" s="48" t="n">
        <v>0.0025</v>
      </c>
      <c r="AB199" s="48" t="n">
        <v>0.005</v>
      </c>
      <c r="AC199" s="48" t="n">
        <v>0.0075</v>
      </c>
      <c r="AE199" s="48" t="n">
        <v>-0.4</v>
      </c>
      <c r="AF199" s="53" t="n">
        <v>1.75</v>
      </c>
      <c r="AG199" s="48" t="n">
        <v>0.5</v>
      </c>
      <c r="AI199" s="48" t="n">
        <v>-0.1</v>
      </c>
      <c r="AJ199" s="48" t="n">
        <v>0.3</v>
      </c>
      <c r="AK199" s="48" t="n">
        <v>0.1</v>
      </c>
      <c r="AM199" s="9" t="n">
        <v>65</v>
      </c>
      <c r="AN199" s="50" t="n">
        <v>0.4</v>
      </c>
      <c r="BE199" s="3" t="n">
        <v>42370</v>
      </c>
      <c r="BF199" s="52" t="n">
        <v>0.9</v>
      </c>
    </row>
    <row r="200" customFormat="false" ht="12.75" hidden="false" customHeight="false" outlineLevel="0" collapsed="false">
      <c r="A200" s="44" t="n">
        <v>41518</v>
      </c>
      <c r="B200" s="45" t="n">
        <v>36.0249984741211</v>
      </c>
      <c r="C200" s="46" t="n">
        <v>37.9249984741211</v>
      </c>
      <c r="D200" s="45" t="n">
        <v>40.3249984741211</v>
      </c>
      <c r="E200" s="32"/>
      <c r="F200" s="47" t="n">
        <v>16.9649990844727</v>
      </c>
      <c r="G200" s="47" t="n">
        <v>17.9149990844727</v>
      </c>
      <c r="H200" s="47" t="n">
        <v>18.8649990844727</v>
      </c>
      <c r="I200" s="9"/>
      <c r="J200" s="3" t="n">
        <v>42401</v>
      </c>
      <c r="K200" s="48" t="n">
        <v>31.7212501525879</v>
      </c>
      <c r="L200" s="48" t="n">
        <v>33.4962501525879</v>
      </c>
      <c r="M200" s="48" t="n">
        <v>35.0712501525879</v>
      </c>
      <c r="O200" s="48" t="n">
        <v>26.6974994659424</v>
      </c>
      <c r="P200" s="48" t="n">
        <v>30.9974994659424</v>
      </c>
      <c r="Q200" s="48" t="n">
        <v>35.2974994659424</v>
      </c>
      <c r="S200" s="48" t="n">
        <v>0</v>
      </c>
      <c r="T200" s="48" t="n">
        <v>0</v>
      </c>
      <c r="U200" s="48" t="n">
        <v>0</v>
      </c>
      <c r="W200" s="48" t="n">
        <v>0.0547380192164238</v>
      </c>
      <c r="X200" s="53" t="n">
        <v>0.109476038432848</v>
      </c>
      <c r="Y200" s="48" t="n">
        <v>0.164214057649271</v>
      </c>
      <c r="AA200" s="48" t="n">
        <v>0.0025</v>
      </c>
      <c r="AB200" s="48" t="n">
        <v>0.005</v>
      </c>
      <c r="AC200" s="48" t="n">
        <v>0.0075</v>
      </c>
      <c r="AE200" s="48" t="n">
        <v>-0.4</v>
      </c>
      <c r="AF200" s="53" t="n">
        <v>1.75</v>
      </c>
      <c r="AG200" s="48" t="n">
        <v>0.5</v>
      </c>
      <c r="AI200" s="48" t="n">
        <v>-0.1</v>
      </c>
      <c r="AJ200" s="48" t="n">
        <v>0.3</v>
      </c>
      <c r="AK200" s="48" t="n">
        <v>0.1</v>
      </c>
      <c r="AM200" s="9" t="n">
        <v>65</v>
      </c>
      <c r="AN200" s="50" t="n">
        <v>0.4</v>
      </c>
      <c r="BE200" s="3" t="n">
        <v>42401</v>
      </c>
      <c r="BF200" s="52" t="n">
        <v>0.9</v>
      </c>
    </row>
    <row r="201" customFormat="false" ht="12.75" hidden="false" customHeight="false" outlineLevel="0" collapsed="false">
      <c r="A201" s="44" t="n">
        <v>41548</v>
      </c>
      <c r="B201" s="45" t="n">
        <v>29.0750003814697</v>
      </c>
      <c r="C201" s="46" t="n">
        <v>30.8250003814697</v>
      </c>
      <c r="D201" s="45" t="n">
        <v>33.0750003814697</v>
      </c>
      <c r="E201" s="32"/>
      <c r="F201" s="47" t="n">
        <v>16.7399998474121</v>
      </c>
      <c r="G201" s="47" t="n">
        <v>17.6149998474121</v>
      </c>
      <c r="H201" s="47" t="n">
        <v>18.4899998474121</v>
      </c>
      <c r="I201" s="9"/>
      <c r="J201" s="3" t="n">
        <v>42430</v>
      </c>
      <c r="K201" s="48" t="n">
        <v>20.9722496032715</v>
      </c>
      <c r="L201" s="48" t="n">
        <v>21.8347496032715</v>
      </c>
      <c r="M201" s="48" t="n">
        <v>22.6972496032715</v>
      </c>
      <c r="O201" s="48" t="n">
        <v>17.1644989013672</v>
      </c>
      <c r="P201" s="48" t="n">
        <v>21.4644989013672</v>
      </c>
      <c r="Q201" s="48" t="n">
        <v>25.7644989013672</v>
      </c>
      <c r="S201" s="48" t="n">
        <v>0</v>
      </c>
      <c r="T201" s="48" t="n">
        <v>0</v>
      </c>
      <c r="U201" s="48" t="n">
        <v>0</v>
      </c>
      <c r="W201" s="48" t="n">
        <v>0.0456150160136865</v>
      </c>
      <c r="X201" s="53" t="n">
        <v>0.091230032027373</v>
      </c>
      <c r="Y201" s="48" t="n">
        <v>0.136845048041059</v>
      </c>
      <c r="AA201" s="48" t="n">
        <v>0.0025</v>
      </c>
      <c r="AB201" s="48" t="n">
        <v>0.005</v>
      </c>
      <c r="AC201" s="48" t="n">
        <v>0.0075</v>
      </c>
      <c r="AE201" s="48" t="n">
        <v>-0.25</v>
      </c>
      <c r="AF201" s="53" t="n">
        <v>1.1</v>
      </c>
      <c r="AG201" s="48" t="n">
        <v>0.25</v>
      </c>
      <c r="AI201" s="48" t="n">
        <v>-0.1</v>
      </c>
      <c r="AJ201" s="48" t="n">
        <v>0.3</v>
      </c>
      <c r="AK201" s="48" t="n">
        <v>0.1</v>
      </c>
      <c r="AM201" s="9" t="n">
        <v>65</v>
      </c>
      <c r="AN201" s="50" t="n">
        <v>0.4</v>
      </c>
      <c r="BE201" s="3" t="n">
        <v>42430</v>
      </c>
      <c r="BF201" s="52" t="n">
        <v>0.9</v>
      </c>
    </row>
    <row r="202" customFormat="false" ht="12.75" hidden="false" customHeight="false" outlineLevel="0" collapsed="false">
      <c r="A202" s="44" t="n">
        <v>41579</v>
      </c>
      <c r="B202" s="45" t="n">
        <v>28.7474990844727</v>
      </c>
      <c r="C202" s="46" t="n">
        <v>30.4974990844727</v>
      </c>
      <c r="D202" s="45" t="n">
        <v>32.7474990844727</v>
      </c>
      <c r="E202" s="32"/>
      <c r="F202" s="47" t="n">
        <v>14.9899998474121</v>
      </c>
      <c r="G202" s="47" t="n">
        <v>15.8649998474121</v>
      </c>
      <c r="H202" s="47" t="n">
        <v>16.7399998474121</v>
      </c>
      <c r="I202" s="9"/>
      <c r="J202" s="3" t="n">
        <v>42461</v>
      </c>
      <c r="K202" s="48" t="n">
        <v>21.7675003051758</v>
      </c>
      <c r="L202" s="48" t="n">
        <v>22.5175003051758</v>
      </c>
      <c r="M202" s="48" t="n">
        <v>23.2675003051758</v>
      </c>
      <c r="O202" s="48" t="n">
        <v>16.9349990844727</v>
      </c>
      <c r="P202" s="48" t="n">
        <v>21.2349990844727</v>
      </c>
      <c r="Q202" s="48" t="n">
        <v>25.5349990844727</v>
      </c>
      <c r="S202" s="48" t="n">
        <v>0</v>
      </c>
      <c r="T202" s="48" t="n">
        <v>0</v>
      </c>
      <c r="U202" s="48" t="n">
        <v>0</v>
      </c>
      <c r="W202" s="48" t="n">
        <v>0.0433342652130022</v>
      </c>
      <c r="X202" s="53" t="n">
        <v>0.0866685304260044</v>
      </c>
      <c r="Y202" s="48" t="n">
        <v>0.130002795639007</v>
      </c>
      <c r="AA202" s="48" t="n">
        <v>0.0025</v>
      </c>
      <c r="AB202" s="48" t="n">
        <v>0.005</v>
      </c>
      <c r="AC202" s="48" t="n">
        <v>0.0075</v>
      </c>
      <c r="AE202" s="48" t="n">
        <v>-0.25</v>
      </c>
      <c r="AF202" s="53" t="n">
        <v>1.2</v>
      </c>
      <c r="AG202" s="48" t="n">
        <v>0.25</v>
      </c>
      <c r="AI202" s="48" t="n">
        <v>-0.1</v>
      </c>
      <c r="AJ202" s="48" t="n">
        <v>0.3</v>
      </c>
      <c r="AK202" s="48" t="n">
        <v>0.1</v>
      </c>
      <c r="AM202" s="9" t="n">
        <v>66</v>
      </c>
      <c r="AN202" s="50" t="n">
        <v>0.4</v>
      </c>
      <c r="BE202" s="3" t="n">
        <v>42461</v>
      </c>
      <c r="BF202" s="52" t="n">
        <v>0.9</v>
      </c>
    </row>
    <row r="203" customFormat="false" ht="12.75" hidden="false" customHeight="false" outlineLevel="0" collapsed="false">
      <c r="A203" s="44" t="n">
        <v>41609</v>
      </c>
      <c r="B203" s="45" t="n">
        <v>30.4999996185303</v>
      </c>
      <c r="C203" s="46" t="n">
        <v>32.2499996185303</v>
      </c>
      <c r="D203" s="45" t="n">
        <v>34.4999996185303</v>
      </c>
      <c r="E203" s="32"/>
      <c r="F203" s="47" t="n">
        <v>15.8400002288818</v>
      </c>
      <c r="G203" s="47" t="n">
        <v>16.7150002288818</v>
      </c>
      <c r="H203" s="47" t="n">
        <v>17.5900002288818</v>
      </c>
      <c r="I203" s="9"/>
      <c r="J203" s="3" t="n">
        <v>42491</v>
      </c>
      <c r="K203" s="48" t="n">
        <v>20.772500076294</v>
      </c>
      <c r="L203" s="48" t="n">
        <v>22.632500076294</v>
      </c>
      <c r="M203" s="48" t="n">
        <v>24.492500076294</v>
      </c>
      <c r="O203" s="48" t="n">
        <v>17.4649997711182</v>
      </c>
      <c r="P203" s="48" t="n">
        <v>21.7649997711182</v>
      </c>
      <c r="Q203" s="48" t="n">
        <v>26.0649997711182</v>
      </c>
      <c r="S203" s="48" t="n">
        <v>0</v>
      </c>
      <c r="T203" s="48" t="n">
        <v>0</v>
      </c>
      <c r="U203" s="48" t="n">
        <v>0</v>
      </c>
      <c r="W203" s="48" t="n">
        <v>0.0478957668143708</v>
      </c>
      <c r="X203" s="53" t="n">
        <v>0.0957915336287416</v>
      </c>
      <c r="Y203" s="48" t="n">
        <v>0.143687300443112</v>
      </c>
      <c r="AA203" s="48" t="n">
        <v>0.0025</v>
      </c>
      <c r="AB203" s="48" t="n">
        <v>0.005</v>
      </c>
      <c r="AC203" s="48" t="n">
        <v>0.0075</v>
      </c>
      <c r="AE203" s="48" t="n">
        <v>-0.25</v>
      </c>
      <c r="AF203" s="53" t="n">
        <v>2</v>
      </c>
      <c r="AG203" s="48" t="n">
        <v>0.25</v>
      </c>
      <c r="AI203" s="48" t="n">
        <v>-0.1</v>
      </c>
      <c r="AJ203" s="48" t="n">
        <v>0.3</v>
      </c>
      <c r="AK203" s="48" t="n">
        <v>0.1</v>
      </c>
      <c r="AM203" s="9" t="n">
        <v>66</v>
      </c>
      <c r="AN203" s="50" t="n">
        <v>0.4</v>
      </c>
      <c r="BE203" s="3" t="n">
        <v>42491</v>
      </c>
      <c r="BF203" s="52" t="n">
        <v>0.9</v>
      </c>
    </row>
    <row r="204" customFormat="false" ht="12.75" hidden="false" customHeight="false" outlineLevel="0" collapsed="false">
      <c r="A204" s="44" t="n">
        <v>41640</v>
      </c>
      <c r="B204" s="45" t="n">
        <v>38.9249984741211</v>
      </c>
      <c r="C204" s="46" t="n">
        <v>40.8249984741211</v>
      </c>
      <c r="D204" s="45" t="n">
        <v>43.2249984741211</v>
      </c>
      <c r="E204" s="32"/>
      <c r="F204" s="47" t="n">
        <v>20.0649975585938</v>
      </c>
      <c r="G204" s="47" t="n">
        <v>21.0149975585938</v>
      </c>
      <c r="H204" s="47" t="n">
        <v>21.9649975585937</v>
      </c>
      <c r="I204" s="9"/>
      <c r="J204" s="3" t="n">
        <v>42522</v>
      </c>
      <c r="K204" s="48" t="n">
        <v>21.8762501525879</v>
      </c>
      <c r="L204" s="48" t="n">
        <v>27.2087501525879</v>
      </c>
      <c r="M204" s="48" t="n">
        <v>32.5412501525879</v>
      </c>
      <c r="O204" s="48" t="n">
        <v>16.3924995422363</v>
      </c>
      <c r="P204" s="48" t="n">
        <v>20.6924995422363</v>
      </c>
      <c r="Q204" s="48" t="n">
        <v>24.9924995422363</v>
      </c>
      <c r="S204" s="48" t="n">
        <v>0</v>
      </c>
      <c r="T204" s="48" t="n">
        <v>0</v>
      </c>
      <c r="U204" s="48" t="n">
        <v>0</v>
      </c>
      <c r="W204" s="48" t="n">
        <v>0.0615802716184768</v>
      </c>
      <c r="X204" s="53" t="n">
        <v>0.123160543236954</v>
      </c>
      <c r="Y204" s="48" t="n">
        <v>0.18474081485543</v>
      </c>
      <c r="AA204" s="48" t="n">
        <v>0.0025</v>
      </c>
      <c r="AB204" s="48" t="n">
        <v>0.005</v>
      </c>
      <c r="AC204" s="48" t="n">
        <v>0.0075</v>
      </c>
      <c r="AE204" s="48" t="n">
        <v>-0.75</v>
      </c>
      <c r="AF204" s="53" t="n">
        <v>2.25</v>
      </c>
      <c r="AG204" s="48" t="n">
        <v>0.75</v>
      </c>
      <c r="AI204" s="48" t="n">
        <v>-0.1</v>
      </c>
      <c r="AJ204" s="48" t="n">
        <v>0.3</v>
      </c>
      <c r="AK204" s="48" t="n">
        <v>0.1</v>
      </c>
      <c r="AM204" s="9" t="n">
        <v>66</v>
      </c>
      <c r="AN204" s="50" t="n">
        <v>0.4</v>
      </c>
      <c r="BE204" s="3" t="n">
        <v>42522</v>
      </c>
      <c r="BF204" s="52" t="n">
        <v>0.9</v>
      </c>
    </row>
    <row r="205" customFormat="false" ht="12.75" hidden="false" customHeight="false" outlineLevel="0" collapsed="false">
      <c r="A205" s="44" t="n">
        <v>41671</v>
      </c>
      <c r="B205" s="45" t="n">
        <v>38.9249984741211</v>
      </c>
      <c r="C205" s="46" t="n">
        <v>40.8249984741211</v>
      </c>
      <c r="D205" s="45" t="n">
        <v>43.2249984741211</v>
      </c>
      <c r="E205" s="32"/>
      <c r="F205" s="47" t="n">
        <v>20.214997177124</v>
      </c>
      <c r="G205" s="47" t="n">
        <v>21.164997177124</v>
      </c>
      <c r="H205" s="47" t="n">
        <v>22.114997177124</v>
      </c>
      <c r="I205" s="9"/>
      <c r="J205" s="3" t="n">
        <v>42552</v>
      </c>
      <c r="K205" s="48" t="n">
        <v>37.9112495422363</v>
      </c>
      <c r="L205" s="48" t="n">
        <v>41.6612495422363</v>
      </c>
      <c r="M205" s="48" t="n">
        <v>45.4112495422363</v>
      </c>
      <c r="O205" s="48" t="n">
        <v>26.8474994659424</v>
      </c>
      <c r="P205" s="48" t="n">
        <v>31.1474994659424</v>
      </c>
      <c r="Q205" s="48" t="n">
        <v>35.4474994659424</v>
      </c>
      <c r="S205" s="48" t="n">
        <v>0</v>
      </c>
      <c r="T205" s="48" t="n">
        <v>0</v>
      </c>
      <c r="U205" s="48" t="n">
        <v>0</v>
      </c>
      <c r="W205" s="48" t="n">
        <v>0.0752647764225827</v>
      </c>
      <c r="X205" s="53" t="n">
        <v>0.150529552845165</v>
      </c>
      <c r="Y205" s="48" t="n">
        <v>0.225794329267748</v>
      </c>
      <c r="AA205" s="48" t="n">
        <v>0.0025</v>
      </c>
      <c r="AB205" s="48" t="n">
        <v>0.005</v>
      </c>
      <c r="AC205" s="48" t="n">
        <v>0.0075</v>
      </c>
      <c r="AE205" s="48" t="n">
        <v>-1</v>
      </c>
      <c r="AF205" s="53" t="n">
        <v>3</v>
      </c>
      <c r="AG205" s="48" t="n">
        <v>1</v>
      </c>
      <c r="AI205" s="48" t="n">
        <v>-0.1</v>
      </c>
      <c r="AJ205" s="48" t="n">
        <v>0.3</v>
      </c>
      <c r="AK205" s="48" t="n">
        <v>0.1</v>
      </c>
      <c r="AM205" s="9" t="n">
        <v>67</v>
      </c>
      <c r="AN205" s="50" t="n">
        <v>0.4</v>
      </c>
      <c r="BE205" s="3" t="n">
        <v>42552</v>
      </c>
      <c r="BF205" s="52" t="n">
        <v>0.9</v>
      </c>
    </row>
    <row r="206" customFormat="false" ht="12.75" hidden="false" customHeight="false" outlineLevel="0" collapsed="false">
      <c r="A206" s="44" t="n">
        <v>41699</v>
      </c>
      <c r="B206" s="45" t="n">
        <v>29.5000007629395</v>
      </c>
      <c r="C206" s="46" t="n">
        <v>30.5500007629395</v>
      </c>
      <c r="D206" s="45" t="n">
        <v>32.1000007629395</v>
      </c>
      <c r="E206" s="32"/>
      <c r="F206" s="47" t="n">
        <v>17.8899990844727</v>
      </c>
      <c r="G206" s="47" t="n">
        <v>18.4149990844727</v>
      </c>
      <c r="H206" s="47" t="n">
        <v>18.9399990844727</v>
      </c>
      <c r="I206" s="9"/>
      <c r="J206" s="3" t="n">
        <v>42583</v>
      </c>
      <c r="K206" s="48" t="n">
        <v>40.1724990844727</v>
      </c>
      <c r="L206" s="48" t="n">
        <v>43.9224990844727</v>
      </c>
      <c r="M206" s="48" t="n">
        <v>47.6724990844727</v>
      </c>
      <c r="O206" s="48" t="n">
        <v>28.3450008392334</v>
      </c>
      <c r="P206" s="48" t="n">
        <v>32.6450008392334</v>
      </c>
      <c r="Q206" s="48" t="n">
        <v>36.9450008392334</v>
      </c>
      <c r="S206" s="48" t="n">
        <v>0</v>
      </c>
      <c r="T206" s="48" t="n">
        <v>0</v>
      </c>
      <c r="U206" s="48" t="n">
        <v>0</v>
      </c>
      <c r="W206" s="48" t="n">
        <v>0.0752647764225827</v>
      </c>
      <c r="X206" s="53" t="n">
        <v>0.150529552845165</v>
      </c>
      <c r="Y206" s="48" t="n">
        <v>0.225794329267748</v>
      </c>
      <c r="AA206" s="48" t="n">
        <v>0.0025</v>
      </c>
      <c r="AB206" s="48" t="n">
        <v>0.005</v>
      </c>
      <c r="AC206" s="48" t="n">
        <v>0.0075</v>
      </c>
      <c r="AE206" s="48" t="n">
        <v>-1</v>
      </c>
      <c r="AF206" s="53" t="n">
        <v>3</v>
      </c>
      <c r="AG206" s="48" t="n">
        <v>1</v>
      </c>
      <c r="AI206" s="48" t="n">
        <v>-0.1</v>
      </c>
      <c r="AJ206" s="48" t="n">
        <v>0.3</v>
      </c>
      <c r="AK206" s="48" t="n">
        <v>0.1</v>
      </c>
      <c r="AM206" s="9" t="n">
        <v>67</v>
      </c>
      <c r="AN206" s="50" t="n">
        <v>0.4</v>
      </c>
      <c r="BE206" s="3" t="n">
        <v>42583</v>
      </c>
      <c r="BF206" s="52" t="n">
        <v>0.9</v>
      </c>
    </row>
    <row r="207" customFormat="false" ht="12.75" hidden="false" customHeight="false" outlineLevel="0" collapsed="false">
      <c r="A207" s="44" t="n">
        <v>41730</v>
      </c>
      <c r="B207" s="45" t="n">
        <v>29.4250007629395</v>
      </c>
      <c r="C207" s="46" t="n">
        <v>30.3250007629395</v>
      </c>
      <c r="D207" s="45" t="n">
        <v>31.7250007629395</v>
      </c>
      <c r="E207" s="32"/>
      <c r="F207" s="47" t="n">
        <v>18.2149990844727</v>
      </c>
      <c r="G207" s="47" t="n">
        <v>18.6649990844727</v>
      </c>
      <c r="H207" s="47" t="n">
        <v>19.1149990844727</v>
      </c>
      <c r="I207" s="9"/>
      <c r="J207" s="3" t="n">
        <v>42614</v>
      </c>
      <c r="K207" s="48" t="n">
        <v>19.4799995422363</v>
      </c>
      <c r="L207" s="48" t="n">
        <v>21.1299995422363</v>
      </c>
      <c r="M207" s="48" t="n">
        <v>22.7799995422363</v>
      </c>
      <c r="O207" s="48" t="n">
        <v>13.4100004196167</v>
      </c>
      <c r="P207" s="48" t="n">
        <v>17.7100004196167</v>
      </c>
      <c r="Q207" s="48" t="n">
        <v>22.0100004196167</v>
      </c>
      <c r="S207" s="48" t="n">
        <v>0</v>
      </c>
      <c r="T207" s="48" t="n">
        <v>0</v>
      </c>
      <c r="U207" s="48" t="n">
        <v>0</v>
      </c>
      <c r="W207" s="48" t="n">
        <v>0.0483795624387584</v>
      </c>
      <c r="X207" s="53" t="n">
        <v>0.0967591248775168</v>
      </c>
      <c r="Y207" s="48" t="n">
        <v>0.145138687316275</v>
      </c>
      <c r="AA207" s="48" t="n">
        <v>0.0025</v>
      </c>
      <c r="AB207" s="48" t="n">
        <v>0.005</v>
      </c>
      <c r="AC207" s="48" t="n">
        <v>0.0075</v>
      </c>
      <c r="AE207" s="48" t="n">
        <v>-0.4</v>
      </c>
      <c r="AF207" s="53" t="n">
        <v>1.75</v>
      </c>
      <c r="AG207" s="48" t="n">
        <v>0.5</v>
      </c>
      <c r="AI207" s="48" t="n">
        <v>-0.1</v>
      </c>
      <c r="AJ207" s="48" t="n">
        <v>0.3</v>
      </c>
      <c r="AK207" s="48" t="n">
        <v>0.1</v>
      </c>
      <c r="AM207" s="9" t="n">
        <v>67</v>
      </c>
      <c r="AN207" s="50" t="n">
        <v>0.4</v>
      </c>
      <c r="BE207" s="3" t="n">
        <v>42614</v>
      </c>
      <c r="BF207" s="52" t="n">
        <v>0.9</v>
      </c>
    </row>
    <row r="208" customFormat="false" ht="12.75" hidden="false" customHeight="false" outlineLevel="0" collapsed="false">
      <c r="A208" s="44" t="n">
        <v>41760</v>
      </c>
      <c r="B208" s="45" t="n">
        <v>35.845</v>
      </c>
      <c r="C208" s="46" t="n">
        <v>38.325</v>
      </c>
      <c r="D208" s="45" t="n">
        <v>41.305</v>
      </c>
      <c r="E208" s="32"/>
      <c r="F208" s="47" t="n">
        <v>16.8749998474121</v>
      </c>
      <c r="G208" s="47" t="n">
        <v>18.1149998474121</v>
      </c>
      <c r="H208" s="47" t="n">
        <v>19.3549998474121</v>
      </c>
      <c r="I208" s="9"/>
      <c r="J208" s="3" t="n">
        <v>42644</v>
      </c>
      <c r="K208" s="48" t="n">
        <v>18.6444995880127</v>
      </c>
      <c r="L208" s="48" t="n">
        <v>20.1819995880127</v>
      </c>
      <c r="M208" s="48" t="n">
        <v>21.7194995880127</v>
      </c>
      <c r="O208" s="48" t="n">
        <v>13.5540004730225</v>
      </c>
      <c r="P208" s="48" t="n">
        <v>17.8540004730225</v>
      </c>
      <c r="Q208" s="48" t="n">
        <v>22.1540004730225</v>
      </c>
      <c r="S208" s="48" t="n">
        <v>0</v>
      </c>
      <c r="T208" s="48" t="n">
        <v>0</v>
      </c>
      <c r="U208" s="48" t="n">
        <v>0</v>
      </c>
      <c r="W208" s="48" t="n">
        <v>0.0342112620102649</v>
      </c>
      <c r="X208" s="53" t="n">
        <v>0.0684225240205297</v>
      </c>
      <c r="Y208" s="48" t="n">
        <v>0.102633786030795</v>
      </c>
      <c r="AA208" s="48" t="n">
        <v>0.0025</v>
      </c>
      <c r="AB208" s="48" t="n">
        <v>0.005</v>
      </c>
      <c r="AC208" s="48" t="n">
        <v>0.0075</v>
      </c>
      <c r="AE208" s="48" t="n">
        <v>-0.25</v>
      </c>
      <c r="AF208" s="53" t="n">
        <v>1.5</v>
      </c>
      <c r="AG208" s="48" t="n">
        <v>0.25</v>
      </c>
      <c r="AI208" s="48" t="n">
        <v>-0.1</v>
      </c>
      <c r="AJ208" s="48" t="n">
        <v>0.3</v>
      </c>
      <c r="AK208" s="48" t="n">
        <v>0.1</v>
      </c>
      <c r="AM208" s="9" t="n">
        <v>68</v>
      </c>
      <c r="AN208" s="50" t="n">
        <v>0.4</v>
      </c>
      <c r="BE208" s="3" t="n">
        <v>42644</v>
      </c>
      <c r="BF208" s="52" t="n">
        <v>0.9</v>
      </c>
    </row>
    <row r="209" customFormat="false" ht="12.75" hidden="false" customHeight="false" outlineLevel="0" collapsed="false">
      <c r="A209" s="44" t="n">
        <v>41791</v>
      </c>
      <c r="B209" s="45" t="n">
        <v>58.2399984741211</v>
      </c>
      <c r="C209" s="46" t="n">
        <v>65.3499984741211</v>
      </c>
      <c r="D209" s="45" t="n">
        <v>72.9599984741211</v>
      </c>
      <c r="E209" s="32"/>
      <c r="F209" s="47" t="n">
        <v>14.6200012207031</v>
      </c>
      <c r="G209" s="47" t="n">
        <v>18.1750012207031</v>
      </c>
      <c r="H209" s="47" t="n">
        <v>21.7300012207031</v>
      </c>
      <c r="I209" s="9"/>
      <c r="J209" s="3" t="n">
        <v>42675</v>
      </c>
      <c r="K209" s="48" t="n">
        <v>18.1062496185303</v>
      </c>
      <c r="L209" s="48" t="n">
        <v>19.6437496185303</v>
      </c>
      <c r="M209" s="48" t="n">
        <v>21.1812496185303</v>
      </c>
      <c r="O209" s="48" t="n">
        <v>14.0750003814697</v>
      </c>
      <c r="P209" s="48" t="n">
        <v>18.3750003814697</v>
      </c>
      <c r="Q209" s="48" t="n">
        <v>22.6750003814697</v>
      </c>
      <c r="S209" s="48" t="n">
        <v>0</v>
      </c>
      <c r="T209" s="48" t="n">
        <v>0</v>
      </c>
      <c r="U209" s="48" t="n">
        <v>0</v>
      </c>
      <c r="W209" s="48" t="n">
        <v>0.0342112620102649</v>
      </c>
      <c r="X209" s="53" t="n">
        <v>0.0684225240205297</v>
      </c>
      <c r="Y209" s="48" t="n">
        <v>0.102633786030795</v>
      </c>
      <c r="AA209" s="48" t="n">
        <v>0.0025</v>
      </c>
      <c r="AB209" s="48" t="n">
        <v>0.005</v>
      </c>
      <c r="AC209" s="48" t="n">
        <v>0.0075</v>
      </c>
      <c r="AE209" s="48" t="n">
        <v>-0.25</v>
      </c>
      <c r="AF209" s="53" t="n">
        <v>1.5</v>
      </c>
      <c r="AG209" s="48" t="n">
        <v>0.25</v>
      </c>
      <c r="AI209" s="48" t="n">
        <v>-0.1</v>
      </c>
      <c r="AJ209" s="48" t="n">
        <v>0.3</v>
      </c>
      <c r="AK209" s="48" t="n">
        <v>0.1</v>
      </c>
      <c r="AM209" s="9" t="n">
        <v>68</v>
      </c>
      <c r="AN209" s="50" t="n">
        <v>0.4</v>
      </c>
      <c r="BE209" s="3" t="n">
        <v>42675</v>
      </c>
      <c r="BF209" s="52" t="n">
        <v>0.9</v>
      </c>
    </row>
    <row r="210" customFormat="false" ht="12.75" hidden="false" customHeight="false" outlineLevel="0" collapsed="false">
      <c r="A210" s="44" t="n">
        <v>41821</v>
      </c>
      <c r="B210" s="45" t="n">
        <v>110.949996948242</v>
      </c>
      <c r="C210" s="46" t="n">
        <v>115.949996948242</v>
      </c>
      <c r="D210" s="45" t="n">
        <v>121.449996948242</v>
      </c>
      <c r="E210" s="32"/>
      <c r="F210" s="47" t="n">
        <v>15.3649998474121</v>
      </c>
      <c r="G210" s="47" t="n">
        <v>17.8649998474121</v>
      </c>
      <c r="H210" s="47" t="n">
        <v>20.3649998474121</v>
      </c>
      <c r="I210" s="9"/>
      <c r="J210" s="3" t="n">
        <v>42705</v>
      </c>
      <c r="K210" s="48" t="n">
        <v>22.251250076294</v>
      </c>
      <c r="L210" s="48" t="n">
        <v>23.788750076294</v>
      </c>
      <c r="M210" s="48" t="n">
        <v>25.326250076294</v>
      </c>
      <c r="O210" s="48" t="n">
        <v>14.5250001907349</v>
      </c>
      <c r="P210" s="48" t="n">
        <v>18.8250001907349</v>
      </c>
      <c r="Q210" s="48" t="n">
        <v>23.1250001907349</v>
      </c>
      <c r="S210" s="48" t="n">
        <v>0</v>
      </c>
      <c r="T210" s="48" t="n">
        <v>0</v>
      </c>
      <c r="U210" s="48" t="n">
        <v>0</v>
      </c>
      <c r="W210" s="48" t="n">
        <v>0.0342112620102649</v>
      </c>
      <c r="X210" s="53" t="n">
        <v>0.0684225240205297</v>
      </c>
      <c r="Y210" s="48" t="n">
        <v>0.102633786030795</v>
      </c>
      <c r="AA210" s="48" t="n">
        <v>0.0025</v>
      </c>
      <c r="AB210" s="48" t="n">
        <v>0.005</v>
      </c>
      <c r="AC210" s="48" t="n">
        <v>0.0075</v>
      </c>
      <c r="AE210" s="48" t="n">
        <v>-0.25</v>
      </c>
      <c r="AF210" s="53" t="n">
        <v>1.5</v>
      </c>
      <c r="AG210" s="48" t="n">
        <v>0.25</v>
      </c>
      <c r="AI210" s="48" t="n">
        <v>-0.1</v>
      </c>
      <c r="AJ210" s="48" t="n">
        <v>0.3</v>
      </c>
      <c r="AK210" s="48" t="n">
        <v>0.1</v>
      </c>
      <c r="AM210" s="9" t="n">
        <v>68</v>
      </c>
      <c r="AN210" s="50" t="n">
        <v>0.4</v>
      </c>
      <c r="BE210" s="3" t="n">
        <v>42705</v>
      </c>
      <c r="BF210" s="52" t="n">
        <v>0.9</v>
      </c>
    </row>
    <row r="211" customFormat="false" ht="12.75" hidden="false" customHeight="false" outlineLevel="0" collapsed="false">
      <c r="A211" s="44" t="n">
        <v>41852</v>
      </c>
      <c r="B211" s="45" t="n">
        <v>97.9499969482422</v>
      </c>
      <c r="C211" s="46" t="n">
        <v>102.949996948242</v>
      </c>
      <c r="D211" s="45" t="n">
        <v>108.449996948242</v>
      </c>
      <c r="E211" s="32"/>
      <c r="F211" s="47" t="n">
        <v>15.4149990844727</v>
      </c>
      <c r="G211" s="47" t="n">
        <v>17.9149990844727</v>
      </c>
      <c r="H211" s="47" t="n">
        <v>20.4149990844727</v>
      </c>
      <c r="I211" s="9"/>
      <c r="J211" s="3" t="n">
        <v>42736</v>
      </c>
      <c r="K211" s="48" t="n">
        <v>32.6487487792969</v>
      </c>
      <c r="L211" s="48" t="n">
        <v>34.4987487792969</v>
      </c>
      <c r="M211" s="48" t="n">
        <v>36.1487487792969</v>
      </c>
      <c r="O211" s="48" t="n">
        <v>28.7025005340576</v>
      </c>
      <c r="P211" s="48" t="n">
        <v>33.0025005340576</v>
      </c>
      <c r="Q211" s="48" t="n">
        <v>37.3025005340576</v>
      </c>
      <c r="S211" s="48" t="n">
        <v>0.25</v>
      </c>
      <c r="T211" s="48" t="n">
        <v>0.25</v>
      </c>
      <c r="U211" s="48" t="n">
        <v>0.25</v>
      </c>
      <c r="W211" s="48" t="n">
        <v>0.0525484984477669</v>
      </c>
      <c r="X211" s="53" t="n">
        <v>0.105096996895534</v>
      </c>
      <c r="Y211" s="48" t="n">
        <v>0.157645495343301</v>
      </c>
      <c r="AA211" s="48" t="n">
        <v>0.0025</v>
      </c>
      <c r="AB211" s="48" t="n">
        <v>0.005</v>
      </c>
      <c r="AC211" s="48" t="n">
        <v>0.0075</v>
      </c>
      <c r="AE211" s="48" t="n">
        <v>-0.4</v>
      </c>
      <c r="AF211" s="53" t="n">
        <v>1.75</v>
      </c>
      <c r="AG211" s="48" t="n">
        <v>0.5</v>
      </c>
      <c r="AI211" s="48" t="n">
        <v>-0.1</v>
      </c>
      <c r="AJ211" s="48" t="n">
        <v>0.3</v>
      </c>
      <c r="AK211" s="48" t="n">
        <v>0.1</v>
      </c>
      <c r="AM211" s="9" t="n">
        <v>69</v>
      </c>
      <c r="AN211" s="50" t="n">
        <v>0.4</v>
      </c>
      <c r="BE211" s="3" t="n">
        <v>42736</v>
      </c>
      <c r="BF211" s="52" t="n">
        <v>0.9</v>
      </c>
    </row>
    <row r="212" customFormat="false" ht="12.75" hidden="false" customHeight="false" outlineLevel="0" collapsed="false">
      <c r="A212" s="44" t="n">
        <v>41883</v>
      </c>
      <c r="B212" s="45" t="n">
        <v>36.4249984741211</v>
      </c>
      <c r="C212" s="46" t="n">
        <v>38.4249984741211</v>
      </c>
      <c r="D212" s="45" t="n">
        <v>40.9249984741211</v>
      </c>
      <c r="E212" s="32"/>
      <c r="F212" s="47" t="n">
        <v>16.9149990844727</v>
      </c>
      <c r="G212" s="47" t="n">
        <v>17.9149990844727</v>
      </c>
      <c r="H212" s="47" t="n">
        <v>18.9149990844727</v>
      </c>
      <c r="I212" s="9"/>
      <c r="J212" s="3" t="n">
        <v>42767</v>
      </c>
      <c r="K212" s="48" t="n">
        <v>31.6462501525879</v>
      </c>
      <c r="L212" s="48" t="n">
        <v>33.4962501525879</v>
      </c>
      <c r="M212" s="48" t="n">
        <v>35.1462501525879</v>
      </c>
      <c r="O212" s="48" t="n">
        <v>26.6974994659424</v>
      </c>
      <c r="P212" s="48" t="n">
        <v>30.9974994659424</v>
      </c>
      <c r="Q212" s="48" t="n">
        <v>35.2974994659424</v>
      </c>
      <c r="S212" s="48" t="n">
        <v>0</v>
      </c>
      <c r="T212" s="48" t="n">
        <v>0</v>
      </c>
      <c r="U212" s="48" t="n">
        <v>0</v>
      </c>
      <c r="W212" s="48" t="n">
        <v>0.0525484984477669</v>
      </c>
      <c r="X212" s="53" t="n">
        <v>0.105096996895534</v>
      </c>
      <c r="Y212" s="48" t="n">
        <v>0.157645495343301</v>
      </c>
      <c r="AA212" s="48" t="n">
        <v>0.0025</v>
      </c>
      <c r="AB212" s="48" t="n">
        <v>0.005</v>
      </c>
      <c r="AC212" s="48" t="n">
        <v>0.0075</v>
      </c>
      <c r="AE212" s="48" t="n">
        <v>-0.4</v>
      </c>
      <c r="AF212" s="53" t="n">
        <v>1.75</v>
      </c>
      <c r="AG212" s="48" t="n">
        <v>0.5</v>
      </c>
      <c r="AI212" s="48" t="n">
        <v>-0.1</v>
      </c>
      <c r="AJ212" s="48" t="n">
        <v>0.3</v>
      </c>
      <c r="AK212" s="48" t="n">
        <v>0.1</v>
      </c>
      <c r="AM212" s="9" t="n">
        <v>69</v>
      </c>
      <c r="AN212" s="50" t="n">
        <v>0.4</v>
      </c>
      <c r="BE212" s="3" t="n">
        <v>42767</v>
      </c>
      <c r="BF212" s="52" t="n">
        <v>0.9</v>
      </c>
    </row>
    <row r="213" customFormat="false" ht="12.75" hidden="false" customHeight="false" outlineLevel="0" collapsed="false">
      <c r="A213" s="44" t="n">
        <v>41913</v>
      </c>
      <c r="B213" s="45" t="n">
        <v>29.2250003814697</v>
      </c>
      <c r="C213" s="46" t="n">
        <v>31.0750003814697</v>
      </c>
      <c r="D213" s="45" t="n">
        <v>33.4250003814697</v>
      </c>
      <c r="E213" s="32"/>
      <c r="F213" s="47" t="n">
        <v>16.6899998474121</v>
      </c>
      <c r="G213" s="47" t="n">
        <v>17.6149998474121</v>
      </c>
      <c r="H213" s="47" t="n">
        <v>18.5399998474121</v>
      </c>
      <c r="I213" s="9"/>
      <c r="J213" s="3" t="n">
        <v>42795</v>
      </c>
      <c r="K213" s="48" t="n">
        <v>20.9347496032715</v>
      </c>
      <c r="L213" s="48" t="n">
        <v>21.8347496032715</v>
      </c>
      <c r="M213" s="48" t="n">
        <v>22.7347496032715</v>
      </c>
      <c r="O213" s="48" t="n">
        <v>17.1644989013672</v>
      </c>
      <c r="P213" s="48" t="n">
        <v>21.4644989013672</v>
      </c>
      <c r="Q213" s="48" t="n">
        <v>25.7644989013672</v>
      </c>
      <c r="S213" s="48" t="n">
        <v>0</v>
      </c>
      <c r="T213" s="48" t="n">
        <v>0</v>
      </c>
      <c r="U213" s="48" t="n">
        <v>0</v>
      </c>
      <c r="W213" s="48" t="n">
        <v>0.043790415373139</v>
      </c>
      <c r="X213" s="53" t="n">
        <v>0.0875808307462781</v>
      </c>
      <c r="Y213" s="48" t="n">
        <v>0.131371246119417</v>
      </c>
      <c r="AA213" s="48" t="n">
        <v>0.0025</v>
      </c>
      <c r="AB213" s="48" t="n">
        <v>0.005</v>
      </c>
      <c r="AC213" s="48" t="n">
        <v>0.0075</v>
      </c>
      <c r="AE213" s="48" t="n">
        <v>-0.25</v>
      </c>
      <c r="AF213" s="53" t="n">
        <v>1.1</v>
      </c>
      <c r="AG213" s="48" t="n">
        <v>0.25</v>
      </c>
      <c r="AI213" s="48" t="n">
        <v>-0.1</v>
      </c>
      <c r="AJ213" s="48" t="n">
        <v>0.3</v>
      </c>
      <c r="AK213" s="48" t="n">
        <v>0.1</v>
      </c>
      <c r="AM213" s="9" t="n">
        <v>69</v>
      </c>
      <c r="AN213" s="50" t="n">
        <v>0.4</v>
      </c>
      <c r="BE213" s="3" t="n">
        <v>42795</v>
      </c>
      <c r="BF213" s="52" t="n">
        <v>0.9</v>
      </c>
    </row>
    <row r="214" customFormat="false" ht="12.75" hidden="false" customHeight="false" outlineLevel="0" collapsed="false">
      <c r="A214" s="44" t="n">
        <v>41944</v>
      </c>
      <c r="B214" s="45" t="n">
        <v>28.8974990844727</v>
      </c>
      <c r="C214" s="46" t="n">
        <v>30.7474990844727</v>
      </c>
      <c r="D214" s="45" t="n">
        <v>33.0974990844727</v>
      </c>
      <c r="E214" s="32"/>
      <c r="F214" s="47" t="n">
        <v>14.9399998474121</v>
      </c>
      <c r="G214" s="47" t="n">
        <v>15.8649998474121</v>
      </c>
      <c r="H214" s="47" t="n">
        <v>16.7899998474121</v>
      </c>
      <c r="I214" s="9"/>
      <c r="J214" s="3" t="n">
        <v>42826</v>
      </c>
      <c r="K214" s="48" t="n">
        <v>21.7300003051758</v>
      </c>
      <c r="L214" s="48" t="n">
        <v>22.5175003051758</v>
      </c>
      <c r="M214" s="48" t="n">
        <v>23.3050003051758</v>
      </c>
      <c r="O214" s="48" t="n">
        <v>16.9349990844727</v>
      </c>
      <c r="P214" s="48" t="n">
        <v>21.2349990844727</v>
      </c>
      <c r="Q214" s="48" t="n">
        <v>25.5349990844727</v>
      </c>
      <c r="S214" s="48" t="n">
        <v>0</v>
      </c>
      <c r="T214" s="48" t="n">
        <v>0</v>
      </c>
      <c r="U214" s="48" t="n">
        <v>0</v>
      </c>
      <c r="W214" s="48" t="n">
        <v>0.0416008946044821</v>
      </c>
      <c r="X214" s="53" t="n">
        <v>0.0832017892089642</v>
      </c>
      <c r="Y214" s="48" t="n">
        <v>0.124802683813446</v>
      </c>
      <c r="AA214" s="48" t="n">
        <v>0.0025</v>
      </c>
      <c r="AB214" s="48" t="n">
        <v>0.005</v>
      </c>
      <c r="AC214" s="48" t="n">
        <v>0.0075</v>
      </c>
      <c r="AE214" s="48" t="n">
        <v>-0.25</v>
      </c>
      <c r="AF214" s="53" t="n">
        <v>1.2</v>
      </c>
      <c r="AG214" s="48" t="n">
        <v>0.25</v>
      </c>
      <c r="AI214" s="48" t="n">
        <v>-0.1</v>
      </c>
      <c r="AJ214" s="48" t="n">
        <v>0.3</v>
      </c>
      <c r="AK214" s="48" t="n">
        <v>0.1</v>
      </c>
      <c r="AM214" s="9" t="n">
        <v>70</v>
      </c>
      <c r="AN214" s="50" t="n">
        <v>0.4</v>
      </c>
      <c r="BE214" s="3" t="n">
        <v>42826</v>
      </c>
      <c r="BF214" s="52" t="n">
        <v>0.9</v>
      </c>
    </row>
    <row r="215" customFormat="false" ht="12.75" hidden="false" customHeight="false" outlineLevel="0" collapsed="false">
      <c r="A215" s="44" t="n">
        <v>41974</v>
      </c>
      <c r="B215" s="45" t="n">
        <v>30.6499996185303</v>
      </c>
      <c r="C215" s="46" t="n">
        <v>32.4999996185303</v>
      </c>
      <c r="D215" s="45" t="n">
        <v>34.8499996185303</v>
      </c>
      <c r="E215" s="32"/>
      <c r="F215" s="47" t="n">
        <v>15.7900002288818</v>
      </c>
      <c r="G215" s="47" t="n">
        <v>16.7150002288818</v>
      </c>
      <c r="H215" s="47" t="n">
        <v>17.6400002288818</v>
      </c>
      <c r="I215" s="9"/>
      <c r="J215" s="3" t="n">
        <v>42856</v>
      </c>
      <c r="K215" s="48" t="n">
        <v>20.772500076294</v>
      </c>
      <c r="L215" s="48" t="n">
        <v>22.632500076294</v>
      </c>
      <c r="M215" s="48" t="n">
        <v>24.492500076294</v>
      </c>
      <c r="O215" s="48" t="n">
        <v>17.4649997711182</v>
      </c>
      <c r="P215" s="48" t="n">
        <v>21.7649997711182</v>
      </c>
      <c r="Q215" s="48" t="n">
        <v>26.0649997711182</v>
      </c>
      <c r="S215" s="48" t="n">
        <v>0</v>
      </c>
      <c r="T215" s="48" t="n">
        <v>0</v>
      </c>
      <c r="U215" s="48" t="n">
        <v>0</v>
      </c>
      <c r="W215" s="48" t="n">
        <v>0.045979936141796</v>
      </c>
      <c r="X215" s="53" t="n">
        <v>0.091959872283592</v>
      </c>
      <c r="Y215" s="48" t="n">
        <v>0.137939808425388</v>
      </c>
      <c r="AA215" s="48" t="n">
        <v>0.0025</v>
      </c>
      <c r="AB215" s="48" t="n">
        <v>0.005</v>
      </c>
      <c r="AC215" s="48" t="n">
        <v>0.0075</v>
      </c>
      <c r="AE215" s="48" t="n">
        <v>-0.25</v>
      </c>
      <c r="AF215" s="53" t="n">
        <v>2</v>
      </c>
      <c r="AG215" s="48" t="n">
        <v>0.25</v>
      </c>
      <c r="AI215" s="48" t="n">
        <v>-0.1</v>
      </c>
      <c r="AJ215" s="48" t="n">
        <v>0.3</v>
      </c>
      <c r="AK215" s="48" t="n">
        <v>0.1</v>
      </c>
      <c r="AM215" s="9" t="n">
        <v>70</v>
      </c>
      <c r="AN215" s="50" t="n">
        <v>0.4</v>
      </c>
      <c r="BE215" s="3" t="n">
        <v>42856</v>
      </c>
      <c r="BF215" s="52" t="n">
        <v>0.9</v>
      </c>
    </row>
    <row r="216" customFormat="false" ht="12.75" hidden="false" customHeight="false" outlineLevel="0" collapsed="false">
      <c r="A216" s="44" t="n">
        <v>42005</v>
      </c>
      <c r="B216" s="45" t="n">
        <v>39.0749984741211</v>
      </c>
      <c r="C216" s="46" t="n">
        <v>41.0749984741211</v>
      </c>
      <c r="D216" s="45" t="n">
        <v>43.5749984741211</v>
      </c>
      <c r="E216" s="32"/>
      <c r="F216" s="47" t="n">
        <v>20.0149975585938</v>
      </c>
      <c r="G216" s="47" t="n">
        <v>21.0149975585938</v>
      </c>
      <c r="H216" s="47" t="n">
        <v>22.0149975585938</v>
      </c>
      <c r="I216" s="9"/>
      <c r="J216" s="3" t="n">
        <v>42887</v>
      </c>
      <c r="K216" s="48" t="n">
        <v>21.8762501525879</v>
      </c>
      <c r="L216" s="48" t="n">
        <v>27.2087501525879</v>
      </c>
      <c r="M216" s="48" t="n">
        <v>32.5412501525879</v>
      </c>
      <c r="O216" s="48" t="n">
        <v>16.3924995422363</v>
      </c>
      <c r="P216" s="48" t="n">
        <v>20.6924995422363</v>
      </c>
      <c r="Q216" s="48" t="n">
        <v>24.9924995422363</v>
      </c>
      <c r="S216" s="48" t="n">
        <v>0</v>
      </c>
      <c r="T216" s="48" t="n">
        <v>0</v>
      </c>
      <c r="U216" s="48" t="n">
        <v>0</v>
      </c>
      <c r="W216" s="48" t="n">
        <v>0.0591170607537377</v>
      </c>
      <c r="X216" s="53" t="n">
        <v>0.118234121507475</v>
      </c>
      <c r="Y216" s="48" t="n">
        <v>0.177351182261213</v>
      </c>
      <c r="AA216" s="48" t="n">
        <v>0.0025</v>
      </c>
      <c r="AB216" s="48" t="n">
        <v>0.005</v>
      </c>
      <c r="AC216" s="48" t="n">
        <v>0.0075</v>
      </c>
      <c r="AE216" s="48" t="n">
        <v>-0.75</v>
      </c>
      <c r="AF216" s="53" t="n">
        <v>2.25</v>
      </c>
      <c r="AG216" s="48" t="n">
        <v>0.75</v>
      </c>
      <c r="AI216" s="48" t="n">
        <v>-0.1</v>
      </c>
      <c r="AJ216" s="48" t="n">
        <v>0.3</v>
      </c>
      <c r="AK216" s="48" t="n">
        <v>0.1</v>
      </c>
      <c r="AM216" s="9" t="n">
        <v>70</v>
      </c>
      <c r="AN216" s="50" t="n">
        <v>0.4</v>
      </c>
      <c r="BE216" s="3" t="n">
        <v>42887</v>
      </c>
      <c r="BF216" s="52" t="n">
        <v>0.9</v>
      </c>
    </row>
    <row r="217" customFormat="false" ht="12.75" hidden="false" customHeight="false" outlineLevel="0" collapsed="false">
      <c r="A217" s="44" t="n">
        <v>42036</v>
      </c>
      <c r="B217" s="45" t="n">
        <v>39.0749984741211</v>
      </c>
      <c r="C217" s="46" t="n">
        <v>41.0749984741211</v>
      </c>
      <c r="D217" s="45" t="n">
        <v>43.5749984741211</v>
      </c>
      <c r="E217" s="32"/>
      <c r="F217" s="47" t="n">
        <v>20.164997177124</v>
      </c>
      <c r="G217" s="47" t="n">
        <v>21.164997177124</v>
      </c>
      <c r="H217" s="47" t="n">
        <v>22.164997177124</v>
      </c>
      <c r="I217" s="9"/>
      <c r="J217" s="3" t="n">
        <v>42917</v>
      </c>
      <c r="K217" s="48" t="n">
        <v>37.9112495422363</v>
      </c>
      <c r="L217" s="48" t="n">
        <v>41.6612495422363</v>
      </c>
      <c r="M217" s="48" t="n">
        <v>45.4112495422363</v>
      </c>
      <c r="O217" s="48" t="n">
        <v>26.8474994659424</v>
      </c>
      <c r="P217" s="48" t="n">
        <v>31.1474994659424</v>
      </c>
      <c r="Q217" s="48" t="n">
        <v>35.4474994659424</v>
      </c>
      <c r="S217" s="48" t="n">
        <v>0</v>
      </c>
      <c r="T217" s="48" t="n">
        <v>0</v>
      </c>
      <c r="U217" s="48" t="n">
        <v>0</v>
      </c>
      <c r="W217" s="48" t="n">
        <v>0.0722541853656794</v>
      </c>
      <c r="X217" s="53" t="n">
        <v>0.144508370731359</v>
      </c>
      <c r="Y217" s="48" t="n">
        <v>0.216762556097038</v>
      </c>
      <c r="AA217" s="48" t="n">
        <v>0.0025</v>
      </c>
      <c r="AB217" s="48" t="n">
        <v>0.005</v>
      </c>
      <c r="AC217" s="48" t="n">
        <v>0.0075</v>
      </c>
      <c r="AE217" s="48" t="n">
        <v>-1</v>
      </c>
      <c r="AF217" s="53" t="n">
        <v>3</v>
      </c>
      <c r="AG217" s="48" t="n">
        <v>1</v>
      </c>
      <c r="AI217" s="48" t="n">
        <v>-0.1</v>
      </c>
      <c r="AJ217" s="48" t="n">
        <v>0.3</v>
      </c>
      <c r="AK217" s="48" t="n">
        <v>0.1</v>
      </c>
      <c r="AM217" s="9" t="n">
        <v>71</v>
      </c>
      <c r="AN217" s="50" t="n">
        <v>0.4</v>
      </c>
      <c r="BE217" s="3" t="n">
        <v>42917</v>
      </c>
      <c r="BF217" s="52" t="n">
        <v>0.9</v>
      </c>
    </row>
    <row r="218" customFormat="false" ht="12.75" hidden="false" customHeight="false" outlineLevel="0" collapsed="false">
      <c r="A218" s="44" t="n">
        <v>42064</v>
      </c>
      <c r="B218" s="45" t="n">
        <v>29.7000007629395</v>
      </c>
      <c r="C218" s="46" t="n">
        <v>30.8000007629395</v>
      </c>
      <c r="D218" s="45" t="n">
        <v>32.4000007629395</v>
      </c>
      <c r="E218" s="32"/>
      <c r="F218" s="47" t="n">
        <v>17.8649990844727</v>
      </c>
      <c r="G218" s="47" t="n">
        <v>18.4149990844727</v>
      </c>
      <c r="H218" s="47" t="n">
        <v>18.9649990844727</v>
      </c>
      <c r="I218" s="9"/>
      <c r="J218" s="3" t="n">
        <v>42948</v>
      </c>
      <c r="K218" s="48" t="n">
        <v>40.1724990844727</v>
      </c>
      <c r="L218" s="48" t="n">
        <v>43.9224990844727</v>
      </c>
      <c r="M218" s="48" t="n">
        <v>47.6724990844727</v>
      </c>
      <c r="O218" s="48" t="n">
        <v>28.3450008392334</v>
      </c>
      <c r="P218" s="48" t="n">
        <v>32.6450008392334</v>
      </c>
      <c r="Q218" s="48" t="n">
        <v>36.9450008392334</v>
      </c>
      <c r="S218" s="48" t="n">
        <v>0</v>
      </c>
      <c r="T218" s="48" t="n">
        <v>0</v>
      </c>
      <c r="U218" s="48" t="n">
        <v>0</v>
      </c>
      <c r="W218" s="48" t="n">
        <v>0.0722541853656794</v>
      </c>
      <c r="X218" s="53" t="n">
        <v>0.144508370731359</v>
      </c>
      <c r="Y218" s="48" t="n">
        <v>0.216762556097038</v>
      </c>
      <c r="AA218" s="48" t="n">
        <v>0.0025</v>
      </c>
      <c r="AB218" s="48" t="n">
        <v>0.005</v>
      </c>
      <c r="AC218" s="48" t="n">
        <v>0.0075</v>
      </c>
      <c r="AE218" s="48" t="n">
        <v>-1</v>
      </c>
      <c r="AF218" s="53" t="n">
        <v>3</v>
      </c>
      <c r="AG218" s="48" t="n">
        <v>1</v>
      </c>
      <c r="AI218" s="48" t="n">
        <v>-0.1</v>
      </c>
      <c r="AJ218" s="48" t="n">
        <v>0.3</v>
      </c>
      <c r="AK218" s="48" t="n">
        <v>0.1</v>
      </c>
      <c r="AM218" s="9" t="n">
        <v>71</v>
      </c>
      <c r="AN218" s="50" t="n">
        <v>0.4</v>
      </c>
      <c r="BE218" s="3" t="n">
        <v>42948</v>
      </c>
      <c r="BF218" s="52" t="n">
        <v>0.9</v>
      </c>
    </row>
    <row r="219" customFormat="false" ht="12.75" hidden="false" customHeight="false" outlineLevel="0" collapsed="false">
      <c r="A219" s="44" t="n">
        <v>42095</v>
      </c>
      <c r="B219" s="45" t="n">
        <v>29.6250007629395</v>
      </c>
      <c r="C219" s="46" t="n">
        <v>30.5750007629395</v>
      </c>
      <c r="D219" s="45" t="n">
        <v>32.0250007629395</v>
      </c>
      <c r="E219" s="32"/>
      <c r="F219" s="47" t="n">
        <v>18.1899990844727</v>
      </c>
      <c r="G219" s="47" t="n">
        <v>18.6649990844727</v>
      </c>
      <c r="H219" s="47" t="n">
        <v>19.1399990844727</v>
      </c>
      <c r="I219" s="9"/>
      <c r="J219" s="3" t="n">
        <v>42979</v>
      </c>
      <c r="K219" s="48" t="n">
        <v>19.4049995422363</v>
      </c>
      <c r="L219" s="48" t="n">
        <v>21.1299995422363</v>
      </c>
      <c r="M219" s="48" t="n">
        <v>22.8549995422363</v>
      </c>
      <c r="O219" s="48" t="n">
        <v>13.4100004196167</v>
      </c>
      <c r="P219" s="48" t="n">
        <v>17.7100004196167</v>
      </c>
      <c r="Q219" s="48" t="n">
        <v>22.0100004196167</v>
      </c>
      <c r="S219" s="48" t="n">
        <v>0</v>
      </c>
      <c r="T219" s="48" t="n">
        <v>0</v>
      </c>
      <c r="U219" s="48" t="n">
        <v>0</v>
      </c>
      <c r="W219" s="48" t="n">
        <v>0.0464443799412081</v>
      </c>
      <c r="X219" s="53" t="n">
        <v>0.0928887598824161</v>
      </c>
      <c r="Y219" s="48" t="n">
        <v>0.139333139823624</v>
      </c>
      <c r="AA219" s="48" t="n">
        <v>0.0025</v>
      </c>
      <c r="AB219" s="48" t="n">
        <v>0.005</v>
      </c>
      <c r="AC219" s="48" t="n">
        <v>0.0075</v>
      </c>
      <c r="AE219" s="48" t="n">
        <v>-0.4</v>
      </c>
      <c r="AF219" s="53" t="n">
        <v>1.75</v>
      </c>
      <c r="AG219" s="48" t="n">
        <v>0.5</v>
      </c>
      <c r="AI219" s="48" t="n">
        <v>-0.1</v>
      </c>
      <c r="AJ219" s="48" t="n">
        <v>0.3</v>
      </c>
      <c r="AK219" s="48" t="n">
        <v>0.1</v>
      </c>
      <c r="AM219" s="9" t="n">
        <v>71</v>
      </c>
      <c r="AN219" s="50" t="n">
        <v>0.4</v>
      </c>
      <c r="BE219" s="3" t="n">
        <v>42979</v>
      </c>
      <c r="BF219" s="52" t="n">
        <v>0.9</v>
      </c>
    </row>
    <row r="220" customFormat="false" ht="12.75" hidden="false" customHeight="false" outlineLevel="0" collapsed="false">
      <c r="A220" s="44" t="n">
        <v>42125</v>
      </c>
      <c r="B220" s="45" t="n">
        <v>36.095</v>
      </c>
      <c r="C220" s="46" t="n">
        <v>38.575</v>
      </c>
      <c r="D220" s="45" t="n">
        <v>41.555</v>
      </c>
      <c r="E220" s="32"/>
      <c r="F220" s="47" t="n">
        <v>16.8749998474121</v>
      </c>
      <c r="G220" s="47" t="n">
        <v>18.1149998474121</v>
      </c>
      <c r="H220" s="47" t="n">
        <v>19.3549998474121</v>
      </c>
      <c r="I220" s="9"/>
      <c r="J220" s="3" t="n">
        <v>43009</v>
      </c>
      <c r="K220" s="48" t="n">
        <v>18.5694995880127</v>
      </c>
      <c r="L220" s="48" t="n">
        <v>20.1819995880127</v>
      </c>
      <c r="M220" s="48" t="n">
        <v>21.7944995880127</v>
      </c>
      <c r="O220" s="48" t="n">
        <v>13.5540004730225</v>
      </c>
      <c r="P220" s="48" t="n">
        <v>17.8540004730225</v>
      </c>
      <c r="Q220" s="48" t="n">
        <v>22.1540004730225</v>
      </c>
      <c r="S220" s="48" t="n">
        <v>0</v>
      </c>
      <c r="T220" s="48" t="n">
        <v>0</v>
      </c>
      <c r="U220" s="48" t="n">
        <v>0</v>
      </c>
      <c r="W220" s="48" t="n">
        <v>0.0328428115298543</v>
      </c>
      <c r="X220" s="53" t="n">
        <v>0.0656856230597085</v>
      </c>
      <c r="Y220" s="48" t="n">
        <v>0.0985284345895628</v>
      </c>
      <c r="AA220" s="48" t="n">
        <v>0.0025</v>
      </c>
      <c r="AB220" s="48" t="n">
        <v>0.005</v>
      </c>
      <c r="AC220" s="48" t="n">
        <v>0.0075</v>
      </c>
      <c r="AE220" s="48" t="n">
        <v>-0.25</v>
      </c>
      <c r="AF220" s="53" t="n">
        <v>1.5</v>
      </c>
      <c r="AG220" s="48" t="n">
        <v>0.25</v>
      </c>
      <c r="AI220" s="48" t="n">
        <v>-0.1</v>
      </c>
      <c r="AJ220" s="48" t="n">
        <v>0.3</v>
      </c>
      <c r="AK220" s="48" t="n">
        <v>0.1</v>
      </c>
      <c r="AM220" s="9" t="n">
        <v>72</v>
      </c>
      <c r="AN220" s="50" t="n">
        <v>0.4</v>
      </c>
      <c r="BE220" s="3" t="n">
        <v>43009</v>
      </c>
      <c r="BF220" s="52" t="n">
        <v>0.9</v>
      </c>
    </row>
    <row r="221" customFormat="false" ht="12.75" hidden="false" customHeight="false" outlineLevel="0" collapsed="false">
      <c r="A221" s="44" t="n">
        <v>42156</v>
      </c>
      <c r="B221" s="45" t="n">
        <v>58.9899984741211</v>
      </c>
      <c r="C221" s="46" t="n">
        <v>66.0999984741211</v>
      </c>
      <c r="D221" s="45" t="n">
        <v>73.7099984741211</v>
      </c>
      <c r="E221" s="32"/>
      <c r="F221" s="47" t="n">
        <v>14.6200012207031</v>
      </c>
      <c r="G221" s="47" t="n">
        <v>18.1750012207031</v>
      </c>
      <c r="H221" s="47" t="n">
        <v>21.7300012207031</v>
      </c>
      <c r="I221" s="9"/>
      <c r="J221" s="3" t="n">
        <v>43040</v>
      </c>
      <c r="K221" s="48" t="n">
        <v>18.0312496185303</v>
      </c>
      <c r="L221" s="48" t="n">
        <v>19.6437496185303</v>
      </c>
      <c r="M221" s="48" t="n">
        <v>21.2562496185303</v>
      </c>
      <c r="O221" s="48" t="n">
        <v>14.0750003814697</v>
      </c>
      <c r="P221" s="48" t="n">
        <v>18.3750003814697</v>
      </c>
      <c r="Q221" s="48" t="n">
        <v>22.6750003814697</v>
      </c>
      <c r="S221" s="48" t="n">
        <v>0</v>
      </c>
      <c r="T221" s="48" t="n">
        <v>0</v>
      </c>
      <c r="U221" s="48" t="n">
        <v>0</v>
      </c>
      <c r="W221" s="48" t="n">
        <v>0.0328428115298543</v>
      </c>
      <c r="X221" s="53" t="n">
        <v>0.0656856230597085</v>
      </c>
      <c r="Y221" s="48" t="n">
        <v>0.0985284345895628</v>
      </c>
      <c r="AA221" s="48" t="n">
        <v>0.0025</v>
      </c>
      <c r="AB221" s="48" t="n">
        <v>0.005</v>
      </c>
      <c r="AC221" s="48" t="n">
        <v>0.0075</v>
      </c>
      <c r="AE221" s="48" t="n">
        <v>-0.25</v>
      </c>
      <c r="AF221" s="53" t="n">
        <v>1.5</v>
      </c>
      <c r="AG221" s="48" t="n">
        <v>0.25</v>
      </c>
      <c r="AI221" s="48" t="n">
        <v>-0.1</v>
      </c>
      <c r="AJ221" s="48" t="n">
        <v>0.3</v>
      </c>
      <c r="AK221" s="48" t="n">
        <v>0.1</v>
      </c>
      <c r="AM221" s="9" t="n">
        <v>72</v>
      </c>
      <c r="AN221" s="50" t="n">
        <v>0.4</v>
      </c>
      <c r="BE221" s="3" t="n">
        <v>43040</v>
      </c>
      <c r="BF221" s="52" t="n">
        <v>0.9</v>
      </c>
    </row>
    <row r="222" customFormat="false" ht="12.75" hidden="false" customHeight="false" outlineLevel="0" collapsed="false">
      <c r="A222" s="44" t="n">
        <v>42186</v>
      </c>
      <c r="B222" s="45" t="n">
        <v>113.199996948242</v>
      </c>
      <c r="C222" s="46" t="n">
        <v>118.199996948242</v>
      </c>
      <c r="D222" s="45" t="n">
        <v>123.699996948242</v>
      </c>
      <c r="E222" s="32"/>
      <c r="F222" s="47" t="n">
        <v>15.3649998474121</v>
      </c>
      <c r="G222" s="47" t="n">
        <v>17.8649998474121</v>
      </c>
      <c r="H222" s="47" t="n">
        <v>20.3649998474121</v>
      </c>
      <c r="I222" s="9"/>
      <c r="J222" s="3" t="n">
        <v>43070</v>
      </c>
      <c r="K222" s="48" t="n">
        <v>22.176250076294</v>
      </c>
      <c r="L222" s="48" t="n">
        <v>23.788750076294</v>
      </c>
      <c r="M222" s="48" t="n">
        <v>25.401250076294</v>
      </c>
      <c r="O222" s="48" t="n">
        <v>14.5250001907349</v>
      </c>
      <c r="P222" s="48" t="n">
        <v>18.8250001907349</v>
      </c>
      <c r="Q222" s="48" t="n">
        <v>23.1250001907349</v>
      </c>
      <c r="S222" s="48" t="n">
        <v>0</v>
      </c>
      <c r="T222" s="48" t="n">
        <v>0</v>
      </c>
      <c r="U222" s="48" t="n">
        <v>0</v>
      </c>
      <c r="W222" s="48" t="n">
        <v>0.0328428115298543</v>
      </c>
      <c r="X222" s="53" t="n">
        <v>0.0656856230597085</v>
      </c>
      <c r="Y222" s="48" t="n">
        <v>0.0985284345895628</v>
      </c>
      <c r="AA222" s="48" t="n">
        <v>0.0025</v>
      </c>
      <c r="AB222" s="48" t="n">
        <v>0.005</v>
      </c>
      <c r="AC222" s="48" t="n">
        <v>0.0075</v>
      </c>
      <c r="AE222" s="48" t="n">
        <v>-0.25</v>
      </c>
      <c r="AF222" s="53" t="n">
        <v>1.5</v>
      </c>
      <c r="AG222" s="48" t="n">
        <v>0.25</v>
      </c>
      <c r="AI222" s="48" t="n">
        <v>-0.1</v>
      </c>
      <c r="AJ222" s="48" t="n">
        <v>0.3</v>
      </c>
      <c r="AK222" s="48" t="n">
        <v>0.1</v>
      </c>
      <c r="AM222" s="9" t="n">
        <v>72</v>
      </c>
      <c r="AN222" s="50" t="n">
        <v>0.4</v>
      </c>
      <c r="BE222" s="3" t="n">
        <v>43070</v>
      </c>
      <c r="BF222" s="52" t="n">
        <v>0.9</v>
      </c>
    </row>
    <row r="223" customFormat="false" ht="12.75" hidden="false" customHeight="false" outlineLevel="0" collapsed="false">
      <c r="A223" s="44" t="n">
        <v>42217</v>
      </c>
      <c r="B223" s="45" t="n">
        <v>100.199996948242</v>
      </c>
      <c r="C223" s="46" t="n">
        <v>105.199996948242</v>
      </c>
      <c r="D223" s="45" t="n">
        <v>110.699996948242</v>
      </c>
      <c r="E223" s="32"/>
      <c r="F223" s="47" t="n">
        <v>15.4149990844727</v>
      </c>
      <c r="G223" s="47" t="n">
        <v>17.9149990844727</v>
      </c>
      <c r="H223" s="47" t="n">
        <v>20.4149990844727</v>
      </c>
      <c r="I223" s="9"/>
      <c r="J223" s="3" t="n">
        <v>43101</v>
      </c>
      <c r="K223" s="48" t="n">
        <v>32.6487487792969</v>
      </c>
      <c r="L223" s="48" t="n">
        <v>34.4987487792969</v>
      </c>
      <c r="M223" s="48" t="n">
        <v>36.1487487792969</v>
      </c>
      <c r="O223" s="48" t="n">
        <v>28.7025005340576</v>
      </c>
      <c r="P223" s="48" t="n">
        <v>33.0025005340576</v>
      </c>
      <c r="Q223" s="48" t="n">
        <v>37.3025005340576</v>
      </c>
      <c r="S223" s="48" t="n">
        <v>0.25</v>
      </c>
      <c r="T223" s="48" t="n">
        <v>0.25</v>
      </c>
      <c r="U223" s="48" t="n">
        <v>0.25</v>
      </c>
      <c r="W223" s="48" t="n">
        <v>0.0504465585098562</v>
      </c>
      <c r="X223" s="53" t="n">
        <v>0.100893117019712</v>
      </c>
      <c r="Y223" s="48" t="n">
        <v>0.151339675529569</v>
      </c>
      <c r="AA223" s="48" t="n">
        <v>0.0025</v>
      </c>
      <c r="AB223" s="48" t="n">
        <v>0.005</v>
      </c>
      <c r="AC223" s="48" t="n">
        <v>0.0075</v>
      </c>
      <c r="AE223" s="48" t="n">
        <v>-0.25</v>
      </c>
      <c r="AF223" s="53" t="n">
        <v>1.75</v>
      </c>
      <c r="AG223" s="48" t="n">
        <v>0.25</v>
      </c>
      <c r="AI223" s="48" t="n">
        <v>-0.1</v>
      </c>
      <c r="AJ223" s="48" t="n">
        <v>0.3</v>
      </c>
      <c r="AK223" s="48" t="n">
        <v>0.1</v>
      </c>
      <c r="AM223" s="9" t="n">
        <v>73</v>
      </c>
      <c r="AN223" s="50" t="n">
        <v>0.4</v>
      </c>
      <c r="BE223" s="3" t="n">
        <v>43101</v>
      </c>
      <c r="BF223" s="52" t="n">
        <v>0.9</v>
      </c>
    </row>
    <row r="224" customFormat="false" ht="12.75" hidden="false" customHeight="false" outlineLevel="0" collapsed="false">
      <c r="A224" s="44" t="n">
        <v>42248</v>
      </c>
      <c r="B224" s="45" t="n">
        <v>36.8249984741211</v>
      </c>
      <c r="C224" s="46" t="n">
        <v>38.9249984741211</v>
      </c>
      <c r="D224" s="45" t="n">
        <v>41.5249984741211</v>
      </c>
      <c r="E224" s="32"/>
      <c r="F224" s="47" t="n">
        <v>16.8649990844727</v>
      </c>
      <c r="G224" s="47" t="n">
        <v>17.9149990844727</v>
      </c>
      <c r="H224" s="47" t="n">
        <v>18.9649990844727</v>
      </c>
      <c r="I224" s="9"/>
      <c r="J224" s="3" t="n">
        <v>43132</v>
      </c>
      <c r="K224" s="48" t="n">
        <v>31.6462501525879</v>
      </c>
      <c r="L224" s="48" t="n">
        <v>33.4962501525879</v>
      </c>
      <c r="M224" s="48" t="n">
        <v>35.1462501525879</v>
      </c>
      <c r="O224" s="48" t="n">
        <v>26.6974994659424</v>
      </c>
      <c r="P224" s="48" t="n">
        <v>30.9974994659424</v>
      </c>
      <c r="Q224" s="48" t="n">
        <v>35.2974994659424</v>
      </c>
      <c r="S224" s="48" t="n">
        <v>0</v>
      </c>
      <c r="T224" s="48" t="n">
        <v>0</v>
      </c>
      <c r="U224" s="48" t="n">
        <v>0</v>
      </c>
      <c r="W224" s="48" t="n">
        <v>0.0504465585098562</v>
      </c>
      <c r="X224" s="53" t="n">
        <v>0.100893117019712</v>
      </c>
      <c r="Y224" s="48" t="n">
        <v>0.151339675529569</v>
      </c>
      <c r="AA224" s="48" t="n">
        <v>0.0025</v>
      </c>
      <c r="AB224" s="48" t="n">
        <v>0.005</v>
      </c>
      <c r="AC224" s="48" t="n">
        <v>0.0075</v>
      </c>
      <c r="AE224" s="48" t="n">
        <v>-0.25</v>
      </c>
      <c r="AF224" s="53" t="n">
        <v>1.75</v>
      </c>
      <c r="AG224" s="48" t="n">
        <v>0.25</v>
      </c>
      <c r="AI224" s="48" t="n">
        <v>-0.1</v>
      </c>
      <c r="AJ224" s="48" t="n">
        <v>0.3</v>
      </c>
      <c r="AK224" s="48" t="n">
        <v>0.1</v>
      </c>
      <c r="AM224" s="9" t="n">
        <v>73</v>
      </c>
      <c r="AN224" s="50" t="n">
        <v>0.4</v>
      </c>
      <c r="BE224" s="3" t="n">
        <v>43132</v>
      </c>
      <c r="BF224" s="52" t="n">
        <v>0.9</v>
      </c>
    </row>
    <row r="225" customFormat="false" ht="12.75" hidden="false" customHeight="false" outlineLevel="0" collapsed="false">
      <c r="A225" s="44" t="n">
        <v>42278</v>
      </c>
      <c r="B225" s="45" t="n">
        <v>29.3750003814697</v>
      </c>
      <c r="C225" s="46" t="n">
        <v>31.3250003814697</v>
      </c>
      <c r="D225" s="45" t="n">
        <v>33.7750003814697</v>
      </c>
      <c r="E225" s="32"/>
      <c r="F225" s="47" t="n">
        <v>16.6399998474121</v>
      </c>
      <c r="G225" s="47" t="n">
        <v>17.6149998474121</v>
      </c>
      <c r="H225" s="47" t="n">
        <v>18.5899998474121</v>
      </c>
      <c r="I225" s="9"/>
      <c r="J225" s="3" t="n">
        <v>43160</v>
      </c>
      <c r="K225" s="48" t="n">
        <v>20.9347496032715</v>
      </c>
      <c r="L225" s="48" t="n">
        <v>21.8347496032715</v>
      </c>
      <c r="M225" s="48" t="n">
        <v>22.7347496032715</v>
      </c>
      <c r="O225" s="48" t="n">
        <v>17.1644989013672</v>
      </c>
      <c r="P225" s="48" t="n">
        <v>21.4644989013672</v>
      </c>
      <c r="Q225" s="48" t="n">
        <v>25.7644989013672</v>
      </c>
      <c r="S225" s="48" t="n">
        <v>0</v>
      </c>
      <c r="T225" s="48" t="n">
        <v>0</v>
      </c>
      <c r="U225" s="48" t="n">
        <v>0</v>
      </c>
      <c r="W225" s="48" t="n">
        <v>0.0420387987582135</v>
      </c>
      <c r="X225" s="53" t="n">
        <v>0.0840775975164269</v>
      </c>
      <c r="Y225" s="48" t="n">
        <v>0.12611639627464</v>
      </c>
      <c r="AA225" s="48" t="n">
        <v>0.0025</v>
      </c>
      <c r="AB225" s="48" t="n">
        <v>0.005</v>
      </c>
      <c r="AC225" s="48" t="n">
        <v>0.0075</v>
      </c>
      <c r="AE225" s="48" t="n">
        <v>-0.25</v>
      </c>
      <c r="AF225" s="53" t="n">
        <v>1.1</v>
      </c>
      <c r="AG225" s="48" t="n">
        <v>0.25</v>
      </c>
      <c r="AI225" s="48" t="n">
        <v>-0.1</v>
      </c>
      <c r="AJ225" s="48" t="n">
        <v>0.3</v>
      </c>
      <c r="AK225" s="48" t="n">
        <v>0.1</v>
      </c>
      <c r="AM225" s="9" t="n">
        <v>73</v>
      </c>
      <c r="AN225" s="50" t="n">
        <v>0.4</v>
      </c>
      <c r="BE225" s="3" t="n">
        <v>43160</v>
      </c>
      <c r="BF225" s="52" t="n">
        <v>0.9</v>
      </c>
    </row>
    <row r="226" customFormat="false" ht="12.75" hidden="false" customHeight="false" outlineLevel="0" collapsed="false">
      <c r="A226" s="44" t="n">
        <v>42309</v>
      </c>
      <c r="B226" s="45" t="n">
        <v>29.0474990844727</v>
      </c>
      <c r="C226" s="46" t="n">
        <v>30.9974990844727</v>
      </c>
      <c r="D226" s="45" t="n">
        <v>33.4474990844727</v>
      </c>
      <c r="E226" s="32"/>
      <c r="F226" s="47" t="n">
        <v>14.8899998474121</v>
      </c>
      <c r="G226" s="47" t="n">
        <v>15.8649998474121</v>
      </c>
      <c r="H226" s="47" t="n">
        <v>16.8399998474121</v>
      </c>
      <c r="I226" s="9"/>
      <c r="J226" s="3" t="n">
        <v>43191</v>
      </c>
      <c r="K226" s="48" t="n">
        <v>21.7300003051758</v>
      </c>
      <c r="L226" s="48" t="n">
        <v>22.5175003051758</v>
      </c>
      <c r="M226" s="48" t="n">
        <v>23.3050003051758</v>
      </c>
      <c r="O226" s="48" t="n">
        <v>16.9349990844727</v>
      </c>
      <c r="P226" s="48" t="n">
        <v>21.2349990844727</v>
      </c>
      <c r="Q226" s="48" t="n">
        <v>25.5349990844727</v>
      </c>
      <c r="S226" s="48" t="n">
        <v>0</v>
      </c>
      <c r="T226" s="48" t="n">
        <v>0</v>
      </c>
      <c r="U226" s="48" t="n">
        <v>0</v>
      </c>
      <c r="W226" s="48" t="n">
        <v>0.0399368588203028</v>
      </c>
      <c r="X226" s="53" t="n">
        <v>0.0798737176406056</v>
      </c>
      <c r="Y226" s="48" t="n">
        <v>0.119810576460908</v>
      </c>
      <c r="AA226" s="48" t="n">
        <v>0.0025</v>
      </c>
      <c r="AB226" s="48" t="n">
        <v>0.005</v>
      </c>
      <c r="AC226" s="48" t="n">
        <v>0.0075</v>
      </c>
      <c r="AE226" s="48" t="n">
        <v>-0.25</v>
      </c>
      <c r="AF226" s="53" t="n">
        <v>1.2</v>
      </c>
      <c r="AG226" s="48" t="n">
        <v>0.25</v>
      </c>
      <c r="AI226" s="48" t="n">
        <v>-0.1</v>
      </c>
      <c r="AJ226" s="48" t="n">
        <v>0.3</v>
      </c>
      <c r="AK226" s="48" t="n">
        <v>0.1</v>
      </c>
      <c r="AM226" s="9" t="n">
        <v>74</v>
      </c>
      <c r="AN226" s="50" t="n">
        <v>0.4</v>
      </c>
      <c r="BE226" s="3" t="n">
        <v>43191</v>
      </c>
      <c r="BF226" s="52" t="n">
        <v>0.9</v>
      </c>
    </row>
    <row r="227" customFormat="false" ht="12.75" hidden="false" customHeight="false" outlineLevel="0" collapsed="false">
      <c r="A227" s="44" t="n">
        <v>42339</v>
      </c>
      <c r="B227" s="45" t="n">
        <v>30.7999996185303</v>
      </c>
      <c r="C227" s="46" t="n">
        <v>32.7499996185303</v>
      </c>
      <c r="D227" s="45" t="n">
        <v>35.1999996185303</v>
      </c>
      <c r="E227" s="32"/>
      <c r="F227" s="47" t="n">
        <v>15.7400002288818</v>
      </c>
      <c r="G227" s="47" t="n">
        <v>16.7150002288818</v>
      </c>
      <c r="H227" s="47" t="n">
        <v>17.6900002288818</v>
      </c>
      <c r="I227" s="9"/>
      <c r="J227" s="3" t="n">
        <v>43221</v>
      </c>
      <c r="K227" s="48" t="n">
        <v>20.772500076294</v>
      </c>
      <c r="L227" s="48" t="n">
        <v>22.632500076294</v>
      </c>
      <c r="M227" s="48" t="n">
        <v>24.492500076294</v>
      </c>
      <c r="O227" s="48" t="n">
        <v>17.4649997711182</v>
      </c>
      <c r="P227" s="48" t="n">
        <v>21.7649997711182</v>
      </c>
      <c r="Q227" s="48" t="n">
        <v>26.0649997711182</v>
      </c>
      <c r="S227" s="48" t="n">
        <v>0</v>
      </c>
      <c r="T227" s="48" t="n">
        <v>0</v>
      </c>
      <c r="U227" s="48" t="n">
        <v>0</v>
      </c>
      <c r="W227" s="48" t="n">
        <v>0.0441407386961241</v>
      </c>
      <c r="X227" s="53" t="n">
        <v>0.0882814773922483</v>
      </c>
      <c r="Y227" s="48" t="n">
        <v>0.132422216088372</v>
      </c>
      <c r="AA227" s="48" t="n">
        <v>0.0025</v>
      </c>
      <c r="AB227" s="48" t="n">
        <v>0.005</v>
      </c>
      <c r="AC227" s="48" t="n">
        <v>0.0075</v>
      </c>
      <c r="AE227" s="48" t="n">
        <v>-0.25</v>
      </c>
      <c r="AF227" s="53" t="n">
        <v>2</v>
      </c>
      <c r="AG227" s="48" t="n">
        <v>0.25</v>
      </c>
      <c r="AI227" s="48" t="n">
        <v>-0.1</v>
      </c>
      <c r="AJ227" s="48" t="n">
        <v>0.3</v>
      </c>
      <c r="AK227" s="48" t="n">
        <v>0.1</v>
      </c>
      <c r="AM227" s="9" t="n">
        <v>74</v>
      </c>
      <c r="AN227" s="50" t="n">
        <v>0.4</v>
      </c>
      <c r="BE227" s="3" t="n">
        <v>43221</v>
      </c>
      <c r="BF227" s="52" t="n">
        <v>0.9</v>
      </c>
    </row>
    <row r="228" customFormat="false" ht="12.75" hidden="false" customHeight="false" outlineLevel="0" collapsed="false">
      <c r="A228" s="44" t="n">
        <v>42370</v>
      </c>
      <c r="B228" s="45" t="n">
        <v>39.2249984741211</v>
      </c>
      <c r="C228" s="46" t="n">
        <v>41.3249984741211</v>
      </c>
      <c r="D228" s="45" t="n">
        <v>43.9249984741211</v>
      </c>
      <c r="E228" s="32"/>
      <c r="F228" s="47" t="n">
        <v>19.9649975585937</v>
      </c>
      <c r="G228" s="47" t="n">
        <v>21.0149975585938</v>
      </c>
      <c r="H228" s="47" t="n">
        <v>22.0649975585938</v>
      </c>
      <c r="I228" s="9"/>
      <c r="J228" s="3" t="n">
        <v>43252</v>
      </c>
      <c r="K228" s="48" t="n">
        <v>21.8762501525879</v>
      </c>
      <c r="L228" s="48" t="n">
        <v>27.2087501525879</v>
      </c>
      <c r="M228" s="48" t="n">
        <v>32.5412501525879</v>
      </c>
      <c r="O228" s="48" t="n">
        <v>16.3924995422363</v>
      </c>
      <c r="P228" s="48" t="n">
        <v>20.6924995422363</v>
      </c>
      <c r="Q228" s="48" t="n">
        <v>24.9924995422363</v>
      </c>
      <c r="S228" s="48" t="n">
        <v>0</v>
      </c>
      <c r="T228" s="48" t="n">
        <v>0</v>
      </c>
      <c r="U228" s="48" t="n">
        <v>0</v>
      </c>
      <c r="W228" s="48" t="n">
        <v>0.0567523783235882</v>
      </c>
      <c r="X228" s="53" t="n">
        <v>0.113504756647176</v>
      </c>
      <c r="Y228" s="48" t="n">
        <v>0.170257134970765</v>
      </c>
      <c r="AA228" s="48" t="n">
        <v>0.0025</v>
      </c>
      <c r="AB228" s="48" t="n">
        <v>0.005</v>
      </c>
      <c r="AC228" s="48" t="n">
        <v>0.0075</v>
      </c>
      <c r="AE228" s="48" t="n">
        <v>-0.25</v>
      </c>
      <c r="AF228" s="53" t="n">
        <v>2.25</v>
      </c>
      <c r="AG228" s="48" t="n">
        <v>0.25</v>
      </c>
      <c r="AI228" s="48" t="n">
        <v>-0.1</v>
      </c>
      <c r="AJ228" s="48" t="n">
        <v>0.3</v>
      </c>
      <c r="AK228" s="48" t="n">
        <v>0.1</v>
      </c>
      <c r="AM228" s="9" t="n">
        <v>74</v>
      </c>
      <c r="AN228" s="50" t="n">
        <v>0.4</v>
      </c>
      <c r="BE228" s="3" t="n">
        <v>43252</v>
      </c>
      <c r="BF228" s="52" t="n">
        <v>0.9</v>
      </c>
    </row>
    <row r="229" customFormat="false" ht="12.75" hidden="false" customHeight="false" outlineLevel="0" collapsed="false">
      <c r="A229" s="44" t="n">
        <v>42401</v>
      </c>
      <c r="B229" s="45" t="n">
        <v>39.2249984741211</v>
      </c>
      <c r="C229" s="46" t="n">
        <v>41.3249984741211</v>
      </c>
      <c r="D229" s="45" t="n">
        <v>43.9249984741211</v>
      </c>
      <c r="E229" s="32"/>
      <c r="F229" s="47" t="n">
        <v>20.114997177124</v>
      </c>
      <c r="G229" s="47" t="n">
        <v>21.164997177124</v>
      </c>
      <c r="H229" s="47" t="n">
        <v>22.214997177124</v>
      </c>
      <c r="I229" s="9"/>
      <c r="J229" s="3" t="n">
        <v>43282</v>
      </c>
      <c r="K229" s="48" t="n">
        <v>37.9112495422363</v>
      </c>
      <c r="L229" s="48" t="n">
        <v>41.6612495422363</v>
      </c>
      <c r="M229" s="48" t="n">
        <v>45.4112495422363</v>
      </c>
      <c r="O229" s="48" t="n">
        <v>26.8474994659424</v>
      </c>
      <c r="P229" s="48" t="n">
        <v>31.1474994659424</v>
      </c>
      <c r="Q229" s="48" t="n">
        <v>35.4474994659424</v>
      </c>
      <c r="S229" s="48" t="n">
        <v>0</v>
      </c>
      <c r="T229" s="48" t="n">
        <v>0</v>
      </c>
      <c r="U229" s="48" t="n">
        <v>0</v>
      </c>
      <c r="W229" s="48" t="n">
        <v>0.0693640179510522</v>
      </c>
      <c r="X229" s="53" t="n">
        <v>0.138728035902104</v>
      </c>
      <c r="Y229" s="48" t="n">
        <v>0.208092053853157</v>
      </c>
      <c r="AA229" s="48" t="n">
        <v>0.0025</v>
      </c>
      <c r="AB229" s="48" t="n">
        <v>0.005</v>
      </c>
      <c r="AC229" s="48" t="n">
        <v>0.0075</v>
      </c>
      <c r="AE229" s="48" t="n">
        <v>-0.25</v>
      </c>
      <c r="AF229" s="53" t="n">
        <v>3</v>
      </c>
      <c r="AG229" s="48" t="n">
        <v>0.25</v>
      </c>
      <c r="AI229" s="48" t="n">
        <v>-0.1</v>
      </c>
      <c r="AJ229" s="48" t="n">
        <v>0.3</v>
      </c>
      <c r="AK229" s="48" t="n">
        <v>0.1</v>
      </c>
      <c r="AM229" s="9" t="n">
        <v>74</v>
      </c>
      <c r="AN229" s="50" t="n">
        <v>0.4</v>
      </c>
      <c r="BE229" s="3" t="n">
        <v>43282</v>
      </c>
      <c r="BF229" s="52" t="n">
        <v>0.9</v>
      </c>
    </row>
    <row r="230" customFormat="false" ht="12.75" hidden="false" customHeight="false" outlineLevel="0" collapsed="false">
      <c r="A230" s="44" t="n">
        <v>42430</v>
      </c>
      <c r="B230" s="45" t="n">
        <v>29.9000007629395</v>
      </c>
      <c r="C230" s="46" t="n">
        <v>31.0500007629395</v>
      </c>
      <c r="D230" s="45" t="n">
        <v>32.7000007629395</v>
      </c>
      <c r="E230" s="32"/>
      <c r="F230" s="47" t="n">
        <v>17.8399990844727</v>
      </c>
      <c r="G230" s="47" t="n">
        <v>18.4149990844727</v>
      </c>
      <c r="H230" s="47" t="n">
        <v>18.9899990844727</v>
      </c>
      <c r="I230" s="9"/>
      <c r="J230" s="3" t="n">
        <v>43313</v>
      </c>
      <c r="K230" s="48" t="n">
        <v>40.1724990844727</v>
      </c>
      <c r="L230" s="48" t="n">
        <v>43.9224990844727</v>
      </c>
      <c r="M230" s="48" t="n">
        <v>47.6724990844727</v>
      </c>
      <c r="O230" s="48" t="n">
        <v>28.3450008392334</v>
      </c>
      <c r="P230" s="48" t="n">
        <v>32.6450008392334</v>
      </c>
      <c r="Q230" s="48" t="n">
        <v>36.9450008392334</v>
      </c>
      <c r="S230" s="48" t="n">
        <v>0</v>
      </c>
      <c r="T230" s="48" t="n">
        <v>0</v>
      </c>
      <c r="U230" s="48" t="n">
        <v>0</v>
      </c>
      <c r="W230" s="48" t="n">
        <v>0.0693640179510522</v>
      </c>
      <c r="X230" s="57" t="n">
        <v>0.138728035902104</v>
      </c>
      <c r="Y230" s="48" t="n">
        <v>0.208092053853157</v>
      </c>
      <c r="AA230" s="48" t="n">
        <v>0.0025</v>
      </c>
      <c r="AB230" s="48" t="n">
        <v>0.005</v>
      </c>
      <c r="AC230" s="48" t="n">
        <v>0.0075</v>
      </c>
      <c r="AE230" s="48" t="n">
        <v>-0.25</v>
      </c>
      <c r="AF230" s="57" t="n">
        <v>3</v>
      </c>
      <c r="AG230" s="48" t="n">
        <v>0.25</v>
      </c>
      <c r="AI230" s="48" t="n">
        <v>-0.1</v>
      </c>
      <c r="AJ230" s="48" t="n">
        <v>0.3</v>
      </c>
      <c r="AK230" s="48" t="n">
        <v>0.1</v>
      </c>
      <c r="AM230" s="9" t="n">
        <v>74</v>
      </c>
      <c r="AN230" s="50" t="n">
        <v>0.4</v>
      </c>
      <c r="BE230" s="3" t="n">
        <v>43313</v>
      </c>
      <c r="BF230" s="52" t="n">
        <v>0.9</v>
      </c>
    </row>
    <row r="231" customFormat="false" ht="12.75" hidden="false" customHeight="false" outlineLevel="0" collapsed="false">
      <c r="A231" s="44" t="n">
        <v>42461</v>
      </c>
      <c r="B231" s="45" t="n">
        <v>29.8250007629395</v>
      </c>
      <c r="C231" s="46" t="n">
        <v>30.8250007629395</v>
      </c>
      <c r="D231" s="45" t="n">
        <v>32.3250007629395</v>
      </c>
      <c r="E231" s="32"/>
      <c r="F231" s="47" t="n">
        <v>18.1649990844727</v>
      </c>
      <c r="G231" s="47" t="n">
        <v>18.6649990844727</v>
      </c>
      <c r="H231" s="47" t="n">
        <v>19.1649990844727</v>
      </c>
      <c r="I231" s="9"/>
    </row>
    <row r="232" customFormat="false" ht="12.75" hidden="false" customHeight="false" outlineLevel="0" collapsed="false">
      <c r="A232" s="44" t="n">
        <v>42491</v>
      </c>
      <c r="B232" s="45" t="n">
        <v>36.345</v>
      </c>
      <c r="C232" s="46" t="n">
        <v>38.825</v>
      </c>
      <c r="D232" s="45" t="n">
        <v>41.805</v>
      </c>
      <c r="E232" s="32"/>
      <c r="F232" s="47" t="n">
        <v>16.8749998474121</v>
      </c>
      <c r="G232" s="47" t="n">
        <v>18.1149998474121</v>
      </c>
      <c r="H232" s="47" t="n">
        <v>19.3549998474121</v>
      </c>
      <c r="I232" s="9"/>
    </row>
    <row r="233" customFormat="false" ht="12.75" hidden="false" customHeight="false" outlineLevel="0" collapsed="false">
      <c r="A233" s="44" t="n">
        <v>42522</v>
      </c>
      <c r="B233" s="45" t="n">
        <v>59.7399984741211</v>
      </c>
      <c r="C233" s="46" t="n">
        <v>66.8499984741211</v>
      </c>
      <c r="D233" s="45" t="n">
        <v>74.4599984741211</v>
      </c>
      <c r="E233" s="32"/>
      <c r="F233" s="47" t="n">
        <v>14.6200012207031</v>
      </c>
      <c r="G233" s="47" t="n">
        <v>18.1750012207031</v>
      </c>
      <c r="H233" s="47" t="n">
        <v>21.7300012207031</v>
      </c>
      <c r="I233" s="9"/>
    </row>
    <row r="234" customFormat="false" ht="12.75" hidden="false" customHeight="false" outlineLevel="0" collapsed="false">
      <c r="A234" s="44" t="n">
        <v>42552</v>
      </c>
      <c r="B234" s="45" t="n">
        <v>115.449996948242</v>
      </c>
      <c r="C234" s="46" t="n">
        <v>120.449996948242</v>
      </c>
      <c r="D234" s="45" t="n">
        <v>125.949996948242</v>
      </c>
      <c r="E234" s="32"/>
      <c r="F234" s="47" t="n">
        <v>15.3649998474121</v>
      </c>
      <c r="G234" s="47" t="n">
        <v>17.8649998474121</v>
      </c>
      <c r="H234" s="47" t="n">
        <v>20.3649998474121</v>
      </c>
      <c r="I234" s="9"/>
    </row>
    <row r="235" customFormat="false" ht="12.75" hidden="false" customHeight="false" outlineLevel="0" collapsed="false">
      <c r="A235" s="44" t="n">
        <v>42583</v>
      </c>
      <c r="B235" s="45" t="n">
        <v>102.449996948242</v>
      </c>
      <c r="C235" s="46" t="n">
        <v>107.449996948242</v>
      </c>
      <c r="D235" s="45" t="n">
        <v>112.949996948242</v>
      </c>
      <c r="E235" s="32"/>
      <c r="F235" s="47" t="n">
        <v>15.4149990844727</v>
      </c>
      <c r="G235" s="47" t="n">
        <v>17.9149990844727</v>
      </c>
      <c r="H235" s="47" t="n">
        <v>20.4149990844727</v>
      </c>
      <c r="I235" s="9"/>
    </row>
    <row r="236" customFormat="false" ht="12.75" hidden="false" customHeight="false" outlineLevel="0" collapsed="false">
      <c r="A236" s="44" t="n">
        <v>42614</v>
      </c>
      <c r="B236" s="45" t="n">
        <v>37.2249984741211</v>
      </c>
      <c r="C236" s="46" t="n">
        <v>39.4249984741211</v>
      </c>
      <c r="D236" s="45" t="n">
        <v>42.1249984741211</v>
      </c>
      <c r="E236" s="32"/>
      <c r="F236" s="47" t="n">
        <v>16.8149990844727</v>
      </c>
      <c r="G236" s="47" t="n">
        <v>17.9149990844727</v>
      </c>
      <c r="H236" s="47" t="n">
        <v>19.0149990844727</v>
      </c>
      <c r="I236" s="9"/>
    </row>
    <row r="237" customFormat="false" ht="12.75" hidden="false" customHeight="false" outlineLevel="0" collapsed="false">
      <c r="A237" s="44" t="n">
        <v>42644</v>
      </c>
      <c r="B237" s="45" t="n">
        <v>29.5250003814697</v>
      </c>
      <c r="C237" s="46" t="n">
        <v>31.5750003814697</v>
      </c>
      <c r="D237" s="45" t="n">
        <v>34.1250003814697</v>
      </c>
      <c r="E237" s="32"/>
      <c r="F237" s="47" t="n">
        <v>16.5899998474121</v>
      </c>
      <c r="G237" s="47" t="n">
        <v>17.6149998474121</v>
      </c>
      <c r="H237" s="47" t="n">
        <v>18.6399998474121</v>
      </c>
      <c r="I237" s="9"/>
    </row>
    <row r="238" customFormat="false" ht="12.75" hidden="false" customHeight="false" outlineLevel="0" collapsed="false">
      <c r="A238" s="44" t="n">
        <v>42675</v>
      </c>
      <c r="B238" s="45" t="n">
        <v>29.1974990844727</v>
      </c>
      <c r="C238" s="46" t="n">
        <v>31.2474990844727</v>
      </c>
      <c r="D238" s="45" t="n">
        <v>33.7974990844727</v>
      </c>
      <c r="E238" s="32"/>
      <c r="F238" s="47" t="n">
        <v>14.8399998474121</v>
      </c>
      <c r="G238" s="47" t="n">
        <v>15.8649998474121</v>
      </c>
      <c r="H238" s="47" t="n">
        <v>16.8899998474121</v>
      </c>
      <c r="I238" s="9"/>
    </row>
    <row r="239" customFormat="false" ht="12.75" hidden="false" customHeight="false" outlineLevel="0" collapsed="false">
      <c r="A239" s="44" t="n">
        <v>42705</v>
      </c>
      <c r="B239" s="45" t="n">
        <v>30.9499996185303</v>
      </c>
      <c r="C239" s="46" t="n">
        <v>32.9999996185303</v>
      </c>
      <c r="D239" s="45" t="n">
        <v>35.5499996185303</v>
      </c>
      <c r="E239" s="32"/>
      <c r="F239" s="47" t="n">
        <v>15.6900002288818</v>
      </c>
      <c r="G239" s="47" t="n">
        <v>16.7150002288818</v>
      </c>
      <c r="H239" s="47" t="n">
        <v>17.7400002288818</v>
      </c>
      <c r="I239" s="9"/>
    </row>
    <row r="240" customFormat="false" ht="12.75" hidden="false" customHeight="false" outlineLevel="0" collapsed="false">
      <c r="A240" s="44" t="n">
        <v>42736</v>
      </c>
      <c r="B240" s="45" t="n">
        <v>39.3749984741211</v>
      </c>
      <c r="C240" s="46" t="n">
        <v>41.5749984741211</v>
      </c>
      <c r="D240" s="45" t="n">
        <v>44.2749984741211</v>
      </c>
      <c r="E240" s="32"/>
      <c r="F240" s="47" t="n">
        <v>19.9149975585937</v>
      </c>
      <c r="G240" s="47" t="n">
        <v>21.0149975585938</v>
      </c>
      <c r="H240" s="47" t="n">
        <v>22.1149975585938</v>
      </c>
      <c r="I240" s="9"/>
    </row>
    <row r="241" customFormat="false" ht="12.75" hidden="false" customHeight="false" outlineLevel="0" collapsed="false">
      <c r="A241" s="44" t="n">
        <v>42767</v>
      </c>
      <c r="B241" s="45" t="n">
        <v>39.3749984741211</v>
      </c>
      <c r="C241" s="46" t="n">
        <v>41.5749984741211</v>
      </c>
      <c r="D241" s="45" t="n">
        <v>44.2749984741211</v>
      </c>
      <c r="E241" s="32"/>
      <c r="F241" s="47" t="n">
        <v>20.064997177124</v>
      </c>
      <c r="G241" s="47" t="n">
        <v>21.164997177124</v>
      </c>
      <c r="H241" s="47" t="n">
        <v>22.264997177124</v>
      </c>
      <c r="I241" s="9"/>
    </row>
    <row r="242" customFormat="false" ht="12.75" hidden="false" customHeight="false" outlineLevel="0" collapsed="false">
      <c r="A242" s="44" t="n">
        <v>42795</v>
      </c>
      <c r="B242" s="45" t="n">
        <v>30.1000007629395</v>
      </c>
      <c r="C242" s="46" t="n">
        <v>31.3000007629395</v>
      </c>
      <c r="D242" s="45" t="n">
        <v>33.0000007629395</v>
      </c>
      <c r="E242" s="32"/>
      <c r="F242" s="47" t="n">
        <v>17.8149990844727</v>
      </c>
      <c r="G242" s="47" t="n">
        <v>18.4149990844727</v>
      </c>
      <c r="H242" s="47" t="n">
        <v>19.0149990844727</v>
      </c>
      <c r="I242" s="9"/>
    </row>
    <row r="243" customFormat="false" ht="12.75" hidden="false" customHeight="false" outlineLevel="0" collapsed="false">
      <c r="A243" s="44" t="n">
        <v>42826</v>
      </c>
      <c r="B243" s="45" t="n">
        <v>30.0250007629395</v>
      </c>
      <c r="C243" s="46" t="n">
        <v>31.0750007629395</v>
      </c>
      <c r="D243" s="45" t="n">
        <v>32.6250007629395</v>
      </c>
      <c r="E243" s="32"/>
      <c r="F243" s="47" t="n">
        <v>18.1399990844727</v>
      </c>
      <c r="G243" s="47" t="n">
        <v>18.6649990844727</v>
      </c>
      <c r="H243" s="47" t="n">
        <v>19.1899990844727</v>
      </c>
      <c r="I243" s="9"/>
    </row>
    <row r="244" customFormat="false" ht="12.75" hidden="false" customHeight="false" outlineLevel="0" collapsed="false">
      <c r="A244" s="44" t="n">
        <v>42856</v>
      </c>
      <c r="B244" s="45" t="n">
        <v>36.595</v>
      </c>
      <c r="C244" s="46" t="n">
        <v>39.075</v>
      </c>
      <c r="D244" s="45" t="n">
        <v>42.055</v>
      </c>
      <c r="E244" s="32"/>
      <c r="F244" s="47" t="n">
        <v>16.8749998474121</v>
      </c>
      <c r="G244" s="47" t="n">
        <v>18.1149998474121</v>
      </c>
      <c r="H244" s="47" t="n">
        <v>19.3549998474121</v>
      </c>
      <c r="I244" s="9"/>
    </row>
    <row r="245" customFormat="false" ht="12.75" hidden="false" customHeight="false" outlineLevel="0" collapsed="false">
      <c r="A245" s="44" t="n">
        <v>42887</v>
      </c>
      <c r="B245" s="45" t="n">
        <v>60.4899984741211</v>
      </c>
      <c r="C245" s="46" t="n">
        <v>67.5999984741211</v>
      </c>
      <c r="D245" s="45" t="n">
        <v>75.2099984741211</v>
      </c>
      <c r="E245" s="32"/>
      <c r="F245" s="47" t="n">
        <v>14.6200012207031</v>
      </c>
      <c r="G245" s="47" t="n">
        <v>18.1750012207031</v>
      </c>
      <c r="H245" s="47" t="n">
        <v>21.7300012207031</v>
      </c>
      <c r="I245" s="9"/>
    </row>
    <row r="246" customFormat="false" ht="12.75" hidden="false" customHeight="false" outlineLevel="0" collapsed="false">
      <c r="A246" s="44" t="n">
        <v>42917</v>
      </c>
      <c r="B246" s="45" t="n">
        <v>117.699996948242</v>
      </c>
      <c r="C246" s="46" t="n">
        <v>122.699996948242</v>
      </c>
      <c r="D246" s="45" t="n">
        <v>128.199996948242</v>
      </c>
      <c r="E246" s="58"/>
      <c r="F246" s="47" t="n">
        <v>15.3649998474121</v>
      </c>
      <c r="G246" s="47" t="n">
        <v>17.8649998474121</v>
      </c>
      <c r="H246" s="47" t="n">
        <v>20.3649998474121</v>
      </c>
      <c r="I246" s="9"/>
    </row>
    <row r="247" customFormat="false" ht="12.75" hidden="false" customHeight="false" outlineLevel="0" collapsed="false">
      <c r="A247" s="44" t="n">
        <v>42948</v>
      </c>
      <c r="B247" s="45" t="n">
        <v>104.699996948242</v>
      </c>
      <c r="C247" s="46" t="n">
        <v>109.699996948242</v>
      </c>
      <c r="D247" s="45" t="n">
        <v>115.199996948242</v>
      </c>
      <c r="E247" s="58"/>
      <c r="F247" s="47" t="n">
        <v>15.4149990844727</v>
      </c>
      <c r="G247" s="47" t="n">
        <v>17.9149990844727</v>
      </c>
      <c r="H247" s="47" t="n">
        <v>20.4149990844727</v>
      </c>
      <c r="I247" s="9"/>
    </row>
    <row r="248" customFormat="false" ht="12.75" hidden="false" customHeight="false" outlineLevel="0" collapsed="false">
      <c r="A248" s="44" t="n">
        <v>42979</v>
      </c>
      <c r="B248" s="45" t="n">
        <v>37.6249984741211</v>
      </c>
      <c r="C248" s="46" t="n">
        <v>39.9249984741211</v>
      </c>
      <c r="D248" s="45" t="n">
        <v>42.7249984741211</v>
      </c>
      <c r="E248" s="58"/>
      <c r="F248" s="47" t="n">
        <v>16.7649990844727</v>
      </c>
      <c r="G248" s="47" t="n">
        <v>17.9149990844727</v>
      </c>
      <c r="H248" s="47" t="n">
        <v>19.0649990844727</v>
      </c>
      <c r="I248" s="9"/>
    </row>
    <row r="249" customFormat="false" ht="12.75" hidden="false" customHeight="false" outlineLevel="0" collapsed="false">
      <c r="A249" s="44" t="n">
        <v>43009</v>
      </c>
      <c r="B249" s="45" t="n">
        <v>29.6750003814697</v>
      </c>
      <c r="C249" s="46" t="n">
        <v>31.8250003814697</v>
      </c>
      <c r="D249" s="45" t="n">
        <v>34.4750003814697</v>
      </c>
      <c r="E249" s="58"/>
      <c r="F249" s="47" t="n">
        <v>16.5399998474121</v>
      </c>
      <c r="G249" s="47" t="n">
        <v>17.6149998474121</v>
      </c>
      <c r="H249" s="47" t="n">
        <v>18.6899998474121</v>
      </c>
      <c r="I249" s="9"/>
    </row>
    <row r="250" customFormat="false" ht="12.75" hidden="false" customHeight="false" outlineLevel="0" collapsed="false">
      <c r="A250" s="44" t="n">
        <v>43040</v>
      </c>
      <c r="B250" s="45" t="n">
        <v>29.3474990844727</v>
      </c>
      <c r="C250" s="46" t="n">
        <v>31.4974990844727</v>
      </c>
      <c r="D250" s="45" t="n">
        <v>34.1474990844727</v>
      </c>
      <c r="E250" s="58"/>
      <c r="F250" s="47" t="n">
        <v>14.7899998474121</v>
      </c>
      <c r="G250" s="47" t="n">
        <v>15.8649998474121</v>
      </c>
      <c r="H250" s="47" t="n">
        <v>16.9399998474121</v>
      </c>
      <c r="I250" s="9"/>
    </row>
    <row r="251" customFormat="false" ht="12.75" hidden="false" customHeight="false" outlineLevel="0" collapsed="false">
      <c r="A251" s="44" t="n">
        <v>43070</v>
      </c>
      <c r="B251" s="45" t="n">
        <v>31.0999996185303</v>
      </c>
      <c r="C251" s="46" t="n">
        <v>33.2499996185303</v>
      </c>
      <c r="D251" s="45" t="n">
        <v>35.8999996185303</v>
      </c>
      <c r="E251" s="58"/>
      <c r="F251" s="47" t="n">
        <v>15.6400002288818</v>
      </c>
      <c r="G251" s="47" t="n">
        <v>16.7150002288818</v>
      </c>
      <c r="H251" s="47" t="n">
        <v>17.7900002288818</v>
      </c>
      <c r="I251" s="9"/>
    </row>
    <row r="252" customFormat="false" ht="12.75" hidden="false" customHeight="false" outlineLevel="0" collapsed="false">
      <c r="A252" s="44" t="n">
        <v>43101</v>
      </c>
      <c r="B252" s="45" t="n">
        <v>39.6249984741211</v>
      </c>
      <c r="C252" s="46" t="n">
        <v>41.8249984741211</v>
      </c>
      <c r="D252" s="45" t="n">
        <v>44.5249984741211</v>
      </c>
      <c r="E252" s="58"/>
      <c r="F252" s="47" t="n">
        <v>19.9149975585937</v>
      </c>
      <c r="G252" s="47" t="n">
        <v>21.0149975585938</v>
      </c>
      <c r="H252" s="47" t="n">
        <v>22.1149975585938</v>
      </c>
      <c r="I252" s="9"/>
    </row>
    <row r="253" customFormat="false" ht="12.75" hidden="false" customHeight="false" outlineLevel="0" collapsed="false">
      <c r="A253" s="44" t="n">
        <v>43132</v>
      </c>
      <c r="B253" s="45" t="n">
        <v>39.6249984741211</v>
      </c>
      <c r="C253" s="46" t="n">
        <v>41.8249984741211</v>
      </c>
      <c r="D253" s="45" t="n">
        <v>44.5249984741211</v>
      </c>
      <c r="E253" s="58"/>
      <c r="F253" s="47" t="n">
        <v>20.064997177124</v>
      </c>
      <c r="G253" s="47" t="n">
        <v>21.164997177124</v>
      </c>
      <c r="H253" s="47" t="n">
        <v>22.264997177124</v>
      </c>
      <c r="I253" s="9"/>
    </row>
    <row r="254" customFormat="false" ht="12.75" hidden="false" customHeight="false" outlineLevel="0" collapsed="false">
      <c r="A254" s="44" t="n">
        <v>43160</v>
      </c>
      <c r="B254" s="45" t="n">
        <v>30.3500007629395</v>
      </c>
      <c r="C254" s="46" t="n">
        <v>31.5500007629395</v>
      </c>
      <c r="D254" s="45" t="n">
        <v>33.2500007629395</v>
      </c>
      <c r="E254" s="58"/>
      <c r="F254" s="47" t="n">
        <v>17.8149990844727</v>
      </c>
      <c r="G254" s="47" t="n">
        <v>18.4149990844727</v>
      </c>
      <c r="H254" s="47" t="n">
        <v>19.0149990844727</v>
      </c>
      <c r="I254" s="9"/>
    </row>
    <row r="255" customFormat="false" ht="12.75" hidden="false" customHeight="false" outlineLevel="0" collapsed="false">
      <c r="A255" s="44" t="n">
        <v>43191</v>
      </c>
      <c r="B255" s="45" t="n">
        <v>30.2750007629395</v>
      </c>
      <c r="C255" s="46" t="n">
        <v>31.3250007629395</v>
      </c>
      <c r="D255" s="45" t="n">
        <v>32.8750007629395</v>
      </c>
      <c r="E255" s="58"/>
      <c r="F255" s="47" t="n">
        <v>18.1399990844727</v>
      </c>
      <c r="G255" s="47" t="n">
        <v>18.6649990844727</v>
      </c>
      <c r="H255" s="47" t="n">
        <v>19.1899990844727</v>
      </c>
      <c r="I255" s="9"/>
    </row>
    <row r="256" customFormat="false" ht="12.75" hidden="false" customHeight="false" outlineLevel="0" collapsed="false">
      <c r="A256" s="44" t="n">
        <v>43221</v>
      </c>
      <c r="B256" s="45" t="n">
        <v>36.845</v>
      </c>
      <c r="C256" s="46" t="n">
        <v>39.325</v>
      </c>
      <c r="D256" s="45" t="n">
        <v>42.305</v>
      </c>
      <c r="E256" s="58"/>
      <c r="F256" s="47" t="n">
        <v>16.8749998474121</v>
      </c>
      <c r="G256" s="47" t="n">
        <v>18.1149998474121</v>
      </c>
      <c r="H256" s="47" t="n">
        <v>19.3549998474121</v>
      </c>
      <c r="I256" s="9"/>
    </row>
    <row r="257" customFormat="false" ht="12.75" hidden="false" customHeight="false" outlineLevel="0" collapsed="false">
      <c r="A257" s="44" t="n">
        <v>43252</v>
      </c>
      <c r="B257" s="45" t="n">
        <v>61.2399984741211</v>
      </c>
      <c r="C257" s="46" t="n">
        <v>68.3499984741211</v>
      </c>
      <c r="D257" s="45" t="n">
        <v>75.9599984741211</v>
      </c>
      <c r="E257" s="58"/>
      <c r="F257" s="47" t="n">
        <v>14.6200012207031</v>
      </c>
      <c r="G257" s="47" t="n">
        <v>18.1750012207031</v>
      </c>
      <c r="H257" s="47" t="n">
        <v>21.7300012207031</v>
      </c>
      <c r="I257" s="9"/>
    </row>
    <row r="258" customFormat="false" ht="12.75" hidden="false" customHeight="false" outlineLevel="0" collapsed="false">
      <c r="A258" s="44" t="n">
        <v>43282</v>
      </c>
      <c r="B258" s="45" t="n">
        <v>119.949996948242</v>
      </c>
      <c r="C258" s="46" t="n">
        <v>124.949996948242</v>
      </c>
      <c r="D258" s="45" t="n">
        <v>130.449996948242</v>
      </c>
      <c r="E258" s="58"/>
      <c r="F258" s="47" t="n">
        <v>15.3649998474121</v>
      </c>
      <c r="G258" s="47" t="n">
        <v>17.8649998474121</v>
      </c>
      <c r="H258" s="47" t="n">
        <v>20.3649998474121</v>
      </c>
      <c r="I258" s="9"/>
    </row>
    <row r="259" customFormat="false" ht="12.75" hidden="false" customHeight="false" outlineLevel="0" collapsed="false">
      <c r="A259" s="44" t="n">
        <v>43313</v>
      </c>
      <c r="B259" s="45" t="n">
        <v>106.949996948242</v>
      </c>
      <c r="C259" s="46" t="n">
        <v>111.949996948242</v>
      </c>
      <c r="D259" s="45" t="n">
        <v>117.449996948242</v>
      </c>
      <c r="E259" s="58"/>
      <c r="F259" s="47" t="n">
        <v>15.4149990844727</v>
      </c>
      <c r="G259" s="47" t="n">
        <v>17.9149990844727</v>
      </c>
      <c r="H259" s="47" t="n">
        <v>20.4149990844727</v>
      </c>
      <c r="I259" s="9"/>
    </row>
  </sheetData>
  <mergeCells count="1">
    <mergeCell ref="AP6:BC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E238"/>
  <sheetViews>
    <sheetView showFormulas="false" showGridLines="true" showRowColHeaders="true" showZeros="true" rightToLeft="false" tabSelected="false" showOutlineSymbols="true" defaultGridColor="true" view="normal" topLeftCell="S1" colorId="64" zoomScale="100" zoomScaleNormal="100" zoomScalePageLayoutView="100" workbookViewId="0">
      <selection pane="topLeft" activeCell="C4" activeCellId="0" sqref="C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4" width="2.42"/>
    <col collapsed="false" customWidth="true" hidden="false" outlineLevel="0" max="2" min="2" style="204" width="11.7"/>
    <col collapsed="false" customWidth="true" hidden="false" outlineLevel="0" max="5" min="3" style="180" width="11.7"/>
    <col collapsed="false" customWidth="true" hidden="false" outlineLevel="0" max="6" min="6" style="243" width="0.85"/>
    <col collapsed="false" customWidth="true" hidden="false" outlineLevel="0" max="7" min="7" style="204" width="11.7"/>
    <col collapsed="false" customWidth="true" hidden="false" outlineLevel="0" max="9" min="8" style="180" width="11.7"/>
    <col collapsed="false" customWidth="true" hidden="false" outlineLevel="0" max="10" min="10" style="204" width="11.7"/>
    <col collapsed="false" customWidth="true" hidden="false" outlineLevel="0" max="11" min="11" style="243" width="0.85"/>
    <col collapsed="false" customWidth="true" hidden="false" outlineLevel="0" max="12" min="12" style="204" width="11.7"/>
    <col collapsed="false" customWidth="false" hidden="false" outlineLevel="0" max="14" min="13" style="180" width="9.14"/>
    <col collapsed="false" customWidth="true" hidden="false" outlineLevel="0" max="15" min="15" style="180" width="1.7"/>
    <col collapsed="false" customWidth="false" hidden="false" outlineLevel="0" max="17" min="16" style="180" width="9.14"/>
    <col collapsed="false" customWidth="true" hidden="false" outlineLevel="0" max="18" min="18" style="204" width="1.7"/>
    <col collapsed="false" customWidth="true" hidden="false" outlineLevel="0" max="19" min="19" style="204" width="11.85"/>
    <col collapsed="false" customWidth="false" hidden="false" outlineLevel="0" max="20" min="20" style="204" width="9.14"/>
    <col collapsed="false" customWidth="true" hidden="false" outlineLevel="0" max="21" min="21" style="204" width="11.28"/>
    <col collapsed="false" customWidth="true" hidden="false" outlineLevel="0" max="22" min="22" style="204" width="1.7"/>
    <col collapsed="false" customWidth="true" hidden="false" outlineLevel="0" max="23" min="23" style="204" width="14.85"/>
    <col collapsed="false" customWidth="false" hidden="false" outlineLevel="0" max="24" min="24" style="204" width="9.14"/>
    <col collapsed="false" customWidth="true" hidden="false" outlineLevel="0" max="26" min="25" style="204" width="11.42"/>
    <col collapsed="false" customWidth="true" hidden="false" outlineLevel="0" max="27" min="27" style="204" width="9.41"/>
    <col collapsed="false" customWidth="false" hidden="false" outlineLevel="0" max="257" min="28" style="204" width="9.14"/>
  </cols>
  <sheetData>
    <row r="1" customFormat="false" ht="12.75" hidden="false" customHeight="false" outlineLevel="0" collapsed="false">
      <c r="L1" s="328" t="n">
        <v>0</v>
      </c>
      <c r="S1" s="329" t="n">
        <f aca="false">SUM(S4:S238)/235</f>
        <v>0.25531914893617</v>
      </c>
      <c r="W1" s="330" t="n">
        <f aca="false">SUM(W4:W238)</f>
        <v>68892941.9518758</v>
      </c>
      <c r="Y1" s="213"/>
      <c r="Z1" s="214"/>
      <c r="AA1" s="214"/>
      <c r="AB1" s="214"/>
      <c r="AC1" s="214"/>
      <c r="AD1" s="214"/>
      <c r="AE1" s="217"/>
    </row>
    <row r="2" customFormat="false" ht="12.75" hidden="false" customHeight="false" outlineLevel="0" collapsed="false">
      <c r="C2" s="218" t="s">
        <v>91</v>
      </c>
      <c r="D2" s="218"/>
      <c r="E2" s="218"/>
      <c r="H2" s="180" t="s">
        <v>157</v>
      </c>
      <c r="M2" s="218" t="s">
        <v>89</v>
      </c>
      <c r="N2" s="218" t="s">
        <v>90</v>
      </c>
      <c r="O2" s="218"/>
      <c r="P2" s="218" t="s">
        <v>91</v>
      </c>
      <c r="Q2" s="218" t="s">
        <v>92</v>
      </c>
      <c r="S2" s="219" t="s">
        <v>93</v>
      </c>
      <c r="W2" s="219" t="s">
        <v>158</v>
      </c>
      <c r="Y2" s="221"/>
      <c r="Z2" s="225"/>
      <c r="AA2" s="223" t="s">
        <v>95</v>
      </c>
      <c r="AB2" s="225"/>
      <c r="AC2" s="225"/>
      <c r="AD2" s="225"/>
      <c r="AE2" s="226"/>
    </row>
    <row r="3" customFormat="false" ht="13.5" hidden="false" customHeight="false" outlineLevel="0" collapsed="false">
      <c r="C3" s="230" t="s">
        <v>120</v>
      </c>
      <c r="D3" s="230" t="s">
        <v>121</v>
      </c>
      <c r="E3" s="230" t="s">
        <v>159</v>
      </c>
      <c r="F3" s="331"/>
      <c r="G3" s="332"/>
      <c r="H3" s="230" t="s">
        <v>120</v>
      </c>
      <c r="I3" s="230" t="s">
        <v>121</v>
      </c>
      <c r="J3" s="230" t="s">
        <v>159</v>
      </c>
      <c r="K3" s="331"/>
      <c r="L3" s="332"/>
      <c r="M3" s="230" t="s">
        <v>63</v>
      </c>
      <c r="N3" s="230" t="s">
        <v>71</v>
      </c>
      <c r="O3" s="218"/>
      <c r="P3" s="230" t="s">
        <v>63</v>
      </c>
      <c r="Q3" s="230" t="s">
        <v>100</v>
      </c>
      <c r="S3" s="231" t="s">
        <v>101</v>
      </c>
      <c r="T3" s="231" t="s">
        <v>102</v>
      </c>
      <c r="U3" s="231" t="s">
        <v>160</v>
      </c>
      <c r="V3" s="219"/>
      <c r="W3" s="231" t="s">
        <v>161</v>
      </c>
      <c r="Y3" s="221"/>
      <c r="Z3" s="232" t="s">
        <v>106</v>
      </c>
      <c r="AA3" s="235" t="n">
        <f aca="false">SUM(AA4:AA23)/20</f>
        <v>0.95</v>
      </c>
      <c r="AB3" s="225"/>
      <c r="AC3" s="236" t="s">
        <v>110</v>
      </c>
      <c r="AD3" s="225"/>
      <c r="AE3" s="226"/>
    </row>
    <row r="4" customFormat="false" ht="12.75" hidden="false" customHeight="false" outlineLevel="0" collapsed="false">
      <c r="B4" s="240" t="n">
        <v>36678</v>
      </c>
      <c r="C4" s="218" t="n">
        <f aca="false">VLOOKUP(B4,'Company Gas Prices'!$B$25:$C$259,2)</f>
        <v>4.23229167</v>
      </c>
      <c r="D4" s="180" t="n">
        <f aca="false">VLOOKUP(B4,'Fuel Curve'!$B$7:$F$268,5)</f>
        <v>5.45706896551724</v>
      </c>
      <c r="E4" s="180" t="n">
        <f aca="false">D4-C4</f>
        <v>1.22477729551724</v>
      </c>
      <c r="G4" s="240" t="n">
        <v>36678</v>
      </c>
      <c r="H4" s="180" t="n">
        <f aca="false">VLOOKUP(G4,'Company Power Prices'!$B$25:$C$259,2)</f>
        <v>119.6982624</v>
      </c>
      <c r="I4" s="180" t="n">
        <f aca="false">VLOOKUP(G4,'Super Peak Curve Simulation'!$B$4:$C$225,2)</f>
        <v>71.6629384912511</v>
      </c>
      <c r="J4" s="259" t="n">
        <f aca="false">I4-H4</f>
        <v>-48.0353239087489</v>
      </c>
      <c r="L4" s="240" t="n">
        <v>36678</v>
      </c>
      <c r="M4" s="180" t="n">
        <f aca="false">IF($L$1=1,VLOOKUP(L4,'Super Peak Curve Simulation'!$B$7:$N$225,12),VLOOKUP(L4,'PJM Curve Simulation'!$B$9:$J$246,9))</f>
        <v>58.0750007629395</v>
      </c>
      <c r="N4" s="180" t="n">
        <f aca="false">P4+Q4</f>
        <v>54.300083790315</v>
      </c>
      <c r="P4" s="180" t="n">
        <f aca="false">IF($L$1=1,VLOOKUP(L4,'Fuel Curve'!$B$7:$H$246,7),VLOOKUP(L4,'Revenues &amp; Expenses'!$K$9:$S$246,9))</f>
        <v>52.2732636206897</v>
      </c>
      <c r="Q4" s="180" t="n">
        <f aca="false">'Revenues &amp; Expenses'!$AM$5*1000*'Revenues &amp; Expenses'!O12</f>
        <v>2.02682016962532</v>
      </c>
      <c r="S4" s="204" t="n">
        <f aca="false">IF(M4&gt;N4,1,0)</f>
        <v>1</v>
      </c>
      <c r="T4" s="204" t="n">
        <f aca="false">'Revenues &amp; Expenses'!$S$3</f>
        <v>310.66</v>
      </c>
      <c r="U4" s="212" t="n">
        <f aca="false">T4*'Revenues &amp; Expenses'!F12*4</f>
        <v>27338.08</v>
      </c>
      <c r="W4" s="212" t="n">
        <f aca="false">IF(S4&gt;0,(M4-N4)*U4,0)</f>
        <v>103198.982190966</v>
      </c>
      <c r="Y4" s="241" t="n">
        <v>36891</v>
      </c>
      <c r="Z4" s="242" t="str">
        <f aca="false">HLOOKUP(Y4,'Financial Statements'!$C$31:$V$43,13)</f>
        <v>n/a</v>
      </c>
      <c r="AA4" s="225" t="n">
        <f aca="false">IF(Z4&lt;1,1,0)</f>
        <v>0</v>
      </c>
      <c r="AB4" s="225"/>
      <c r="AC4" s="223" t="s">
        <v>114</v>
      </c>
      <c r="AD4" s="225" t="n">
        <f aca="false">IF(SUM(AA4:AA8)&gt;0,1,0)</f>
        <v>1</v>
      </c>
      <c r="AE4" s="226"/>
    </row>
    <row r="5" customFormat="false" ht="12.75" hidden="false" customHeight="false" outlineLevel="0" collapsed="false">
      <c r="B5" s="240" t="n">
        <v>36708</v>
      </c>
      <c r="C5" s="218" t="n">
        <f aca="false">VLOOKUP(B5,'Company Gas Prices'!$B$25:$C$259,2)</f>
        <v>4.190625</v>
      </c>
      <c r="D5" s="180" t="n">
        <f aca="false">VLOOKUP(B5,'Fuel Curve'!$B$7:$F$268,5)</f>
        <v>5.38465517241379</v>
      </c>
      <c r="E5" s="180" t="n">
        <f aca="false">D5-C5</f>
        <v>1.19403017241379</v>
      </c>
      <c r="G5" s="240" t="n">
        <v>36708</v>
      </c>
      <c r="H5" s="180" t="n">
        <f aca="false">VLOOKUP(G5,'Company Power Prices'!$B$25:$C$259,2)</f>
        <v>200.7496049</v>
      </c>
      <c r="I5" s="180" t="n">
        <f aca="false">VLOOKUP(G5,'Super Peak Curve Simulation'!$B$4:$C$225,2)</f>
        <v>136.230572966092</v>
      </c>
      <c r="J5" s="259" t="n">
        <f aca="false">I5-H5</f>
        <v>-64.5190319339075</v>
      </c>
      <c r="L5" s="240" t="n">
        <v>36708</v>
      </c>
      <c r="M5" s="180" t="n">
        <f aca="false">IF($L$1=1,VLOOKUP(L5,'Super Peak Curve Simulation'!$B$7:$N$225,12),VLOOKUP(L5,'PJM Curve Simulation'!$B$9:$J$246,9))</f>
        <v>103.75</v>
      </c>
      <c r="N5" s="180" t="n">
        <f aca="false">P5+Q5</f>
        <v>53.6109369320068</v>
      </c>
      <c r="P5" s="180" t="n">
        <f aca="false">IF($L$1=1,VLOOKUP(L5,'Fuel Curve'!$B$7:$H$246,7),VLOOKUP(L5,'Revenues &amp; Expenses'!$K$9:$S$246,9))</f>
        <v>51.5796118965517</v>
      </c>
      <c r="Q5" s="180" t="n">
        <f aca="false">'Revenues &amp; Expenses'!$AM$5*1000*'Revenues &amp; Expenses'!O13</f>
        <v>2.03132503545508</v>
      </c>
      <c r="S5" s="204" t="n">
        <f aca="false">IF(M5&gt;N5,1,0)</f>
        <v>1</v>
      </c>
      <c r="T5" s="204" t="n">
        <f aca="false">'Revenues &amp; Expenses'!$S$3</f>
        <v>310.66</v>
      </c>
      <c r="U5" s="212" t="n">
        <f aca="false">T5*'Revenues &amp; Expenses'!F13*4</f>
        <v>26095.44</v>
      </c>
      <c r="W5" s="212" t="n">
        <f aca="false">IF(S5&gt;0,(M5-N5)*U5,0)</f>
        <v>1308400.91194703</v>
      </c>
      <c r="Y5" s="241" t="n">
        <f aca="false">Y4+365.25</f>
        <v>37256.25</v>
      </c>
      <c r="Z5" s="242" t="n">
        <f aca="false">HLOOKUP(Y5,'Financial Statements'!$C$31:$V$43,13)</f>
        <v>0.387811425248974</v>
      </c>
      <c r="AA5" s="225" t="n">
        <f aca="false">IF(Z5&lt;1,1,0)</f>
        <v>1</v>
      </c>
      <c r="AB5" s="225"/>
      <c r="AC5" s="223" t="s">
        <v>115</v>
      </c>
      <c r="AD5" s="225" t="n">
        <f aca="false">IF(SUM(AA9:AA13)&gt;0,1,0)</f>
        <v>1</v>
      </c>
      <c r="AE5" s="226"/>
    </row>
    <row r="6" customFormat="false" ht="12.75" hidden="false" customHeight="false" outlineLevel="0" collapsed="false">
      <c r="B6" s="240" t="n">
        <v>36739</v>
      </c>
      <c r="C6" s="218" t="n">
        <f aca="false">VLOOKUP(B6,'Company Gas Prices'!$B$25:$C$259,2)</f>
        <v>4.190625</v>
      </c>
      <c r="D6" s="180" t="n">
        <f aca="false">VLOOKUP(B6,'Fuel Curve'!$B$7:$F$268,5)</f>
        <v>5.39189655172414</v>
      </c>
      <c r="E6" s="180" t="n">
        <f aca="false">D6-C6</f>
        <v>1.20127155172414</v>
      </c>
      <c r="G6" s="240" t="n">
        <v>36739</v>
      </c>
      <c r="H6" s="180" t="n">
        <f aca="false">VLOOKUP(G6,'Company Power Prices'!$B$25:$C$259,2)</f>
        <v>200.7496049</v>
      </c>
      <c r="I6" s="180" t="n">
        <f aca="false">VLOOKUP(G6,'Super Peak Curve Simulation'!$B$4:$C$225,2)</f>
        <v>111.381095115464</v>
      </c>
      <c r="J6" s="259" t="n">
        <f aca="false">I6-H6</f>
        <v>-89.3685097845359</v>
      </c>
      <c r="L6" s="240" t="n">
        <v>36739</v>
      </c>
      <c r="M6" s="180" t="n">
        <f aca="false">IF($L$1=1,VLOOKUP(L6,'Super Peak Curve Simulation'!$B$7:$N$225,12),VLOOKUP(L6,'PJM Curve Simulation'!$B$9:$J$246,9))</f>
        <v>90.75</v>
      </c>
      <c r="N6" s="180" t="n">
        <f aca="false">P6+Q6</f>
        <v>53.6848169828881</v>
      </c>
      <c r="P6" s="180" t="n">
        <f aca="false">IF($L$1=1,VLOOKUP(L6,'Fuel Curve'!$B$7:$H$246,7),VLOOKUP(L6,'Revenues &amp; Expenses'!$K$9:$S$246,9))</f>
        <v>51.6489770689655</v>
      </c>
      <c r="Q6" s="180" t="n">
        <f aca="false">'Revenues &amp; Expenses'!$AM$5*1000*'Revenues &amp; Expenses'!O14</f>
        <v>2.03583991392259</v>
      </c>
      <c r="S6" s="204" t="n">
        <f aca="false">IF(M6&gt;N6,1,0)</f>
        <v>1</v>
      </c>
      <c r="T6" s="204" t="n">
        <f aca="false">'Revenues &amp; Expenses'!$S$3</f>
        <v>310.66</v>
      </c>
      <c r="U6" s="212" t="n">
        <f aca="false">T6*'Revenues &amp; Expenses'!F14*4</f>
        <v>28580.72</v>
      </c>
      <c r="W6" s="212" t="n">
        <f aca="false">IF(S6&gt;0,(M6-N6)*U6,0)</f>
        <v>1059349.61756083</v>
      </c>
      <c r="Y6" s="241" t="n">
        <f aca="false">Y5+365.25</f>
        <v>37621.5</v>
      </c>
      <c r="Z6" s="242" t="n">
        <f aca="false">HLOOKUP(Y6,'Financial Statements'!$C$31:$V$43,13)</f>
        <v>0.38329541065498</v>
      </c>
      <c r="AA6" s="225" t="n">
        <f aca="false">IF(Z6&lt;1,1,0)</f>
        <v>1</v>
      </c>
      <c r="AB6" s="225"/>
      <c r="AC6" s="223" t="s">
        <v>116</v>
      </c>
      <c r="AD6" s="225" t="n">
        <f aca="false">IF(SUM(AA14:AA18)&gt;0,1,0)</f>
        <v>1</v>
      </c>
      <c r="AE6" s="226"/>
    </row>
    <row r="7" customFormat="false" ht="12.75" hidden="false" customHeight="false" outlineLevel="0" collapsed="false">
      <c r="B7" s="240" t="n">
        <v>36770</v>
      </c>
      <c r="C7" s="218" t="n">
        <f aca="false">VLOOKUP(B7,'Company Gas Prices'!$B$25:$C$259,2)</f>
        <v>4.24166667</v>
      </c>
      <c r="D7" s="180" t="n">
        <f aca="false">VLOOKUP(B7,'Fuel Curve'!$B$7:$F$268,5)</f>
        <v>5.40275862068966</v>
      </c>
      <c r="E7" s="180" t="n">
        <f aca="false">D7-C7</f>
        <v>1.16109195068966</v>
      </c>
      <c r="G7" s="240" t="n">
        <v>36770</v>
      </c>
      <c r="H7" s="180" t="n">
        <f aca="false">VLOOKUP(G7,'Company Power Prices'!$B$25:$C$259,2)</f>
        <v>65.47488546</v>
      </c>
      <c r="I7" s="180" t="n">
        <f aca="false">VLOOKUP(G7,'Super Peak Curve Simulation'!$B$4:$C$225,2)</f>
        <v>41.0628431302484</v>
      </c>
      <c r="J7" s="259" t="n">
        <f aca="false">I7-H7</f>
        <v>-24.4120423297516</v>
      </c>
      <c r="L7" s="240" t="n">
        <v>36770</v>
      </c>
      <c r="M7" s="180" t="n">
        <f aca="false">IF($L$1=1,VLOOKUP(L7,'Super Peak Curve Simulation'!$B$7:$N$225,12),VLOOKUP(L7,'PJM Curve Simulation'!$B$9:$J$246,9))</f>
        <v>35.5499992370606</v>
      </c>
      <c r="N7" s="180" t="n">
        <f aca="false">P7+Q7</f>
        <v>53.7933896548684</v>
      </c>
      <c r="P7" s="180" t="n">
        <f aca="false">IF($L$1=1,VLOOKUP(L7,'Fuel Curve'!$B$7:$H$246,7),VLOOKUP(L7,'Revenues &amp; Expenses'!$K$9:$S$246,9))</f>
        <v>51.7530248275862</v>
      </c>
      <c r="Q7" s="180" t="n">
        <f aca="false">'Revenues &amp; Expenses'!$AM$5*1000*'Revenues &amp; Expenses'!O15</f>
        <v>2.04036482728222</v>
      </c>
      <c r="S7" s="204" t="n">
        <f aca="false">IF(M7&gt;N7,1,0)</f>
        <v>0</v>
      </c>
      <c r="T7" s="204" t="n">
        <f aca="false">'Revenues &amp; Expenses'!$S$3</f>
        <v>310.66</v>
      </c>
      <c r="U7" s="212" t="n">
        <f aca="false">T7*'Revenues &amp; Expenses'!F15*4</f>
        <v>26095.44</v>
      </c>
      <c r="W7" s="212" t="n">
        <f aca="false">IF(S7&gt;0,(M7-N7)*U7,0)</f>
        <v>0</v>
      </c>
      <c r="Y7" s="241" t="n">
        <f aca="false">Y6+365.25</f>
        <v>37986.75</v>
      </c>
      <c r="Z7" s="242" t="n">
        <f aca="false">HLOOKUP(Y7,'Financial Statements'!$C$31:$V$43,13)</f>
        <v>0.402813530526963</v>
      </c>
      <c r="AA7" s="225" t="n">
        <f aca="false">IF(Z7&lt;1,1,0)</f>
        <v>1</v>
      </c>
      <c r="AB7" s="225"/>
      <c r="AC7" s="223" t="s">
        <v>117</v>
      </c>
      <c r="AD7" s="225" t="n">
        <f aca="false">IF(SUM(AA19:AA23)&gt;0,1,0)</f>
        <v>1</v>
      </c>
      <c r="AE7" s="226"/>
    </row>
    <row r="8" customFormat="false" ht="12.75" hidden="false" customHeight="false" outlineLevel="0" collapsed="false">
      <c r="B8" s="240" t="n">
        <v>36800</v>
      </c>
      <c r="C8" s="218" t="n">
        <f aca="false">VLOOKUP(B8,'Company Gas Prices'!$B$25:$C$259,2)</f>
        <v>4.196875</v>
      </c>
      <c r="D8" s="180" t="n">
        <f aca="false">VLOOKUP(B8,'Fuel Curve'!$B$7:$F$268,5)</f>
        <v>5.41724137931035</v>
      </c>
      <c r="E8" s="180" t="n">
        <f aca="false">D8-C8</f>
        <v>1.22036637931035</v>
      </c>
      <c r="G8" s="240" t="n">
        <v>36800</v>
      </c>
      <c r="H8" s="180" t="n">
        <f aca="false">VLOOKUP(G8,'Company Power Prices'!$B$25:$C$259,2)</f>
        <v>52.66540105</v>
      </c>
      <c r="I8" s="180" t="n">
        <f aca="false">VLOOKUP(G8,'Super Peak Curve Simulation'!$B$4:$C$225,2)</f>
        <v>29.896752146244</v>
      </c>
      <c r="J8" s="259" t="n">
        <f aca="false">I8-H8</f>
        <v>-22.768648903756</v>
      </c>
      <c r="L8" s="240" t="n">
        <v>36800</v>
      </c>
      <c r="M8" s="180" t="n">
        <f aca="false">IF($L$1=1,VLOOKUP(L8,'Super Peak Curve Simulation'!$B$7:$N$225,12),VLOOKUP(L8,'PJM Curve Simulation'!$B$9:$J$246,9))</f>
        <v>25.4500007629395</v>
      </c>
      <c r="N8" s="180" t="n">
        <f aca="false">P8+Q8</f>
        <v>53.9366549702516</v>
      </c>
      <c r="P8" s="180" t="n">
        <f aca="false">IF($L$1=1,VLOOKUP(L8,'Fuel Curve'!$B$7:$H$246,7),VLOOKUP(L8,'Revenues &amp; Expenses'!$K$9:$S$246,9))</f>
        <v>51.8917551724138</v>
      </c>
      <c r="Q8" s="180" t="n">
        <f aca="false">'Revenues &amp; Expenses'!$AM$5*1000*'Revenues &amp; Expenses'!O16</f>
        <v>2.04489979783778</v>
      </c>
      <c r="S8" s="204" t="n">
        <f aca="false">IF(M8&gt;N8,1,0)</f>
        <v>0</v>
      </c>
      <c r="T8" s="204" t="n">
        <f aca="false">'Revenues &amp; Expenses'!$S$3</f>
        <v>310.66</v>
      </c>
      <c r="U8" s="212" t="n">
        <f aca="false">T8*'Revenues &amp; Expenses'!F16*4</f>
        <v>27338.08</v>
      </c>
      <c r="W8" s="212" t="n">
        <f aca="false">IF(S8&gt;0,(M8-N8)*U8,0)</f>
        <v>0</v>
      </c>
      <c r="Y8" s="241" t="n">
        <f aca="false">Y7+365.25</f>
        <v>38352</v>
      </c>
      <c r="Z8" s="242" t="n">
        <f aca="false">HLOOKUP(Y8,'Financial Statements'!$C$31:$V$43,13)</f>
        <v>0.411148430129334</v>
      </c>
      <c r="AA8" s="225" t="n">
        <f aca="false">IF(Z8&lt;1,1,0)</f>
        <v>1</v>
      </c>
      <c r="AB8" s="225"/>
      <c r="AC8" s="225"/>
      <c r="AD8" s="225"/>
      <c r="AE8" s="226"/>
    </row>
    <row r="9" customFormat="false" ht="12.75" hidden="false" customHeight="false" outlineLevel="0" collapsed="false">
      <c r="B9" s="240" t="n">
        <v>36831</v>
      </c>
      <c r="C9" s="218" t="n">
        <f aca="false">VLOOKUP(B9,'Company Gas Prices'!$B$25:$C$259,2)</f>
        <v>4.196875</v>
      </c>
      <c r="D9" s="180" t="n">
        <f aca="false">VLOOKUP(B9,'Fuel Curve'!$B$7:$F$268,5)</f>
        <v>5.42810344827586</v>
      </c>
      <c r="E9" s="180" t="n">
        <f aca="false">D9-C9</f>
        <v>1.23122844827586</v>
      </c>
      <c r="G9" s="240" t="n">
        <v>36831</v>
      </c>
      <c r="H9" s="180" t="n">
        <f aca="false">VLOOKUP(G9,'Company Power Prices'!$B$25:$C$259,2)</f>
        <v>53.72853294</v>
      </c>
      <c r="I9" s="180" t="n">
        <f aca="false">VLOOKUP(G9,'Super Peak Curve Simulation'!$B$4:$C$225,2)</f>
        <v>29.9492482957363</v>
      </c>
      <c r="J9" s="259" t="n">
        <f aca="false">I9-H9</f>
        <v>-23.7792846442637</v>
      </c>
      <c r="L9" s="240" t="n">
        <v>36831</v>
      </c>
      <c r="M9" s="180" t="n">
        <f aca="false">IF($L$1=1,VLOOKUP(L9,'Super Peak Curve Simulation'!$B$7:$N$225,12),VLOOKUP(L9,'PJM Curve Simulation'!$B$9:$J$246,9))</f>
        <v>25.1499996185303</v>
      </c>
      <c r="N9" s="180" t="n">
        <f aca="false">P9+Q9</f>
        <v>54.0452477789772</v>
      </c>
      <c r="P9" s="180" t="n">
        <f aca="false">IF($L$1=1,VLOOKUP(L9,'Fuel Curve'!$B$7:$H$246,7),VLOOKUP(L9,'Revenues &amp; Expenses'!$K$9:$S$246,9))</f>
        <v>51.9958029310345</v>
      </c>
      <c r="Q9" s="180" t="n">
        <f aca="false">'Revenues &amp; Expenses'!$AM$5*1000*'Revenues &amp; Expenses'!O17</f>
        <v>2.04944484794268</v>
      </c>
      <c r="S9" s="204" t="n">
        <f aca="false">IF(M9&gt;N9,1,0)</f>
        <v>0</v>
      </c>
      <c r="T9" s="204" t="n">
        <f aca="false">'Revenues &amp; Expenses'!$S$3</f>
        <v>310.66</v>
      </c>
      <c r="U9" s="212" t="n">
        <f aca="false">T9*'Revenues &amp; Expenses'!F17*4</f>
        <v>27338.08</v>
      </c>
      <c r="W9" s="212" t="n">
        <f aca="false">IF(S9&gt;0,(M9-N9)*U9,0)</f>
        <v>0</v>
      </c>
      <c r="Y9" s="241" t="n">
        <f aca="false">Y8+365.25</f>
        <v>38717.25</v>
      </c>
      <c r="Z9" s="242" t="n">
        <f aca="false">HLOOKUP(Y9,'Financial Statements'!$C$31:$V$43,13)</f>
        <v>0.441094087116348</v>
      </c>
      <c r="AA9" s="225" t="n">
        <f aca="false">IF(Z9&lt;1,1,0)</f>
        <v>1</v>
      </c>
      <c r="AB9" s="225"/>
      <c r="AC9" s="225"/>
      <c r="AD9" s="225"/>
      <c r="AE9" s="226"/>
    </row>
    <row r="10" customFormat="false" ht="12.75" hidden="false" customHeight="false" outlineLevel="0" collapsed="false">
      <c r="B10" s="240" t="n">
        <v>36861</v>
      </c>
      <c r="C10" s="218" t="n">
        <f aca="false">VLOOKUP(B10,'Company Gas Prices'!$B$25:$C$259,2)</f>
        <v>4.196875</v>
      </c>
      <c r="D10" s="180" t="n">
        <f aca="false">VLOOKUP(B10,'Fuel Curve'!$B$7:$F$268,5)</f>
        <v>5.41</v>
      </c>
      <c r="E10" s="180" t="n">
        <f aca="false">D10-C10</f>
        <v>1.213125</v>
      </c>
      <c r="G10" s="240" t="n">
        <v>36861</v>
      </c>
      <c r="H10" s="180" t="n">
        <f aca="false">VLOOKUP(G10,'Company Power Prices'!$B$25:$C$259,2)</f>
        <v>53.72853294</v>
      </c>
      <c r="I10" s="180" t="n">
        <f aca="false">VLOOKUP(G10,'Super Peak Curve Simulation'!$B$4:$C$225,2)</f>
        <v>33.01326149681</v>
      </c>
      <c r="J10" s="259" t="n">
        <f aca="false">I10-H10</f>
        <v>-20.71527144319</v>
      </c>
      <c r="L10" s="240" t="n">
        <v>36861</v>
      </c>
      <c r="M10" s="180" t="n">
        <f aca="false">IF($L$1=1,VLOOKUP(L10,'Super Peak Curve Simulation'!$B$7:$N$225,12),VLOOKUP(L10,'PJM Curve Simulation'!$B$9:$J$246,9))</f>
        <v>27.375</v>
      </c>
      <c r="N10" s="180" t="n">
        <f aca="false">P10+Q10</f>
        <v>53.87639</v>
      </c>
      <c r="P10" s="180" t="n">
        <f aca="false">IF($L$1=1,VLOOKUP(L10,'Fuel Curve'!$B$7:$H$246,7),VLOOKUP(L10,'Revenues &amp; Expenses'!$K$9:$S$246,9))</f>
        <v>51.82239</v>
      </c>
      <c r="Q10" s="180" t="n">
        <f aca="false">'Revenues &amp; Expenses'!$AM$5*1000*'Revenues &amp; Expenses'!O18</f>
        <v>2.054</v>
      </c>
      <c r="S10" s="204" t="n">
        <f aca="false">IF(M10&gt;N10,1,0)</f>
        <v>0</v>
      </c>
      <c r="T10" s="204" t="n">
        <f aca="false">'Revenues &amp; Expenses'!$S$3</f>
        <v>310.66</v>
      </c>
      <c r="U10" s="212" t="n">
        <f aca="false">T10*'Revenues &amp; Expenses'!F18*4</f>
        <v>26095.44</v>
      </c>
      <c r="W10" s="212" t="n">
        <f aca="false">IF(S10&gt;0,(M10-N10)*U10,0)</f>
        <v>0</v>
      </c>
      <c r="Y10" s="241" t="n">
        <f aca="false">Y9+365.25</f>
        <v>39082.5</v>
      </c>
      <c r="Z10" s="242" t="n">
        <f aca="false">HLOOKUP(Y10,'Financial Statements'!$C$31:$V$43,13)</f>
        <v>0.475222906573077</v>
      </c>
      <c r="AA10" s="225" t="n">
        <f aca="false">IF(Z10&lt;1,1,0)</f>
        <v>1</v>
      </c>
      <c r="AB10" s="225"/>
      <c r="AC10" s="225"/>
      <c r="AD10" s="225"/>
      <c r="AE10" s="226"/>
    </row>
    <row r="11" customFormat="false" ht="12.75" hidden="false" customHeight="false" outlineLevel="0" collapsed="false">
      <c r="B11" s="240" t="n">
        <v>36892</v>
      </c>
      <c r="C11" s="218" t="n">
        <f aca="false">VLOOKUP(B11,'Company Gas Prices'!$B$25:$C$259,2)</f>
        <v>3.83541667</v>
      </c>
      <c r="D11" s="180" t="n">
        <f aca="false">VLOOKUP(B11,'Fuel Curve'!$B$7:$F$268,5)</f>
        <v>5.33758620689655</v>
      </c>
      <c r="E11" s="180" t="n">
        <f aca="false">D11-C11</f>
        <v>1.50216953689655</v>
      </c>
      <c r="G11" s="240" t="n">
        <v>36892</v>
      </c>
      <c r="H11" s="180" t="n">
        <f aca="false">VLOOKUP(G11,'Company Power Prices'!$B$25:$C$259,2)</f>
        <v>50.27617212</v>
      </c>
      <c r="I11" s="180" t="n">
        <f aca="false">VLOOKUP(G11,'Super Peak Curve Simulation'!$B$4:$C$225,2)</f>
        <v>43.1935183473711</v>
      </c>
      <c r="J11" s="259" t="n">
        <f aca="false">I11-H11</f>
        <v>-7.08265377262894</v>
      </c>
      <c r="L11" s="240" t="n">
        <v>36892</v>
      </c>
      <c r="M11" s="180" t="n">
        <f aca="false">IF($L$1=1,VLOOKUP(L11,'Super Peak Curve Simulation'!$B$7:$N$225,12),VLOOKUP(L11,'PJM Curve Simulation'!$B$9:$J$246,9))</f>
        <v>35.2249984741211</v>
      </c>
      <c r="N11" s="180" t="n">
        <f aca="false">P11+Q11</f>
        <v>53.1873035523247</v>
      </c>
      <c r="P11" s="180" t="n">
        <f aca="false">IF($L$1=1,VLOOKUP(L11,'Fuel Curve'!$B$7:$H$246,7),VLOOKUP(L11,'Revenues &amp; Expenses'!$K$9:$S$246,9))</f>
        <v>51.1287382758621</v>
      </c>
      <c r="Q11" s="180" t="n">
        <f aca="false">'Revenues &amp; Expenses'!$AM$5*1000*'Revenues &amp; Expenses'!O19</f>
        <v>2.05856527646261</v>
      </c>
      <c r="S11" s="204" t="n">
        <f aca="false">IF(M11&gt;N11,1,0)</f>
        <v>0</v>
      </c>
      <c r="T11" s="204" t="n">
        <f aca="false">'Revenues &amp; Expenses'!$S$3</f>
        <v>310.66</v>
      </c>
      <c r="U11" s="212" t="n">
        <f aca="false">T11*'Revenues &amp; Expenses'!F19*4</f>
        <v>28580.72</v>
      </c>
      <c r="W11" s="212" t="n">
        <f aca="false">IF(S11&gt;0,(M11-N11)*U11,0)</f>
        <v>0</v>
      </c>
      <c r="Y11" s="241" t="n">
        <f aca="false">Y10+365.25</f>
        <v>39447.75</v>
      </c>
      <c r="Z11" s="242" t="n">
        <f aca="false">HLOOKUP(Y11,'Financial Statements'!$C$31:$V$43,13)</f>
        <v>0.494127619948434</v>
      </c>
      <c r="AA11" s="225" t="n">
        <f aca="false">IF(Z11&lt;1,1,0)</f>
        <v>1</v>
      </c>
      <c r="AB11" s="225"/>
      <c r="AC11" s="225"/>
      <c r="AD11" s="225"/>
      <c r="AE11" s="226"/>
    </row>
    <row r="12" customFormat="false" ht="12.75" hidden="false" customHeight="false" outlineLevel="0" collapsed="false">
      <c r="B12" s="240" t="n">
        <v>36923</v>
      </c>
      <c r="C12" s="218" t="n">
        <f aca="false">VLOOKUP(B12,'Company Gas Prices'!$B$25:$C$259,2)</f>
        <v>3.83541667</v>
      </c>
      <c r="D12" s="180" t="n">
        <f aca="false">VLOOKUP(B12,'Fuel Curve'!$B$7:$F$268,5)</f>
        <v>5.18189655172414</v>
      </c>
      <c r="E12" s="180" t="n">
        <f aca="false">D12-C12</f>
        <v>1.34647988172414</v>
      </c>
      <c r="G12" s="240" t="n">
        <v>36923</v>
      </c>
      <c r="H12" s="180" t="n">
        <f aca="false">VLOOKUP(G12,'Company Power Prices'!$B$25:$C$259,2)</f>
        <v>41.81734635</v>
      </c>
      <c r="I12" s="180" t="n">
        <f aca="false">VLOOKUP(G12,'Super Peak Curve Simulation'!$B$4:$C$225,2)</f>
        <v>43.1935183473711</v>
      </c>
      <c r="J12" s="259" t="n">
        <f aca="false">I12-H12</f>
        <v>1.37617199737105</v>
      </c>
      <c r="L12" s="240" t="n">
        <v>36923</v>
      </c>
      <c r="M12" s="180" t="n">
        <f aca="false">IF($L$1=1,VLOOKUP(L12,'Super Peak Curve Simulation'!$B$7:$N$225,12),VLOOKUP(L12,'PJM Curve Simulation'!$B$9:$J$246,9))</f>
        <v>35.2249984741211</v>
      </c>
      <c r="N12" s="180" t="n">
        <f aca="false">P12+Q12</f>
        <v>51.7005277687988</v>
      </c>
      <c r="P12" s="180" t="n">
        <f aca="false">IF($L$1=1,VLOOKUP(L12,'Fuel Curve'!$B$7:$H$246,7),VLOOKUP(L12,'Revenues &amp; Expenses'!$K$9:$S$246,9))</f>
        <v>49.6373870689655</v>
      </c>
      <c r="Q12" s="180" t="n">
        <f aca="false">'Revenues &amp; Expenses'!$AM$5*1000*'Revenues &amp; Expenses'!O20</f>
        <v>2.06314069983329</v>
      </c>
      <c r="S12" s="204" t="n">
        <f aca="false">IF(M12&gt;N12,1,0)</f>
        <v>0</v>
      </c>
      <c r="T12" s="204" t="n">
        <f aca="false">'Revenues &amp; Expenses'!$S$3</f>
        <v>310.66</v>
      </c>
      <c r="U12" s="212" t="n">
        <f aca="false">T12*'Revenues &amp; Expenses'!F20*4</f>
        <v>24852.8</v>
      </c>
      <c r="W12" s="212" t="n">
        <f aca="false">IF(S12&gt;0,(M12-N12)*U12,0)</f>
        <v>0</v>
      </c>
      <c r="Y12" s="241" t="n">
        <f aca="false">Y11+365.25</f>
        <v>39813</v>
      </c>
      <c r="Z12" s="242" t="n">
        <f aca="false">HLOOKUP(Y12,'Financial Statements'!$C$31:$V$43,13)</f>
        <v>0.521456068918546</v>
      </c>
      <c r="AA12" s="225" t="n">
        <f aca="false">IF(Z12&lt;1,1,0)</f>
        <v>1</v>
      </c>
      <c r="AB12" s="225"/>
      <c r="AC12" s="225"/>
      <c r="AD12" s="225"/>
      <c r="AE12" s="226"/>
    </row>
    <row r="13" customFormat="false" ht="12.75" hidden="false" customHeight="false" outlineLevel="0" collapsed="false">
      <c r="B13" s="240" t="n">
        <v>36951</v>
      </c>
      <c r="C13" s="218" t="n">
        <f aca="false">VLOOKUP(B13,'Company Gas Prices'!$B$25:$C$259,2)</f>
        <v>3.83541667</v>
      </c>
      <c r="D13" s="180" t="n">
        <f aca="false">VLOOKUP(B13,'Fuel Curve'!$B$7:$F$268,5)</f>
        <v>5.02620689655173</v>
      </c>
      <c r="E13" s="180" t="n">
        <f aca="false">D13-C13</f>
        <v>1.19079022655173</v>
      </c>
      <c r="G13" s="240" t="n">
        <v>36951</v>
      </c>
      <c r="H13" s="180" t="n">
        <f aca="false">VLOOKUP(G13,'Company Power Prices'!$B$25:$C$259,2)</f>
        <v>41.81734635</v>
      </c>
      <c r="I13" s="180" t="n">
        <f aca="false">VLOOKUP(G13,'Super Peak Curve Simulation'!$B$4:$C$225,2)</f>
        <v>31.104955302906</v>
      </c>
      <c r="J13" s="259" t="n">
        <f aca="false">I13-H13</f>
        <v>-10.712391047094</v>
      </c>
      <c r="L13" s="240" t="n">
        <v>36951</v>
      </c>
      <c r="M13" s="180" t="n">
        <f aca="false">IF($L$1=1,VLOOKUP(L13,'Super Peak Curve Simulation'!$B$7:$N$225,12),VLOOKUP(L13,'PJM Curve Simulation'!$B$9:$J$246,9))</f>
        <v>25.5750007629395</v>
      </c>
      <c r="N13" s="180" t="n">
        <f aca="false">P13+Q13</f>
        <v>50.2137621547338</v>
      </c>
      <c r="P13" s="180" t="n">
        <f aca="false">IF($L$1=1,VLOOKUP(L13,'Fuel Curve'!$B$7:$H$246,7),VLOOKUP(L13,'Revenues &amp; Expenses'!$K$9:$S$246,9))</f>
        <v>48.146035862069</v>
      </c>
      <c r="Q13" s="180" t="n">
        <f aca="false">'Revenues &amp; Expenses'!$AM$5*1000*'Revenues &amp; Expenses'!O21</f>
        <v>2.06772629266484</v>
      </c>
      <c r="S13" s="204" t="n">
        <f aca="false">IF(M13&gt;N13,1,0)</f>
        <v>0</v>
      </c>
      <c r="T13" s="204" t="n">
        <f aca="false">'Revenues &amp; Expenses'!$S$3</f>
        <v>310.66</v>
      </c>
      <c r="U13" s="212" t="n">
        <f aca="false">T13*'Revenues &amp; Expenses'!F21*4</f>
        <v>27338.08</v>
      </c>
      <c r="W13" s="212" t="n">
        <f aca="false">IF(S13&gt;0,(M13-N13)*U13,0)</f>
        <v>0</v>
      </c>
      <c r="Y13" s="241" t="n">
        <f aca="false">Y12+365.25</f>
        <v>40178.25</v>
      </c>
      <c r="Z13" s="242" t="n">
        <f aca="false">HLOOKUP(Y13,'Financial Statements'!$C$31:$V$43,13)</f>
        <v>0.56955453062379</v>
      </c>
      <c r="AA13" s="225" t="n">
        <f aca="false">IF(Z13&lt;1,1,0)</f>
        <v>1</v>
      </c>
      <c r="AB13" s="225"/>
      <c r="AC13" s="225"/>
      <c r="AD13" s="225"/>
      <c r="AE13" s="226"/>
    </row>
    <row r="14" customFormat="false" ht="12.75" hidden="false" customHeight="false" outlineLevel="0" collapsed="false">
      <c r="B14" s="240" t="n">
        <v>36982</v>
      </c>
      <c r="C14" s="218" t="n">
        <f aca="false">VLOOKUP(B14,'Company Gas Prices'!$B$25:$C$259,2)</f>
        <v>3.98020833</v>
      </c>
      <c r="D14" s="180" t="n">
        <f aca="false">VLOOKUP(B14,'Fuel Curve'!$B$7:$F$268,5)</f>
        <v>4.87775862068966</v>
      </c>
      <c r="E14" s="180" t="n">
        <f aca="false">D14-C14</f>
        <v>0.897550290689655</v>
      </c>
      <c r="G14" s="240" t="n">
        <v>36982</v>
      </c>
      <c r="H14" s="180" t="n">
        <f aca="false">VLOOKUP(G14,'Company Power Prices'!$B$25:$C$259,2)</f>
        <v>45.64480277</v>
      </c>
      <c r="I14" s="180" t="n">
        <f aca="false">VLOOKUP(G14,'Super Peak Curve Simulation'!$B$4:$C$225,2)</f>
        <v>29.0113164423494</v>
      </c>
      <c r="J14" s="259" t="n">
        <f aca="false">I14-H14</f>
        <v>-16.6334863276506</v>
      </c>
      <c r="L14" s="240" t="n">
        <v>36982</v>
      </c>
      <c r="M14" s="180" t="n">
        <f aca="false">IF($L$1=1,VLOOKUP(L14,'Super Peak Curve Simulation'!$B$7:$N$225,12),VLOOKUP(L14,'PJM Curve Simulation'!$B$9:$J$246,9))</f>
        <v>25.5750007629395</v>
      </c>
      <c r="N14" s="180" t="n">
        <f aca="false">P14+Q14</f>
        <v>48.7963719051464</v>
      </c>
      <c r="P14" s="180" t="n">
        <f aca="false">IF($L$1=1,VLOOKUP(L14,'Fuel Curve'!$B$7:$H$246,7),VLOOKUP(L14,'Revenues &amp; Expenses'!$K$9:$S$246,9))</f>
        <v>46.7240498275862</v>
      </c>
      <c r="Q14" s="180" t="n">
        <f aca="false">'Revenues &amp; Expenses'!$AM$5*1000*'Revenues &amp; Expenses'!O22</f>
        <v>2.07232207756018</v>
      </c>
      <c r="S14" s="204" t="n">
        <f aca="false">IF(M14&gt;N14,1,0)</f>
        <v>0</v>
      </c>
      <c r="T14" s="204" t="n">
        <f aca="false">'Revenues &amp; Expenses'!$S$3</f>
        <v>310.66</v>
      </c>
      <c r="U14" s="212" t="n">
        <f aca="false">T14*'Revenues &amp; Expenses'!F22*4</f>
        <v>26095.44</v>
      </c>
      <c r="W14" s="212" t="n">
        <f aca="false">IF(S14&gt;0,(M14-N14)*U14,0)</f>
        <v>0</v>
      </c>
      <c r="Y14" s="241" t="n">
        <f aca="false">Y13+365.25</f>
        <v>40543.5</v>
      </c>
      <c r="Z14" s="242" t="n">
        <f aca="false">HLOOKUP(Y14,'Financial Statements'!$C$31:$V$43,13)</f>
        <v>0.605076786301983</v>
      </c>
      <c r="AA14" s="225" t="n">
        <f aca="false">IF(Z14&lt;1,1,0)</f>
        <v>1</v>
      </c>
      <c r="AB14" s="225"/>
      <c r="AC14" s="225"/>
      <c r="AD14" s="225"/>
      <c r="AE14" s="226"/>
    </row>
    <row r="15" customFormat="false" ht="12.75" hidden="false" customHeight="false" outlineLevel="0" collapsed="false">
      <c r="B15" s="240" t="n">
        <v>37012</v>
      </c>
      <c r="C15" s="218" t="n">
        <f aca="false">VLOOKUP(B15,'Company Gas Prices'!$B$25:$C$259,2)</f>
        <v>3.81770833</v>
      </c>
      <c r="D15" s="180" t="n">
        <f aca="false">VLOOKUP(B15,'Fuel Curve'!$B$7:$F$268,5)</f>
        <v>4.76551724137931</v>
      </c>
      <c r="E15" s="180" t="n">
        <f aca="false">D15-C15</f>
        <v>0.94780891137931</v>
      </c>
      <c r="G15" s="240" t="n">
        <v>37012</v>
      </c>
      <c r="H15" s="180" t="n">
        <f aca="false">VLOOKUP(G15,'Company Power Prices'!$B$25:$C$259,2)</f>
        <v>58.68908346</v>
      </c>
      <c r="I15" s="180" t="n">
        <f aca="false">VLOOKUP(G15,'Super Peak Curve Simulation'!$B$4:$C$225,2)</f>
        <v>33.8947042760567</v>
      </c>
      <c r="J15" s="259" t="n">
        <f aca="false">I15-H15</f>
        <v>-24.7943791839433</v>
      </c>
      <c r="L15" s="240" t="n">
        <v>37012</v>
      </c>
      <c r="M15" s="180" t="n">
        <f aca="false">IF($L$1=1,VLOOKUP(L15,'Super Peak Curve Simulation'!$B$7:$N$225,12),VLOOKUP(L15,'PJM Curve Simulation'!$B$9:$J$246,9))</f>
        <v>30.875</v>
      </c>
      <c r="N15" s="180" t="n">
        <f aca="false">P15+Q15</f>
        <v>47.7258177323449</v>
      </c>
      <c r="P15" s="180" t="n">
        <f aca="false">IF($L$1=1,VLOOKUP(L15,'Fuel Curve'!$B$7:$H$246,7),VLOOKUP(L15,'Revenues &amp; Expenses'!$K$9:$S$246,9))</f>
        <v>45.6488896551724</v>
      </c>
      <c r="Q15" s="180" t="n">
        <f aca="false">'Revenues &amp; Expenses'!$AM$5*1000*'Revenues &amp; Expenses'!O23</f>
        <v>2.07692807717246</v>
      </c>
      <c r="S15" s="204" t="n">
        <f aca="false">IF(M15&gt;N15,1,0)</f>
        <v>0</v>
      </c>
      <c r="T15" s="204" t="n">
        <f aca="false">'Revenues &amp; Expenses'!$S$3</f>
        <v>310.66</v>
      </c>
      <c r="U15" s="212" t="n">
        <f aca="false">T15*'Revenues &amp; Expenses'!F23*4</f>
        <v>28580.72</v>
      </c>
      <c r="W15" s="212" t="n">
        <f aca="false">IF(S15&gt;0,(M15-N15)*U15,0)</f>
        <v>0</v>
      </c>
      <c r="Y15" s="241" t="n">
        <f aca="false">Y14+365.25</f>
        <v>40908.75</v>
      </c>
      <c r="Z15" s="242" t="n">
        <f aca="false">HLOOKUP(Y15,'Financial Statements'!$C$31:$V$43,13)</f>
        <v>0.624734732465973</v>
      </c>
      <c r="AA15" s="225" t="n">
        <f aca="false">IF(Z15&lt;1,1,0)</f>
        <v>1</v>
      </c>
      <c r="AB15" s="225"/>
      <c r="AC15" s="225"/>
      <c r="AD15" s="225"/>
      <c r="AE15" s="226"/>
    </row>
    <row r="16" customFormat="false" ht="12.75" hidden="false" customHeight="false" outlineLevel="0" collapsed="false">
      <c r="B16" s="240" t="n">
        <v>37043</v>
      </c>
      <c r="C16" s="218" t="n">
        <f aca="false">VLOOKUP(B16,'Company Gas Prices'!$B$25:$C$259,2)</f>
        <v>3.809375</v>
      </c>
      <c r="D16" s="180" t="n">
        <f aca="false">VLOOKUP(B16,'Fuel Curve'!$B$7:$F$268,5)</f>
        <v>4.72206896551724</v>
      </c>
      <c r="E16" s="180" t="n">
        <f aca="false">D16-C16</f>
        <v>0.912693965517242</v>
      </c>
      <c r="G16" s="240" t="n">
        <v>37043</v>
      </c>
      <c r="H16" s="180" t="n">
        <f aca="false">VLOOKUP(G16,'Company Power Prices'!$B$25:$C$259,2)</f>
        <v>109.2786763</v>
      </c>
      <c r="I16" s="180" t="n">
        <f aca="false">VLOOKUP(G16,'Super Peak Curve Simulation'!$B$4:$C$225,2)</f>
        <v>68.3003613264355</v>
      </c>
      <c r="J16" s="259" t="n">
        <f aca="false">I16-H16</f>
        <v>-40.9783149735645</v>
      </c>
      <c r="L16" s="240" t="n">
        <v>37043</v>
      </c>
      <c r="M16" s="180" t="n">
        <f aca="false">IF($L$1=1,VLOOKUP(L16,'Super Peak Curve Simulation'!$B$7:$N$225,12),VLOOKUP(L16,'PJM Curve Simulation'!$B$9:$J$246,9))</f>
        <v>55.3499984741211</v>
      </c>
      <c r="N16" s="180" t="n">
        <f aca="false">P16+Q16</f>
        <v>47.3142429348949</v>
      </c>
      <c r="P16" s="180" t="n">
        <f aca="false">IF($L$1=1,VLOOKUP(L16,'Fuel Curve'!$B$7:$H$246,7),VLOOKUP(L16,'Revenues &amp; Expenses'!$K$9:$S$246,9))</f>
        <v>45.2326986206897</v>
      </c>
      <c r="Q16" s="180" t="n">
        <f aca="false">'Revenues &amp; Expenses'!$AM$5*1000*'Revenues &amp; Expenses'!O24</f>
        <v>2.0815443142052</v>
      </c>
      <c r="S16" s="204" t="n">
        <f aca="false">IF(M16&gt;N16,1,0)</f>
        <v>1</v>
      </c>
      <c r="T16" s="204" t="n">
        <f aca="false">'Revenues &amp; Expenses'!$S$3</f>
        <v>310.66</v>
      </c>
      <c r="U16" s="212" t="n">
        <f aca="false">T16*'Revenues &amp; Expenses'!F24*4</f>
        <v>26095.44</v>
      </c>
      <c r="W16" s="212" t="n">
        <f aca="false">IF(S16&gt;0,(M16-N16)*U16,0)</f>
        <v>209696.576528546</v>
      </c>
      <c r="Y16" s="241" t="n">
        <f aca="false">Y15+365.25</f>
        <v>41274</v>
      </c>
      <c r="Z16" s="242" t="n">
        <f aca="false">HLOOKUP(Y16,'Financial Statements'!$C$31:$V$43,13)</f>
        <v>0.657520620962128</v>
      </c>
      <c r="AA16" s="225" t="n">
        <f aca="false">IF(Z16&lt;1,1,0)</f>
        <v>1</v>
      </c>
      <c r="AB16" s="225"/>
      <c r="AC16" s="225"/>
      <c r="AD16" s="225"/>
      <c r="AE16" s="226"/>
    </row>
    <row r="17" customFormat="false" ht="12.75" hidden="false" customHeight="false" outlineLevel="0" collapsed="false">
      <c r="B17" s="240" t="n">
        <v>37073</v>
      </c>
      <c r="C17" s="218" t="n">
        <f aca="false">VLOOKUP(B17,'Company Gas Prices'!$B$25:$C$259,2)</f>
        <v>3.771875</v>
      </c>
      <c r="D17" s="180" t="n">
        <f aca="false">VLOOKUP(B17,'Fuel Curve'!$B$7:$F$268,5)</f>
        <v>4.74672413793104</v>
      </c>
      <c r="E17" s="180" t="n">
        <f aca="false">D17-C17</f>
        <v>0.974849137931035</v>
      </c>
      <c r="G17" s="240" t="n">
        <v>37073</v>
      </c>
      <c r="H17" s="180" t="n">
        <f aca="false">VLOOKUP(G17,'Company Power Prices'!$B$25:$C$259,2)</f>
        <v>177.4811729</v>
      </c>
      <c r="I17" s="180" t="n">
        <f aca="false">VLOOKUP(G17,'Super Peak Curve Simulation'!$B$4:$C$225,2)</f>
        <v>126.973455326057</v>
      </c>
      <c r="J17" s="259" t="n">
        <f aca="false">I17-H17</f>
        <v>-50.5077175739429</v>
      </c>
      <c r="L17" s="240" t="n">
        <v>37073</v>
      </c>
      <c r="M17" s="180" t="n">
        <f aca="false">IF($L$1=1,VLOOKUP(L17,'Super Peak Curve Simulation'!$B$7:$N$225,12),VLOOKUP(L17,'PJM Curve Simulation'!$B$9:$J$246,9))</f>
        <v>96.6999969482422</v>
      </c>
      <c r="N17" s="180" t="n">
        <f aca="false">P17+Q17</f>
        <v>47.5550413286538</v>
      </c>
      <c r="P17" s="180" t="n">
        <f aca="false">IF($L$1=1,VLOOKUP(L17,'Fuel Curve'!$B$7:$H$246,7),VLOOKUP(L17,'Revenues &amp; Expenses'!$K$9:$S$246,9))</f>
        <v>45.4688705172414</v>
      </c>
      <c r="Q17" s="180" t="n">
        <f aca="false">'Revenues &amp; Expenses'!$AM$5*1000*'Revenues &amp; Expenses'!O25</f>
        <v>2.08617081141237</v>
      </c>
      <c r="S17" s="204" t="n">
        <f aca="false">IF(M17&gt;N17,1,0)</f>
        <v>1</v>
      </c>
      <c r="T17" s="204" t="n">
        <f aca="false">'Revenues &amp; Expenses'!$S$3</f>
        <v>310.66</v>
      </c>
      <c r="U17" s="212" t="n">
        <f aca="false">T17*'Revenues &amp; Expenses'!F25*4</f>
        <v>27338.08</v>
      </c>
      <c r="W17" s="212" t="n">
        <f aca="false">IF(S17&gt;0,(M17-N17)*U17,0)</f>
        <v>1343528.72832476</v>
      </c>
      <c r="Y17" s="241" t="n">
        <f aca="false">Y16+365.25</f>
        <v>41639.25</v>
      </c>
      <c r="Z17" s="242" t="n">
        <f aca="false">HLOOKUP(Y17,'Financial Statements'!$C$31:$V$43,13)</f>
        <v>0.701952153271403</v>
      </c>
      <c r="AA17" s="225" t="n">
        <f aca="false">IF(Z17&lt;1,1,0)</f>
        <v>1</v>
      </c>
      <c r="AB17" s="225"/>
      <c r="AC17" s="225"/>
      <c r="AD17" s="225"/>
      <c r="AE17" s="226"/>
    </row>
    <row r="18" customFormat="false" ht="12.75" hidden="false" customHeight="false" outlineLevel="0" collapsed="false">
      <c r="B18" s="240" t="n">
        <v>37104</v>
      </c>
      <c r="C18" s="218" t="n">
        <f aca="false">VLOOKUP(B18,'Company Gas Prices'!$B$25:$C$259,2)</f>
        <v>3.771875</v>
      </c>
      <c r="D18" s="180" t="n">
        <f aca="false">VLOOKUP(B18,'Fuel Curve'!$B$7:$F$268,5)</f>
        <v>4.80758620689655</v>
      </c>
      <c r="E18" s="180" t="n">
        <f aca="false">D18-C18</f>
        <v>1.03571120689655</v>
      </c>
      <c r="G18" s="240" t="n">
        <v>37104</v>
      </c>
      <c r="H18" s="180" t="n">
        <f aca="false">VLOOKUP(G18,'Company Power Prices'!$B$25:$C$259,2)</f>
        <v>177.4811729</v>
      </c>
      <c r="I18" s="180" t="n">
        <f aca="false">VLOOKUP(G18,'Super Peak Curve Simulation'!$B$4:$C$225,2)</f>
        <v>102.72834513781</v>
      </c>
      <c r="J18" s="259" t="n">
        <f aca="false">I18-H18</f>
        <v>-74.7528277621904</v>
      </c>
      <c r="L18" s="240" t="n">
        <v>37104</v>
      </c>
      <c r="M18" s="180" t="n">
        <f aca="false">IF($L$1=1,VLOOKUP(L18,'Super Peak Curve Simulation'!$B$7:$N$225,12),VLOOKUP(L18,'PJM Curve Simulation'!$B$9:$J$246,9))</f>
        <v>83.6999969482422</v>
      </c>
      <c r="N18" s="180" t="n">
        <f aca="false">P18+Q18</f>
        <v>48.1426758674606</v>
      </c>
      <c r="P18" s="180" t="n">
        <f aca="false">IF($L$1=1,VLOOKUP(L18,'Fuel Curve'!$B$7:$H$246,7),VLOOKUP(L18,'Revenues &amp; Expenses'!$K$9:$S$246,9))</f>
        <v>46.0518682758621</v>
      </c>
      <c r="Q18" s="180" t="n">
        <f aca="false">'Revenues &amp; Expenses'!$AM$5*1000*'Revenues &amp; Expenses'!O26</f>
        <v>2.0908075915985</v>
      </c>
      <c r="S18" s="204" t="n">
        <f aca="false">IF(M18&gt;N18,1,0)</f>
        <v>1</v>
      </c>
      <c r="T18" s="204" t="n">
        <f aca="false">'Revenues &amp; Expenses'!$S$3</f>
        <v>310.66</v>
      </c>
      <c r="U18" s="212" t="n">
        <f aca="false">T18*'Revenues &amp; Expenses'!F26*4</f>
        <v>28580.72</v>
      </c>
      <c r="W18" s="212" t="n">
        <f aca="false">IF(S18&gt;0,(M18-N18)*U18,0)</f>
        <v>1016253.83775992</v>
      </c>
      <c r="Y18" s="241" t="n">
        <f aca="false">Y17+365.25</f>
        <v>42004.5</v>
      </c>
      <c r="Z18" s="242" t="n">
        <f aca="false">HLOOKUP(Y18,'Financial Statements'!$C$31:$V$43,13)</f>
        <v>0.730792452100272</v>
      </c>
      <c r="AA18" s="225" t="n">
        <f aca="false">IF(Z18&lt;1,1,0)</f>
        <v>1</v>
      </c>
      <c r="AB18" s="225"/>
      <c r="AC18" s="225"/>
      <c r="AD18" s="225"/>
      <c r="AE18" s="226"/>
    </row>
    <row r="19" customFormat="false" ht="12.75" hidden="false" customHeight="false" outlineLevel="0" collapsed="false">
      <c r="B19" s="240" t="n">
        <v>37135</v>
      </c>
      <c r="C19" s="218" t="n">
        <f aca="false">VLOOKUP(B19,'Company Gas Prices'!$B$25:$C$259,2)</f>
        <v>3.81770833</v>
      </c>
      <c r="D19" s="180" t="n">
        <f aca="false">VLOOKUP(B19,'Fuel Curve'!$B$7:$F$268,5)</f>
        <v>4.87706896551724</v>
      </c>
      <c r="E19" s="180" t="n">
        <f aca="false">D19-C19</f>
        <v>1.05936063551724</v>
      </c>
      <c r="G19" s="240" t="n">
        <v>37135</v>
      </c>
      <c r="H19" s="180" t="n">
        <f aca="false">VLOOKUP(G19,'Company Power Prices'!$B$25:$C$259,2)</f>
        <v>58.68908346</v>
      </c>
      <c r="I19" s="180" t="n">
        <f aca="false">VLOOKUP(G19,'Super Peak Curve Simulation'!$B$4:$C$225,2)</f>
        <v>37.7997611144692</v>
      </c>
      <c r="J19" s="259" t="n">
        <f aca="false">I19-H19</f>
        <v>-20.8893223455308</v>
      </c>
      <c r="L19" s="240" t="n">
        <v>37135</v>
      </c>
      <c r="M19" s="180" t="n">
        <f aca="false">IF($L$1=1,VLOOKUP(L19,'Super Peak Curve Simulation'!$B$7:$N$225,12),VLOOKUP(L19,'PJM Curve Simulation'!$B$9:$J$246,9))</f>
        <v>32.7249984741211</v>
      </c>
      <c r="N19" s="180" t="n">
        <f aca="false">P19+Q19</f>
        <v>48.8128982983085</v>
      </c>
      <c r="P19" s="180" t="n">
        <f aca="false">IF($L$1=1,VLOOKUP(L19,'Fuel Curve'!$B$7:$H$246,7),VLOOKUP(L19,'Revenues &amp; Expenses'!$K$9:$S$246,9))</f>
        <v>46.7174436206897</v>
      </c>
      <c r="Q19" s="180" t="n">
        <f aca="false">'Revenues &amp; Expenses'!$AM$5*1000*'Revenues &amp; Expenses'!O27</f>
        <v>2.09545467761884</v>
      </c>
      <c r="S19" s="204" t="n">
        <f aca="false">IF(M19&gt;N19,1,0)</f>
        <v>0</v>
      </c>
      <c r="T19" s="204" t="n">
        <f aca="false">'Revenues &amp; Expenses'!$S$3</f>
        <v>310.66</v>
      </c>
      <c r="U19" s="212" t="n">
        <f aca="false">T19*'Revenues &amp; Expenses'!F27*4</f>
        <v>24852.8</v>
      </c>
      <c r="W19" s="212" t="n">
        <f aca="false">IF(S19&gt;0,(M19-N19)*U19,0)</f>
        <v>0</v>
      </c>
      <c r="Y19" s="241" t="n">
        <f aca="false">Y18+365.25</f>
        <v>42369.75</v>
      </c>
      <c r="Z19" s="242" t="n">
        <f aca="false">HLOOKUP(Y19,'Financial Statements'!$C$31:$V$43,13)</f>
        <v>0.746537297554647</v>
      </c>
      <c r="AA19" s="225" t="n">
        <f aca="false">IF(Z19&lt;1,1,0)</f>
        <v>1</v>
      </c>
      <c r="AB19" s="225"/>
      <c r="AC19" s="225"/>
      <c r="AD19" s="225"/>
      <c r="AE19" s="226"/>
    </row>
    <row r="20" customFormat="false" ht="12.75" hidden="false" customHeight="false" outlineLevel="0" collapsed="false">
      <c r="B20" s="240" t="n">
        <v>37165</v>
      </c>
      <c r="C20" s="218" t="n">
        <f aca="false">VLOOKUP(B20,'Company Gas Prices'!$B$25:$C$259,2)</f>
        <v>3.778125</v>
      </c>
      <c r="D20" s="180" t="n">
        <f aca="false">VLOOKUP(B20,'Fuel Curve'!$B$7:$F$268,5)</f>
        <v>4.94362068965517</v>
      </c>
      <c r="E20" s="180" t="n">
        <f aca="false">D20-C20</f>
        <v>1.16549568965517</v>
      </c>
      <c r="G20" s="240" t="n">
        <v>37165</v>
      </c>
      <c r="H20" s="180" t="n">
        <f aca="false">VLOOKUP(G20,'Company Power Prices'!$B$25:$C$259,2)</f>
        <v>45.78953036</v>
      </c>
      <c r="I20" s="180" t="n">
        <f aca="false">VLOOKUP(G20,'Super Peak Curve Simulation'!$B$4:$C$225,2)</f>
        <v>30.807163573122</v>
      </c>
      <c r="J20" s="259" t="n">
        <f aca="false">I20-H20</f>
        <v>-14.982366786878</v>
      </c>
      <c r="L20" s="240" t="n">
        <v>37165</v>
      </c>
      <c r="M20" s="180" t="n">
        <f aca="false">IF($L$1=1,VLOOKUP(L20,'Super Peak Curve Simulation'!$B$7:$N$225,12),VLOOKUP(L20,'PJM Curve Simulation'!$B$9:$J$246,9))</f>
        <v>26.2250003814697</v>
      </c>
      <c r="N20" s="180" t="n">
        <f aca="false">P20+Q20</f>
        <v>49.4550546785863</v>
      </c>
      <c r="P20" s="180" t="n">
        <f aca="false">IF($L$1=1,VLOOKUP(L20,'Fuel Curve'!$B$7:$H$246,7),VLOOKUP(L20,'Revenues &amp; Expenses'!$K$9:$S$246,9))</f>
        <v>47.3549425862069</v>
      </c>
      <c r="Q20" s="180" t="n">
        <f aca="false">'Revenues &amp; Expenses'!$AM$5*1000*'Revenues &amp; Expenses'!O28</f>
        <v>2.1001120923794</v>
      </c>
      <c r="S20" s="204" t="n">
        <f aca="false">IF(M20&gt;N20,1,0)</f>
        <v>0</v>
      </c>
      <c r="T20" s="204" t="n">
        <f aca="false">'Revenues &amp; Expenses'!$S$3</f>
        <v>310.66</v>
      </c>
      <c r="U20" s="212" t="n">
        <f aca="false">T20*'Revenues &amp; Expenses'!F28*4</f>
        <v>28580.72</v>
      </c>
      <c r="W20" s="212" t="n">
        <f aca="false">IF(S20&gt;0,(M20-N20)*U20,0)</f>
        <v>0</v>
      </c>
      <c r="Y20" s="241" t="n">
        <f aca="false">Y19+365.25</f>
        <v>42735</v>
      </c>
      <c r="Z20" s="242" t="n">
        <f aca="false">HLOOKUP(Y20,'Financial Statements'!$C$31:$V$43,13)</f>
        <v>0.778720339997219</v>
      </c>
      <c r="AA20" s="225" t="n">
        <f aca="false">IF(Z20&lt;1,1,0)</f>
        <v>1</v>
      </c>
      <c r="AB20" s="225"/>
      <c r="AC20" s="225"/>
      <c r="AD20" s="225"/>
      <c r="AE20" s="226"/>
    </row>
    <row r="21" customFormat="false" ht="12.75" hidden="false" customHeight="false" outlineLevel="0" collapsed="false">
      <c r="B21" s="240" t="n">
        <v>37196</v>
      </c>
      <c r="C21" s="218" t="n">
        <f aca="false">VLOOKUP(B21,'Company Gas Prices'!$B$25:$C$259,2)</f>
        <v>3.778125</v>
      </c>
      <c r="D21" s="180" t="n">
        <f aca="false">VLOOKUP(B21,'Fuel Curve'!$B$7:$F$268,5)</f>
        <v>5.00603448275862</v>
      </c>
      <c r="E21" s="180" t="n">
        <f aca="false">D21-C21</f>
        <v>1.22790948275862</v>
      </c>
      <c r="G21" s="240" t="n">
        <v>37196</v>
      </c>
      <c r="H21" s="180" t="n">
        <f aca="false">VLOOKUP(G21,'Company Power Prices'!$B$25:$C$259,2)</f>
        <v>49.62908489</v>
      </c>
      <c r="I21" s="180" t="n">
        <f aca="false">VLOOKUP(G21,'Super Peak Curve Simulation'!$B$4:$C$225,2)</f>
        <v>30.8393893472672</v>
      </c>
      <c r="J21" s="259" t="n">
        <f aca="false">I21-H21</f>
        <v>-18.7896955427329</v>
      </c>
      <c r="L21" s="240" t="n">
        <v>37196</v>
      </c>
      <c r="M21" s="180" t="n">
        <f aca="false">IF($L$1=1,VLOOKUP(L21,'Super Peak Curve Simulation'!$B$7:$N$225,12),VLOOKUP(L21,'PJM Curve Simulation'!$B$9:$J$246,9))</f>
        <v>25.8974990844727</v>
      </c>
      <c r="N21" s="180" t="n">
        <f aca="false">P21+Q21</f>
        <v>50.057584169182</v>
      </c>
      <c r="P21" s="180" t="n">
        <f aca="false">IF($L$1=1,VLOOKUP(L21,'Fuel Curve'!$B$7:$H$246,7),VLOOKUP(L21,'Revenues &amp; Expenses'!$K$9:$S$246,9))</f>
        <v>47.9528043103448</v>
      </c>
      <c r="Q21" s="180" t="n">
        <f aca="false">'Revenues &amp; Expenses'!$AM$5*1000*'Revenues &amp; Expenses'!O29</f>
        <v>2.10477985883714</v>
      </c>
      <c r="S21" s="204" t="n">
        <f aca="false">IF(M21&gt;N21,1,0)</f>
        <v>0</v>
      </c>
      <c r="T21" s="204" t="n">
        <f aca="false">'Revenues &amp; Expenses'!$S$3</f>
        <v>310.66</v>
      </c>
      <c r="U21" s="212" t="n">
        <f aca="false">T21*'Revenues &amp; Expenses'!F29*4</f>
        <v>27338.08</v>
      </c>
      <c r="W21" s="212" t="n">
        <f aca="false">IF(S21&gt;0,(M21-N21)*U21,0)</f>
        <v>0</v>
      </c>
      <c r="Y21" s="241" t="n">
        <f aca="false">Y20+365.25</f>
        <v>43100.25</v>
      </c>
      <c r="Z21" s="242" t="n">
        <f aca="false">HLOOKUP(Y21,'Financial Statements'!$C$31:$V$43,13)</f>
        <v>0.825428583913113</v>
      </c>
      <c r="AA21" s="225" t="n">
        <f aca="false">IF(Z21&lt;1,1,0)</f>
        <v>1</v>
      </c>
      <c r="AB21" s="225"/>
      <c r="AC21" s="225"/>
      <c r="AD21" s="225"/>
      <c r="AE21" s="226"/>
    </row>
    <row r="22" customFormat="false" ht="12.75" hidden="false" customHeight="false" outlineLevel="0" collapsed="false">
      <c r="B22" s="240" t="n">
        <v>37226</v>
      </c>
      <c r="C22" s="218" t="n">
        <f aca="false">VLOOKUP(B22,'Company Gas Prices'!$B$25:$C$259,2)</f>
        <v>3.778125</v>
      </c>
      <c r="D22" s="180" t="n">
        <f aca="false">VLOOKUP(B22,'Fuel Curve'!$B$7:$F$268,5)</f>
        <v>5.02844827586207</v>
      </c>
      <c r="E22" s="180" t="n">
        <f aca="false">D22-C22</f>
        <v>1.25032327586207</v>
      </c>
      <c r="G22" s="240" t="n">
        <v>37226</v>
      </c>
      <c r="H22" s="180" t="n">
        <f aca="false">VLOOKUP(G22,'Company Power Prices'!$B$25:$C$259,2)</f>
        <v>49.62908489</v>
      </c>
      <c r="I22" s="180" t="n">
        <f aca="false">VLOOKUP(G22,'Super Peak Curve Simulation'!$B$4:$C$225,2)</f>
        <v>33.3449011066023</v>
      </c>
      <c r="J22" s="259" t="n">
        <f aca="false">I22-H22</f>
        <v>-16.2841837833977</v>
      </c>
      <c r="L22" s="240" t="n">
        <v>37226</v>
      </c>
      <c r="M22" s="180" t="n">
        <f aca="false">IF($L$1=1,VLOOKUP(L22,'Super Peak Curve Simulation'!$B$7:$N$225,12),VLOOKUP(L22,'PJM Curve Simulation'!$B$9:$J$246,9))</f>
        <v>27.6499996185303</v>
      </c>
      <c r="N22" s="180" t="n">
        <f aca="false">P22+Q22</f>
        <v>50.2769640344828</v>
      </c>
      <c r="P22" s="180" t="n">
        <f aca="false">IF($L$1=1,VLOOKUP(L22,'Fuel Curve'!$B$7:$H$246,7),VLOOKUP(L22,'Revenues &amp; Expenses'!$K$9:$S$246,9))</f>
        <v>48.1675060344828</v>
      </c>
      <c r="Q22" s="180" t="n">
        <f aca="false">'Revenues &amp; Expenses'!$AM$5*1000*'Revenues &amp; Expenses'!O30</f>
        <v>2.109458</v>
      </c>
      <c r="S22" s="204" t="n">
        <f aca="false">IF(M22&gt;N22,1,0)</f>
        <v>0</v>
      </c>
      <c r="T22" s="204" t="n">
        <f aca="false">'Revenues &amp; Expenses'!$S$3</f>
        <v>310.66</v>
      </c>
      <c r="U22" s="212" t="n">
        <f aca="false">T22*'Revenues &amp; Expenses'!F30*4</f>
        <v>26095.44</v>
      </c>
      <c r="W22" s="212" t="n">
        <f aca="false">IF(S22&gt;0,(M22-N22)*U22,0)</f>
        <v>0</v>
      </c>
      <c r="Y22" s="241" t="n">
        <f aca="false">Y21+365.25</f>
        <v>43465.5</v>
      </c>
      <c r="Z22" s="242" t="n">
        <f aca="false">HLOOKUP(Y22,'Financial Statements'!$C$31:$V$43,13)</f>
        <v>0.85213888493154</v>
      </c>
      <c r="AA22" s="225" t="n">
        <f aca="false">IF(Z22&lt;1,1,0)</f>
        <v>1</v>
      </c>
      <c r="AB22" s="225"/>
      <c r="AC22" s="225"/>
      <c r="AD22" s="225"/>
      <c r="AE22" s="226"/>
    </row>
    <row r="23" customFormat="false" ht="12.75" hidden="false" customHeight="false" outlineLevel="0" collapsed="false">
      <c r="B23" s="240" t="n">
        <v>37257</v>
      </c>
      <c r="C23" s="218" t="n">
        <f aca="false">VLOOKUP(B23,'Company Gas Prices'!$B$25:$C$259,2)</f>
        <v>3.83541667</v>
      </c>
      <c r="D23" s="180" t="n">
        <f aca="false">VLOOKUP(B23,'Fuel Curve'!$B$7:$F$268,5)</f>
        <v>4.9798275862069</v>
      </c>
      <c r="E23" s="180" t="n">
        <f aca="false">D23-C23</f>
        <v>1.1444109162069</v>
      </c>
      <c r="G23" s="240" t="n">
        <v>37257</v>
      </c>
      <c r="H23" s="180" t="n">
        <f aca="false">VLOOKUP(G23,'Company Power Prices'!$B$25:$C$259,2)</f>
        <v>49.29206481</v>
      </c>
      <c r="I23" s="180" t="n">
        <f aca="false">VLOOKUP(G23,'Super Peak Curve Simulation'!$B$4:$C$225,2)</f>
        <v>43.8679381094757</v>
      </c>
      <c r="J23" s="259" t="n">
        <f aca="false">I23-H23</f>
        <v>-5.42412670052428</v>
      </c>
      <c r="L23" s="240" t="n">
        <v>37257</v>
      </c>
      <c r="M23" s="180" t="n">
        <f aca="false">IF($L$1=1,VLOOKUP(L23,'Super Peak Curve Simulation'!$B$7:$N$225,12),VLOOKUP(L23,'PJM Curve Simulation'!$B$9:$J$246,9))</f>
        <v>35.7749984741211</v>
      </c>
      <c r="N23" s="180" t="n">
        <f aca="false">P23+Q23</f>
        <v>49.815914987203</v>
      </c>
      <c r="P23" s="180" t="n">
        <f aca="false">IF($L$1=1,VLOOKUP(L23,'Fuel Curve'!$B$7:$H$246,7),VLOOKUP(L23,'Revenues &amp; Expenses'!$K$9:$S$246,9))</f>
        <v>47.7017684482759</v>
      </c>
      <c r="Q23" s="180" t="n">
        <f aca="false">'Revenues &amp; Expenses'!$AM$5*1000*'Revenues &amp; Expenses'!O31</f>
        <v>2.1141465389271</v>
      </c>
      <c r="S23" s="204" t="n">
        <f aca="false">IF(M23&gt;N23,1,0)</f>
        <v>0</v>
      </c>
      <c r="T23" s="204" t="n">
        <f aca="false">'Revenues &amp; Expenses'!$S$3</f>
        <v>310.66</v>
      </c>
      <c r="U23" s="212" t="n">
        <f aca="false">T23*'Revenues &amp; Expenses'!F31*4</f>
        <v>28580.72</v>
      </c>
      <c r="W23" s="212" t="n">
        <f aca="false">IF(S23&gt;0,(M23-N23)*U23,0)</f>
        <v>0</v>
      </c>
      <c r="Y23" s="241" t="n">
        <f aca="false">Y22+365.25</f>
        <v>43830.75</v>
      </c>
      <c r="Z23" s="242" t="n">
        <f aca="false">HLOOKUP(Y23,'Financial Statements'!$C$31:$V$43,13)</f>
        <v>0.821198322962898</v>
      </c>
      <c r="AA23" s="225" t="n">
        <f aca="false">IF(Z23&lt;1,1,0)</f>
        <v>1</v>
      </c>
      <c r="AB23" s="225"/>
      <c r="AC23" s="225"/>
      <c r="AD23" s="225"/>
      <c r="AE23" s="226"/>
    </row>
    <row r="24" customFormat="false" ht="12.75" hidden="false" customHeight="false" outlineLevel="0" collapsed="false">
      <c r="B24" s="240" t="n">
        <v>37288</v>
      </c>
      <c r="C24" s="218" t="n">
        <f aca="false">VLOOKUP(B24,'Company Gas Prices'!$B$25:$C$259,2)</f>
        <v>3.83541667</v>
      </c>
      <c r="D24" s="180" t="n">
        <f aca="false">VLOOKUP(B24,'Fuel Curve'!$B$7:$F$268,5)</f>
        <v>4.86258620689655</v>
      </c>
      <c r="E24" s="180" t="n">
        <f aca="false">D24-C24</f>
        <v>1.02716953689655</v>
      </c>
      <c r="G24" s="240" t="n">
        <v>37288</v>
      </c>
      <c r="H24" s="180" t="n">
        <f aca="false">VLOOKUP(G24,'Company Power Prices'!$B$25:$C$259,2)</f>
        <v>41.74830928</v>
      </c>
      <c r="I24" s="180" t="n">
        <f aca="false">VLOOKUP(G24,'Super Peak Curve Simulation'!$B$4:$C$225,2)</f>
        <v>43.8679381094757</v>
      </c>
      <c r="J24" s="259" t="n">
        <f aca="false">I24-H24</f>
        <v>2.11962882947572</v>
      </c>
      <c r="L24" s="240" t="n">
        <v>37288</v>
      </c>
      <c r="M24" s="180" t="n">
        <f aca="false">IF($L$1=1,VLOOKUP(L24,'Super Peak Curve Simulation'!$B$7:$N$225,12),VLOOKUP(L24,'PJM Curve Simulation'!$B$9:$J$246,9))</f>
        <v>35.7749984741211</v>
      </c>
      <c r="N24" s="180" t="n">
        <f aca="false">P24+Q24</f>
        <v>48.6975587745909</v>
      </c>
      <c r="P24" s="180" t="n">
        <f aca="false">IF($L$1=1,VLOOKUP(L24,'Fuel Curve'!$B$7:$H$246,7),VLOOKUP(L24,'Revenues &amp; Expenses'!$K$9:$S$246,9))</f>
        <v>46.5787132758621</v>
      </c>
      <c r="Q24" s="180" t="n">
        <f aca="false">'Revenues &amp; Expenses'!$AM$5*1000*'Revenues &amp; Expenses'!O32</f>
        <v>2.11884549872879</v>
      </c>
      <c r="S24" s="204" t="n">
        <f aca="false">IF(M24&gt;N24,1,0)</f>
        <v>0</v>
      </c>
      <c r="T24" s="204" t="n">
        <f aca="false">'Revenues &amp; Expenses'!$S$3</f>
        <v>310.66</v>
      </c>
      <c r="U24" s="212" t="n">
        <f aca="false">T24*'Revenues &amp; Expenses'!F32*4</f>
        <v>24852.8</v>
      </c>
      <c r="W24" s="212" t="n">
        <f aca="false">IF(S24&gt;0,(M24-N24)*U24,0)</f>
        <v>0</v>
      </c>
      <c r="Y24" s="241"/>
      <c r="Z24" s="222"/>
      <c r="AA24" s="225"/>
      <c r="AB24" s="225"/>
      <c r="AC24" s="225"/>
      <c r="AD24" s="225"/>
      <c r="AE24" s="226"/>
    </row>
    <row r="25" customFormat="false" ht="12.75" hidden="false" customHeight="false" outlineLevel="0" collapsed="false">
      <c r="B25" s="240" t="n">
        <v>37316</v>
      </c>
      <c r="C25" s="218" t="n">
        <f aca="false">VLOOKUP(B25,'Company Gas Prices'!$B$25:$C$259,2)</f>
        <v>3.83541667</v>
      </c>
      <c r="D25" s="180" t="n">
        <f aca="false">VLOOKUP(B25,'Fuel Curve'!$B$7:$F$268,5)</f>
        <v>4.74810344827586</v>
      </c>
      <c r="E25" s="180" t="n">
        <f aca="false">D25-C25</f>
        <v>0.912686778275862</v>
      </c>
      <c r="G25" s="240" t="n">
        <v>37316</v>
      </c>
      <c r="H25" s="180" t="n">
        <f aca="false">VLOOKUP(G25,'Company Power Prices'!$B$25:$C$259,2)</f>
        <v>41.74830928</v>
      </c>
      <c r="I25" s="180" t="n">
        <f aca="false">VLOOKUP(G25,'Super Peak Curve Simulation'!$B$4:$C$225,2)</f>
        <v>31.469822802906</v>
      </c>
      <c r="J25" s="259" t="n">
        <f aca="false">I25-H25</f>
        <v>-10.278486477094</v>
      </c>
      <c r="L25" s="240" t="n">
        <v>37316</v>
      </c>
      <c r="M25" s="180" t="n">
        <f aca="false">IF($L$1=1,VLOOKUP(L25,'Super Peak Curve Simulation'!$B$7:$N$225,12),VLOOKUP(L25,'PJM Curve Simulation'!$B$9:$J$246,9))</f>
        <v>25.8750007629395</v>
      </c>
      <c r="N25" s="180" t="n">
        <f aca="false">P25+Q25</f>
        <v>47.6056378336013</v>
      </c>
      <c r="P25" s="180" t="n">
        <f aca="false">IF($L$1=1,VLOOKUP(L25,'Fuel Curve'!$B$7:$H$246,7),VLOOKUP(L25,'Revenues &amp; Expenses'!$K$9:$S$246,9))</f>
        <v>45.4820829310345</v>
      </c>
      <c r="Q25" s="180" t="n">
        <f aca="false">'Revenues &amp; Expenses'!$AM$5*1000*'Revenues &amp; Expenses'!O33</f>
        <v>2.12355490256679</v>
      </c>
      <c r="S25" s="204" t="n">
        <f aca="false">IF(M25&gt;N25,1,0)</f>
        <v>0</v>
      </c>
      <c r="T25" s="204" t="n">
        <f aca="false">'Revenues &amp; Expenses'!$S$3</f>
        <v>310.66</v>
      </c>
      <c r="U25" s="212" t="n">
        <f aca="false">T25*'Revenues &amp; Expenses'!F33*4</f>
        <v>26095.44</v>
      </c>
      <c r="W25" s="212" t="n">
        <f aca="false">IF(S25&gt;0,(M25-N25)*U25,0)</f>
        <v>0</v>
      </c>
      <c r="Y25" s="252"/>
      <c r="Z25" s="253"/>
      <c r="AA25" s="254"/>
      <c r="AB25" s="254"/>
      <c r="AC25" s="254"/>
      <c r="AD25" s="254"/>
      <c r="AE25" s="257"/>
    </row>
    <row r="26" customFormat="false" ht="12.75" hidden="false" customHeight="false" outlineLevel="0" collapsed="false">
      <c r="B26" s="240" t="n">
        <v>37347</v>
      </c>
      <c r="C26" s="218" t="n">
        <f aca="false">VLOOKUP(B26,'Company Gas Prices'!$B$25:$C$259,2)</f>
        <v>3.98020833</v>
      </c>
      <c r="D26" s="180" t="n">
        <f aca="false">VLOOKUP(B26,'Fuel Curve'!$B$7:$F$268,5)</f>
        <v>4.6351724137931</v>
      </c>
      <c r="E26" s="180" t="n">
        <f aca="false">D26-C26</f>
        <v>0.654964083793105</v>
      </c>
      <c r="G26" s="240" t="n">
        <v>37347</v>
      </c>
      <c r="H26" s="180" t="n">
        <f aca="false">VLOOKUP(G26,'Company Power Prices'!$B$25:$C$259,2)</f>
        <v>45.90699922</v>
      </c>
      <c r="I26" s="180" t="n">
        <f aca="false">VLOOKUP(G26,'Super Peak Curve Simulation'!$B$4:$C$225,2)</f>
        <v>29.2381889004288</v>
      </c>
      <c r="J26" s="259" t="n">
        <f aca="false">I26-H26</f>
        <v>-16.6688103195712</v>
      </c>
      <c r="L26" s="240" t="n">
        <v>37347</v>
      </c>
      <c r="M26" s="180" t="n">
        <f aca="false">IF($L$1=1,VLOOKUP(L26,'Super Peak Curve Simulation'!$B$7:$N$225,12),VLOOKUP(L26,'PJM Curve Simulation'!$B$9:$J$246,9))</f>
        <v>25.7750007629395</v>
      </c>
      <c r="N26" s="180" t="n">
        <f aca="false">P26+Q26</f>
        <v>46.5285913253785</v>
      </c>
      <c r="P26" s="180" t="n">
        <f aca="false">IF($L$1=1,VLOOKUP(L26,'Fuel Curve'!$B$7:$H$246,7),VLOOKUP(L26,'Revenues &amp; Expenses'!$K$9:$S$246,9))</f>
        <v>44.4003165517242</v>
      </c>
      <c r="Q26" s="180" t="n">
        <f aca="false">'Revenues &amp; Expenses'!$AM$5*1000*'Revenues &amp; Expenses'!O34</f>
        <v>2.1282747736543</v>
      </c>
      <c r="S26" s="204" t="n">
        <f aca="false">IF(M26&gt;N26,1,0)</f>
        <v>0</v>
      </c>
      <c r="T26" s="204" t="n">
        <f aca="false">'Revenues &amp; Expenses'!$S$3</f>
        <v>310.66</v>
      </c>
      <c r="U26" s="212" t="n">
        <f aca="false">T26*'Revenues &amp; Expenses'!F34*4</f>
        <v>27338.08</v>
      </c>
      <c r="W26" s="212" t="n">
        <f aca="false">IF(S26&gt;0,(M26-N26)*U26,0)</f>
        <v>0</v>
      </c>
      <c r="Y26" s="258"/>
    </row>
    <row r="27" customFormat="false" ht="12.75" hidden="false" customHeight="false" outlineLevel="0" collapsed="false">
      <c r="B27" s="240" t="n">
        <v>37377</v>
      </c>
      <c r="C27" s="218" t="n">
        <f aca="false">VLOOKUP(B27,'Company Gas Prices'!$B$25:$C$259,2)</f>
        <v>3.81770833</v>
      </c>
      <c r="D27" s="180" t="n">
        <f aca="false">VLOOKUP(B27,'Fuel Curve'!$B$7:$F$268,5)</f>
        <v>4.55258620689655</v>
      </c>
      <c r="E27" s="180" t="n">
        <f aca="false">D27-C27</f>
        <v>0.734877876896552</v>
      </c>
      <c r="G27" s="240" t="n">
        <v>37377</v>
      </c>
      <c r="H27" s="180" t="n">
        <f aca="false">VLOOKUP(G27,'Company Power Prices'!$B$25:$C$259,2)</f>
        <v>58.100821</v>
      </c>
      <c r="I27" s="180" t="n">
        <f aca="false">VLOOKUP(G27,'Super Peak Curve Simulation'!$B$4:$C$225,2)</f>
        <v>33.8947042760567</v>
      </c>
      <c r="J27" s="259" t="n">
        <f aca="false">I27-H27</f>
        <v>-24.2061167239433</v>
      </c>
      <c r="L27" s="240" t="n">
        <v>37377</v>
      </c>
      <c r="M27" s="180" t="n">
        <f aca="false">IF($L$1=1,VLOOKUP(L27,'Super Peak Curve Simulation'!$B$7:$N$225,12),VLOOKUP(L27,'PJM Curve Simulation'!$B$9:$J$246,9))</f>
        <v>30.875</v>
      </c>
      <c r="N27" s="180" t="n">
        <f aca="false">P27+Q27</f>
        <v>45.7422284111182</v>
      </c>
      <c r="P27" s="180" t="n">
        <f aca="false">IF($L$1=1,VLOOKUP(L27,'Fuel Curve'!$B$7:$H$246,7),VLOOKUP(L27,'Revenues &amp; Expenses'!$K$9:$S$246,9))</f>
        <v>43.6092232758621</v>
      </c>
      <c r="Q27" s="180" t="n">
        <f aca="false">'Revenues &amp; Expenses'!$AM$5*1000*'Revenues &amp; Expenses'!O35</f>
        <v>2.13300513525612</v>
      </c>
      <c r="S27" s="204" t="n">
        <f aca="false">IF(M27&gt;N27,1,0)</f>
        <v>0</v>
      </c>
      <c r="T27" s="204" t="n">
        <f aca="false">'Revenues &amp; Expenses'!$S$3</f>
        <v>310.66</v>
      </c>
      <c r="U27" s="212" t="n">
        <f aca="false">T27*'Revenues &amp; Expenses'!F35*4</f>
        <v>28580.72</v>
      </c>
      <c r="W27" s="212" t="n">
        <f aca="false">IF(S27&gt;0,(M27-N27)*U27,0)</f>
        <v>0</v>
      </c>
      <c r="Y27" s="258"/>
    </row>
    <row r="28" customFormat="false" ht="12.75" hidden="false" customHeight="false" outlineLevel="0" collapsed="false">
      <c r="B28" s="240" t="n">
        <v>37408</v>
      </c>
      <c r="C28" s="218" t="n">
        <f aca="false">VLOOKUP(B28,'Company Gas Prices'!$B$25:$C$259,2)</f>
        <v>3.809375</v>
      </c>
      <c r="D28" s="180" t="n">
        <f aca="false">VLOOKUP(B28,'Fuel Curve'!$B$7:$F$268,5)</f>
        <v>4.53172413793104</v>
      </c>
      <c r="E28" s="180" t="n">
        <f aca="false">D28-C28</f>
        <v>0.722349137931035</v>
      </c>
      <c r="G28" s="240" t="n">
        <v>37408</v>
      </c>
      <c r="H28" s="180" t="n">
        <f aca="false">VLOOKUP(G28,'Company Power Prices'!$B$25:$C$259,2)</f>
        <v>107.4110546</v>
      </c>
      <c r="I28" s="180" t="n">
        <f aca="false">VLOOKUP(G28,'Super Peak Curve Simulation'!$B$4:$C$225,2)</f>
        <v>67.6833752089167</v>
      </c>
      <c r="J28" s="259" t="n">
        <f aca="false">I28-H28</f>
        <v>-39.7276793910833</v>
      </c>
      <c r="L28" s="240" t="n">
        <v>37408</v>
      </c>
      <c r="M28" s="180" t="n">
        <f aca="false">IF($L$1=1,VLOOKUP(L28,'Super Peak Curve Simulation'!$B$7:$N$225,12),VLOOKUP(L28,'PJM Curve Simulation'!$B$9:$J$246,9))</f>
        <v>54.8499984741211</v>
      </c>
      <c r="N28" s="180" t="n">
        <f aca="false">P28+Q28</f>
        <v>45.5471315279301</v>
      </c>
      <c r="P28" s="180" t="n">
        <f aca="false">IF($L$1=1,VLOOKUP(L28,'Fuel Curve'!$B$7:$H$246,7),VLOOKUP(L28,'Revenues &amp; Expenses'!$K$9:$S$246,9))</f>
        <v>43.4093855172414</v>
      </c>
      <c r="Q28" s="180" t="n">
        <f aca="false">'Revenues &amp; Expenses'!$AM$5*1000*'Revenues &amp; Expenses'!O36</f>
        <v>2.13774601068874</v>
      </c>
      <c r="S28" s="204" t="n">
        <f aca="false">IF(M28&gt;N28,1,0)</f>
        <v>1</v>
      </c>
      <c r="T28" s="204" t="n">
        <f aca="false">'Revenues &amp; Expenses'!$S$3</f>
        <v>310.66</v>
      </c>
      <c r="U28" s="212" t="n">
        <f aca="false">T28*'Revenues &amp; Expenses'!F36*4</f>
        <v>24852.8</v>
      </c>
      <c r="W28" s="212" t="n">
        <f aca="false">IF(S28&gt;0,(M28-N28)*U28,0)</f>
        <v>231202.291640295</v>
      </c>
    </row>
    <row r="29" customFormat="false" ht="12.75" hidden="false" customHeight="false" outlineLevel="0" collapsed="false">
      <c r="B29" s="240" t="n">
        <v>37438</v>
      </c>
      <c r="C29" s="218" t="n">
        <f aca="false">VLOOKUP(B29,'Company Gas Prices'!$B$25:$C$259,2)</f>
        <v>3.771875</v>
      </c>
      <c r="D29" s="180" t="n">
        <f aca="false">VLOOKUP(B29,'Fuel Curve'!$B$7:$F$268,5)</f>
        <v>4.57293103448276</v>
      </c>
      <c r="E29" s="180" t="n">
        <f aca="false">D29-C29</f>
        <v>0.801056034482759</v>
      </c>
      <c r="G29" s="240" t="n">
        <v>37438</v>
      </c>
      <c r="H29" s="180" t="n">
        <f aca="false">VLOOKUP(G29,'Company Power Prices'!$B$25:$C$259,2)</f>
        <v>170.2370583</v>
      </c>
      <c r="I29" s="180" t="n">
        <f aca="false">VLOOKUP(G29,'Super Peak Curve Simulation'!$B$4:$C$225,2)</f>
        <v>124.347323799</v>
      </c>
      <c r="J29" s="259" t="n">
        <f aca="false">I29-H29</f>
        <v>-45.8897345010001</v>
      </c>
      <c r="L29" s="240" t="n">
        <v>37438</v>
      </c>
      <c r="M29" s="180" t="n">
        <f aca="false">IF($L$1=1,VLOOKUP(L29,'Super Peak Curve Simulation'!$B$7:$N$225,12),VLOOKUP(L29,'PJM Curve Simulation'!$B$9:$J$246,9))</f>
        <v>94.6999969482422</v>
      </c>
      <c r="N29" s="180" t="n">
        <f aca="false">P29+Q29</f>
        <v>45.9466038026309</v>
      </c>
      <c r="P29" s="180" t="n">
        <f aca="false">IF($L$1=1,VLOOKUP(L29,'Fuel Curve'!$B$7:$H$246,7),VLOOKUP(L29,'Revenues &amp; Expenses'!$K$9:$S$246,9))</f>
        <v>43.8041063793104</v>
      </c>
      <c r="Q29" s="180" t="n">
        <f aca="false">'Revenues &amp; Expenses'!$AM$5*1000*'Revenues &amp; Expenses'!O37</f>
        <v>2.1424974233205</v>
      </c>
      <c r="S29" s="204" t="n">
        <f aca="false">IF(M29&gt;N29,1,0)</f>
        <v>1</v>
      </c>
      <c r="T29" s="204" t="n">
        <f aca="false">'Revenues &amp; Expenses'!$S$3</f>
        <v>310.66</v>
      </c>
      <c r="U29" s="212" t="n">
        <f aca="false">T29*'Revenues &amp; Expenses'!F37*4</f>
        <v>28580.72</v>
      </c>
      <c r="W29" s="212" t="n">
        <f aca="false">IF(S29&gt;0,(M29-N29)*U29,0)</f>
        <v>1393407.07854464</v>
      </c>
    </row>
    <row r="30" customFormat="false" ht="12.75" hidden="false" customHeight="false" outlineLevel="0" collapsed="false">
      <c r="B30" s="240" t="n">
        <v>37469</v>
      </c>
      <c r="C30" s="218" t="n">
        <f aca="false">VLOOKUP(B30,'Company Gas Prices'!$B$25:$C$259,2)</f>
        <v>3.771875</v>
      </c>
      <c r="D30" s="180" t="n">
        <f aca="false">VLOOKUP(B30,'Fuel Curve'!$B$7:$F$268,5)</f>
        <v>4.64672413793103</v>
      </c>
      <c r="E30" s="180" t="n">
        <f aca="false">D30-C30</f>
        <v>0.874849137931034</v>
      </c>
      <c r="G30" s="240" t="n">
        <v>37469</v>
      </c>
      <c r="H30" s="180" t="n">
        <f aca="false">VLOOKUP(G30,'Company Power Prices'!$B$25:$C$259,2)</f>
        <v>170.2370583</v>
      </c>
      <c r="I30" s="180" t="n">
        <f aca="false">VLOOKUP(G30,'Super Peak Curve Simulation'!$B$4:$C$225,2)</f>
        <v>100.273665355651</v>
      </c>
      <c r="J30" s="259" t="n">
        <f aca="false">I30-H30</f>
        <v>-69.9633929443494</v>
      </c>
      <c r="L30" s="240" t="n">
        <v>37469</v>
      </c>
      <c r="M30" s="180" t="n">
        <f aca="false">IF($L$1=1,VLOOKUP(L30,'Super Peak Curve Simulation'!$B$7:$N$225,12),VLOOKUP(L30,'PJM Curve Simulation'!$B$9:$J$246,9))</f>
        <v>81.6999969482422</v>
      </c>
      <c r="N30" s="180" t="n">
        <f aca="false">P30+Q30</f>
        <v>46.658229913813</v>
      </c>
      <c r="P30" s="180" t="n">
        <f aca="false">IF($L$1=1,VLOOKUP(L30,'Fuel Curve'!$B$7:$H$246,7),VLOOKUP(L30,'Revenues &amp; Expenses'!$K$9:$S$246,9))</f>
        <v>44.5109705172414</v>
      </c>
      <c r="Q30" s="180" t="n">
        <f aca="false">'Revenues &amp; Expenses'!$AM$5*1000*'Revenues &amp; Expenses'!O38</f>
        <v>2.14725939657166</v>
      </c>
      <c r="S30" s="204" t="n">
        <f aca="false">IF(M30&gt;N30,1,0)</f>
        <v>1</v>
      </c>
      <c r="T30" s="204" t="n">
        <f aca="false">'Revenues &amp; Expenses'!$S$3</f>
        <v>310.66</v>
      </c>
      <c r="U30" s="212" t="n">
        <f aca="false">T30*'Revenues &amp; Expenses'!F38*4</f>
        <v>27338.08</v>
      </c>
      <c r="W30" s="212" t="n">
        <f aca="false">IF(S30&gt;0,(M30-N30)*U30,0)</f>
        <v>957974.630528587</v>
      </c>
    </row>
    <row r="31" customFormat="false" ht="12.75" hidden="false" customHeight="false" outlineLevel="0" collapsed="false">
      <c r="B31" s="240" t="n">
        <v>37500</v>
      </c>
      <c r="C31" s="218" t="n">
        <f aca="false">VLOOKUP(B31,'Company Gas Prices'!$B$25:$C$259,2)</f>
        <v>3.81770833</v>
      </c>
      <c r="D31" s="180" t="n">
        <f aca="false">VLOOKUP(B31,'Fuel Curve'!$B$7:$F$268,5)</f>
        <v>4.72724137931035</v>
      </c>
      <c r="E31" s="180" t="n">
        <f aca="false">D31-C31</f>
        <v>0.909533049310345</v>
      </c>
      <c r="G31" s="240" t="n">
        <v>37500</v>
      </c>
      <c r="H31" s="180" t="n">
        <f aca="false">VLOOKUP(G31,'Company Power Prices'!$B$25:$C$259,2)</f>
        <v>58.100821</v>
      </c>
      <c r="I31" s="180" t="n">
        <f aca="false">VLOOKUP(G31,'Super Peak Curve Simulation'!$B$4:$C$225,2)</f>
        <v>37.9152684112667</v>
      </c>
      <c r="J31" s="259" t="n">
        <f aca="false">I31-H31</f>
        <v>-20.1855525887333</v>
      </c>
      <c r="L31" s="240" t="n">
        <v>37500</v>
      </c>
      <c r="M31" s="180" t="n">
        <f aca="false">IF($L$1=1,VLOOKUP(L31,'Super Peak Curve Simulation'!$B$7:$N$225,12),VLOOKUP(L31,'PJM Curve Simulation'!$B$9:$J$246,9))</f>
        <v>32.8249984741211</v>
      </c>
      <c r="N31" s="180" t="n">
        <f aca="false">P31+Q31</f>
        <v>47.4342771263283</v>
      </c>
      <c r="P31" s="180" t="n">
        <f aca="false">IF($L$1=1,VLOOKUP(L31,'Fuel Curve'!$B$7:$H$246,7),VLOOKUP(L31,'Revenues &amp; Expenses'!$K$9:$S$246,9))</f>
        <v>45.2822451724138</v>
      </c>
      <c r="Q31" s="180" t="n">
        <f aca="false">'Revenues &amp; Expenses'!$AM$5*1000*'Revenues &amp; Expenses'!O39</f>
        <v>2.15203195391455</v>
      </c>
      <c r="S31" s="204" t="n">
        <f aca="false">IF(M31&gt;N31,1,0)</f>
        <v>0</v>
      </c>
      <c r="T31" s="204" t="n">
        <f aca="false">'Revenues &amp; Expenses'!$S$3</f>
        <v>310.66</v>
      </c>
      <c r="U31" s="212" t="n">
        <f aca="false">T31*'Revenues &amp; Expenses'!F39*4</f>
        <v>26095.44</v>
      </c>
      <c r="W31" s="212" t="n">
        <f aca="false">IF(S31&gt;0,(M31-N31)*U31,0)</f>
        <v>0</v>
      </c>
    </row>
    <row r="32" customFormat="false" ht="12.75" hidden="false" customHeight="false" outlineLevel="0" collapsed="false">
      <c r="B32" s="240" t="n">
        <v>37530</v>
      </c>
      <c r="C32" s="218" t="n">
        <f aca="false">VLOOKUP(B32,'Company Gas Prices'!$B$25:$C$259,2)</f>
        <v>3.778125</v>
      </c>
      <c r="D32" s="180" t="n">
        <f aca="false">VLOOKUP(B32,'Fuel Curve'!$B$7:$F$268,5)</f>
        <v>4.80396551724138</v>
      </c>
      <c r="E32" s="180" t="n">
        <f aca="false">D32-C32</f>
        <v>1.02584051724138</v>
      </c>
      <c r="G32" s="240" t="n">
        <v>37530</v>
      </c>
      <c r="H32" s="180" t="n">
        <f aca="false">VLOOKUP(G32,'Company Power Prices'!$B$25:$C$259,2)</f>
        <v>46.57747048</v>
      </c>
      <c r="I32" s="180" t="n">
        <f aca="false">VLOOKUP(G32,'Super Peak Curve Simulation'!$B$4:$C$225,2)</f>
        <v>31.100844823122</v>
      </c>
      <c r="J32" s="259" t="n">
        <f aca="false">I32-H32</f>
        <v>-15.476625656878</v>
      </c>
      <c r="L32" s="240" t="n">
        <v>37530</v>
      </c>
      <c r="M32" s="180" t="n">
        <f aca="false">IF($L$1=1,VLOOKUP(L32,'Super Peak Curve Simulation'!$B$7:$N$225,12),VLOOKUP(L32,'PJM Curve Simulation'!$B$9:$J$246,9))</f>
        <v>26.4750003814697</v>
      </c>
      <c r="N32" s="180" t="n">
        <f aca="false">P32+Q32</f>
        <v>48.1740008085288</v>
      </c>
      <c r="P32" s="180" t="n">
        <f aca="false">IF($L$1=1,VLOOKUP(L32,'Fuel Curve'!$B$7:$H$246,7),VLOOKUP(L32,'Revenues &amp; Expenses'!$K$9:$S$246,9))</f>
        <v>46.0171856896552</v>
      </c>
      <c r="Q32" s="180" t="n">
        <f aca="false">'Revenues &amp; Expenses'!$AM$5*1000*'Revenues &amp; Expenses'!O40</f>
        <v>2.15681511887365</v>
      </c>
      <c r="S32" s="204" t="n">
        <f aca="false">IF(M32&gt;N32,1,0)</f>
        <v>0</v>
      </c>
      <c r="T32" s="204" t="n">
        <f aca="false">'Revenues &amp; Expenses'!$S$3</f>
        <v>310.66</v>
      </c>
      <c r="U32" s="212" t="n">
        <f aca="false">T32*'Revenues &amp; Expenses'!F40*4</f>
        <v>28580.72</v>
      </c>
      <c r="W32" s="212" t="n">
        <f aca="false">IF(S32&gt;0,(M32-N32)*U32,0)</f>
        <v>0</v>
      </c>
    </row>
    <row r="33" customFormat="false" ht="12.75" hidden="false" customHeight="false" outlineLevel="0" collapsed="false">
      <c r="B33" s="240" t="n">
        <v>37561</v>
      </c>
      <c r="C33" s="218" t="n">
        <f aca="false">VLOOKUP(B33,'Company Gas Prices'!$B$25:$C$259,2)</f>
        <v>3.778125</v>
      </c>
      <c r="D33" s="180" t="n">
        <f aca="false">VLOOKUP(B33,'Fuel Curve'!$B$7:$F$268,5)</f>
        <v>4.87844827586207</v>
      </c>
      <c r="E33" s="180" t="n">
        <f aca="false">D33-C33</f>
        <v>1.10032327586207</v>
      </c>
      <c r="G33" s="240" t="n">
        <v>37561</v>
      </c>
      <c r="H33" s="180" t="n">
        <f aca="false">VLOOKUP(G33,'Company Power Prices'!$B$25:$C$259,2)</f>
        <v>49.84281374</v>
      </c>
      <c r="I33" s="180" t="n">
        <f aca="false">VLOOKUP(G33,'Super Peak Curve Simulation'!$B$4:$C$225,2)</f>
        <v>31.1370955972672</v>
      </c>
      <c r="J33" s="259" t="n">
        <f aca="false">I33-H33</f>
        <v>-18.7057181427328</v>
      </c>
      <c r="L33" s="240" t="n">
        <v>37561</v>
      </c>
      <c r="M33" s="180" t="n">
        <f aca="false">IF($L$1=1,VLOOKUP(L33,'Super Peak Curve Simulation'!$B$7:$N$225,12),VLOOKUP(L33,'PJM Curve Simulation'!$B$9:$J$246,9))</f>
        <v>26.1474990844727</v>
      </c>
      <c r="N33" s="180" t="n">
        <f aca="false">P33+Q33</f>
        <v>48.8922649495085</v>
      </c>
      <c r="P33" s="180" t="n">
        <f aca="false">IF($L$1=1,VLOOKUP(L33,'Fuel Curve'!$B$7:$H$246,7),VLOOKUP(L33,'Revenues &amp; Expenses'!$K$9:$S$246,9))</f>
        <v>46.7306560344828</v>
      </c>
      <c r="Q33" s="180" t="n">
        <f aca="false">'Revenues &amp; Expenses'!$AM$5*1000*'Revenues &amp; Expenses'!O41</f>
        <v>2.16160891502574</v>
      </c>
      <c r="S33" s="204" t="n">
        <f aca="false">IF(M33&gt;N33,1,0)</f>
        <v>0</v>
      </c>
      <c r="T33" s="204" t="n">
        <f aca="false">'Revenues &amp; Expenses'!$S$3</f>
        <v>310.66</v>
      </c>
      <c r="U33" s="212" t="n">
        <f aca="false">T33*'Revenues &amp; Expenses'!F41*4</f>
        <v>26095.44</v>
      </c>
      <c r="W33" s="212" t="n">
        <f aca="false">IF(S33&gt;0,(M33-N33)*U33,0)</f>
        <v>0</v>
      </c>
    </row>
    <row r="34" customFormat="false" ht="12.75" hidden="false" customHeight="false" outlineLevel="0" collapsed="false">
      <c r="B34" s="240" t="n">
        <v>37591</v>
      </c>
      <c r="C34" s="218" t="n">
        <f aca="false">VLOOKUP(B34,'Company Gas Prices'!$B$25:$C$259,2)</f>
        <v>3.778125</v>
      </c>
      <c r="D34" s="180" t="n">
        <f aca="false">VLOOKUP(B34,'Fuel Curve'!$B$7:$F$268,5)</f>
        <v>4.90965517241379</v>
      </c>
      <c r="E34" s="180" t="n">
        <f aca="false">D34-C34</f>
        <v>1.13153017241379</v>
      </c>
      <c r="G34" s="240" t="n">
        <v>37591</v>
      </c>
      <c r="H34" s="180" t="n">
        <f aca="false">VLOOKUP(G34,'Company Power Prices'!$B$25:$C$259,2)</f>
        <v>49.84281374</v>
      </c>
      <c r="I34" s="180" t="n">
        <f aca="false">VLOOKUP(G34,'Super Peak Curve Simulation'!$B$4:$C$225,2)</f>
        <v>33.6463920791759</v>
      </c>
      <c r="J34" s="259" t="n">
        <f aca="false">I34-H34</f>
        <v>-16.1964216608241</v>
      </c>
      <c r="L34" s="240" t="n">
        <v>37591</v>
      </c>
      <c r="M34" s="180" t="n">
        <f aca="false">IF($L$1=1,VLOOKUP(L34,'Super Peak Curve Simulation'!$B$7:$N$225,12),VLOOKUP(L34,'PJM Curve Simulation'!$B$9:$J$246,9))</f>
        <v>27.8999996185303</v>
      </c>
      <c r="N34" s="180" t="n">
        <f aca="false">P34+Q34</f>
        <v>49.1960002625517</v>
      </c>
      <c r="P34" s="180" t="n">
        <f aca="false">IF($L$1=1,VLOOKUP(L34,'Fuel Curve'!$B$7:$H$246,7),VLOOKUP(L34,'Revenues &amp; Expenses'!$K$9:$S$246,9))</f>
        <v>47.0295868965517</v>
      </c>
      <c r="Q34" s="180" t="n">
        <f aca="false">'Revenues &amp; Expenses'!$AM$5*1000*'Revenues &amp; Expenses'!O42</f>
        <v>2.166413366</v>
      </c>
      <c r="S34" s="204" t="n">
        <f aca="false">IF(M34&gt;N34,1,0)</f>
        <v>0</v>
      </c>
      <c r="T34" s="204" t="n">
        <f aca="false">'Revenues &amp; Expenses'!$S$3</f>
        <v>310.66</v>
      </c>
      <c r="U34" s="212" t="n">
        <f aca="false">T34*'Revenues &amp; Expenses'!F42*4</f>
        <v>27338.08</v>
      </c>
      <c r="W34" s="212" t="n">
        <f aca="false">IF(S34&gt;0,(M34-N34)*U34,0)</f>
        <v>0</v>
      </c>
    </row>
    <row r="35" customFormat="false" ht="12.75" hidden="false" customHeight="false" outlineLevel="0" collapsed="false">
      <c r="B35" s="240" t="n">
        <v>37622</v>
      </c>
      <c r="C35" s="218" t="n">
        <f aca="false">VLOOKUP(B35,'Company Gas Prices'!$B$25:$C$259,2)</f>
        <v>3.83541667</v>
      </c>
      <c r="D35" s="180" t="n">
        <f aca="false">VLOOKUP(B35,'Fuel Curve'!$B$7:$F$268,5)</f>
        <v>4.84155172413793</v>
      </c>
      <c r="E35" s="180" t="n">
        <f aca="false">D35-C35</f>
        <v>1.00613505413793</v>
      </c>
      <c r="G35" s="240" t="n">
        <v>37622</v>
      </c>
      <c r="H35" s="180" t="n">
        <f aca="false">VLOOKUP(G35,'Company Power Prices'!$B$25:$C$259,2)</f>
        <v>48.87163427</v>
      </c>
      <c r="I35" s="180" t="n">
        <f aca="false">VLOOKUP(G35,'Super Peak Curve Simulation'!$B$4:$C$225,2)</f>
        <v>44.5423578715804</v>
      </c>
      <c r="J35" s="259" t="n">
        <f aca="false">I35-H35</f>
        <v>-4.32927639841962</v>
      </c>
      <c r="L35" s="240" t="n">
        <v>37622</v>
      </c>
      <c r="M35" s="180" t="n">
        <f aca="false">IF($L$1=1,VLOOKUP(L35,'Super Peak Curve Simulation'!$B$7:$N$225,12),VLOOKUP(L35,'PJM Curve Simulation'!$B$9:$J$246,9))</f>
        <v>36.3249984741211</v>
      </c>
      <c r="N35" s="180" t="n">
        <f aca="false">P35+Q35</f>
        <v>48.5484524609954</v>
      </c>
      <c r="P35" s="180" t="n">
        <f aca="false">IF($L$1=1,VLOOKUP(L35,'Fuel Curve'!$B$7:$H$246,7),VLOOKUP(L35,'Revenues &amp; Expenses'!$K$9:$S$246,9))</f>
        <v>46.3772239655172</v>
      </c>
      <c r="Q35" s="180" t="n">
        <f aca="false">'Revenues &amp; Expenses'!$AM$5*1000*'Revenues &amp; Expenses'!O43</f>
        <v>2.17122849547813</v>
      </c>
      <c r="S35" s="204" t="n">
        <f aca="false">IF(M35&gt;N35,1,0)</f>
        <v>0</v>
      </c>
      <c r="T35" s="204" t="n">
        <f aca="false">'Revenues &amp; Expenses'!$S$3</f>
        <v>310.66</v>
      </c>
      <c r="U35" s="212" t="n">
        <f aca="false">T35*'Revenues &amp; Expenses'!F43*4</f>
        <v>28580.72</v>
      </c>
      <c r="W35" s="212" t="n">
        <f aca="false">IF(S35&gt;0,(M35-N35)*U35,0)</f>
        <v>0</v>
      </c>
    </row>
    <row r="36" customFormat="false" ht="12.75" hidden="false" customHeight="false" outlineLevel="0" collapsed="false">
      <c r="B36" s="240" t="n">
        <v>37653</v>
      </c>
      <c r="C36" s="218" t="n">
        <f aca="false">VLOOKUP(B36,'Company Gas Prices'!$B$25:$C$259,2)</f>
        <v>3.83541667</v>
      </c>
      <c r="D36" s="180" t="n">
        <f aca="false">VLOOKUP(B36,'Fuel Curve'!$B$7:$F$268,5)</f>
        <v>4.73155172413793</v>
      </c>
      <c r="E36" s="180" t="n">
        <f aca="false">D36-C36</f>
        <v>0.896135054137933</v>
      </c>
      <c r="G36" s="240" t="n">
        <v>37653</v>
      </c>
      <c r="H36" s="180" t="n">
        <f aca="false">VLOOKUP(G36,'Company Power Prices'!$B$25:$C$259,2)</f>
        <v>41.72442</v>
      </c>
      <c r="I36" s="180" t="n">
        <f aca="false">VLOOKUP(G36,'Super Peak Curve Simulation'!$B$4:$C$225,2)</f>
        <v>44.5423578715804</v>
      </c>
      <c r="J36" s="259" t="n">
        <f aca="false">I36-H36</f>
        <v>2.81793787158038</v>
      </c>
      <c r="L36" s="240" t="n">
        <v>37653</v>
      </c>
      <c r="M36" s="180" t="n">
        <f aca="false">IF($L$1=1,VLOOKUP(L36,'Super Peak Curve Simulation'!$B$7:$N$225,12),VLOOKUP(L36,'PJM Curve Simulation'!$B$9:$J$246,9))</f>
        <v>36.3249984741211</v>
      </c>
      <c r="N36" s="180" t="n">
        <f aca="false">P36+Q36</f>
        <v>47.4995882927117</v>
      </c>
      <c r="P36" s="180" t="n">
        <f aca="false">IF($L$1=1,VLOOKUP(L36,'Fuel Curve'!$B$7:$H$246,7),VLOOKUP(L36,'Revenues &amp; Expenses'!$K$9:$S$246,9))</f>
        <v>45.3235339655173</v>
      </c>
      <c r="Q36" s="180" t="n">
        <f aca="false">'Revenues &amp; Expenses'!$AM$5*1000*'Revenues &amp; Expenses'!O44</f>
        <v>2.17605432719447</v>
      </c>
      <c r="S36" s="204" t="n">
        <f aca="false">IF(M36&gt;N36,1,0)</f>
        <v>0</v>
      </c>
      <c r="T36" s="204" t="n">
        <f aca="false">'Revenues &amp; Expenses'!$S$3</f>
        <v>310.66</v>
      </c>
      <c r="U36" s="212" t="n">
        <f aca="false">T36*'Revenues &amp; Expenses'!F44*4</f>
        <v>24852.8</v>
      </c>
      <c r="W36" s="212" t="n">
        <f aca="false">IF(S36&gt;0,(M36-N36)*U36,0)</f>
        <v>0</v>
      </c>
    </row>
    <row r="37" customFormat="false" ht="12.75" hidden="false" customHeight="false" outlineLevel="0" collapsed="false">
      <c r="B37" s="240" t="n">
        <v>37681</v>
      </c>
      <c r="C37" s="218" t="n">
        <f aca="false">VLOOKUP(B37,'Company Gas Prices'!$B$25:$C$259,2)</f>
        <v>3.83541667</v>
      </c>
      <c r="D37" s="180" t="n">
        <f aca="false">VLOOKUP(B37,'Fuel Curve'!$B$7:$F$268,5)</f>
        <v>4.62224137931035</v>
      </c>
      <c r="E37" s="180" t="n">
        <f aca="false">D37-C37</f>
        <v>0.786824709310346</v>
      </c>
      <c r="G37" s="240" t="n">
        <v>37681</v>
      </c>
      <c r="H37" s="180" t="n">
        <f aca="false">VLOOKUP(G37,'Company Power Prices'!$B$25:$C$259,2)</f>
        <v>41.72442</v>
      </c>
      <c r="I37" s="180" t="n">
        <f aca="false">VLOOKUP(G37,'Super Peak Curve Simulation'!$B$4:$C$225,2)</f>
        <v>31.865095927906</v>
      </c>
      <c r="J37" s="259" t="n">
        <f aca="false">I37-H37</f>
        <v>-9.85932407209397</v>
      </c>
      <c r="L37" s="240" t="n">
        <v>37681</v>
      </c>
      <c r="M37" s="180" t="n">
        <f aca="false">IF($L$1=1,VLOOKUP(L37,'Super Peak Curve Simulation'!$B$7:$N$225,12),VLOOKUP(L37,'PJM Curve Simulation'!$B$9:$J$246,9))</f>
        <v>26.2000007629395</v>
      </c>
      <c r="N37" s="180" t="n">
        <f aca="false">P37+Q37</f>
        <v>46.4573410573499</v>
      </c>
      <c r="P37" s="180" t="n">
        <f aca="false">IF($L$1=1,VLOOKUP(L37,'Fuel Curve'!$B$7:$H$246,7),VLOOKUP(L37,'Revenues &amp; Expenses'!$K$9:$S$246,9))</f>
        <v>44.2764501724138</v>
      </c>
      <c r="Q37" s="180" t="n">
        <f aca="false">'Revenues &amp; Expenses'!$AM$5*1000*'Revenues &amp; Expenses'!O45</f>
        <v>2.18089088493609</v>
      </c>
      <c r="S37" s="204" t="n">
        <f aca="false">IF(M37&gt;N37,1,0)</f>
        <v>0</v>
      </c>
      <c r="T37" s="204" t="n">
        <f aca="false">'Revenues &amp; Expenses'!$S$3</f>
        <v>310.66</v>
      </c>
      <c r="U37" s="212" t="n">
        <f aca="false">T37*'Revenues &amp; Expenses'!F45*4</f>
        <v>26095.44</v>
      </c>
      <c r="W37" s="212" t="n">
        <f aca="false">IF(S37&gt;0,(M37-N37)*U37,0)</f>
        <v>0</v>
      </c>
    </row>
    <row r="38" customFormat="false" ht="12.75" hidden="false" customHeight="false" outlineLevel="0" collapsed="false">
      <c r="B38" s="240" t="n">
        <v>37712</v>
      </c>
      <c r="C38" s="218" t="n">
        <f aca="false">VLOOKUP(B38,'Company Gas Prices'!$B$25:$C$259,2)</f>
        <v>3.98020833</v>
      </c>
      <c r="D38" s="180" t="n">
        <f aca="false">VLOOKUP(B38,'Fuel Curve'!$B$7:$F$268,5)</f>
        <v>4.51137931034483</v>
      </c>
      <c r="E38" s="180" t="n">
        <f aca="false">D38-C38</f>
        <v>0.531170980344828</v>
      </c>
      <c r="G38" s="240" t="n">
        <v>37712</v>
      </c>
      <c r="H38" s="180" t="n">
        <f aca="false">VLOOKUP(G38,'Company Power Prices'!$B$25:$C$259,2)</f>
        <v>45.99268799</v>
      </c>
      <c r="I38" s="180" t="n">
        <f aca="false">VLOOKUP(G38,'Super Peak Curve Simulation'!$B$4:$C$225,2)</f>
        <v>29.4650613585082</v>
      </c>
      <c r="J38" s="259" t="n">
        <f aca="false">I38-H38</f>
        <v>-16.5276266314918</v>
      </c>
      <c r="L38" s="240" t="n">
        <v>37712</v>
      </c>
      <c r="M38" s="180" t="n">
        <f aca="false">IF($L$1=1,VLOOKUP(L38,'Super Peak Curve Simulation'!$B$7:$N$225,12),VLOOKUP(L38,'PJM Curve Simulation'!$B$9:$J$246,9))</f>
        <v>25.9750007629395</v>
      </c>
      <c r="N38" s="180" t="n">
        <f aca="false">P38+Q38</f>
        <v>45.4002406063361</v>
      </c>
      <c r="P38" s="180" t="n">
        <f aca="false">IF($L$1=1,VLOOKUP(L38,'Fuel Curve'!$B$7:$H$246,7),VLOOKUP(L38,'Revenues &amp; Expenses'!$K$9:$S$246,9))</f>
        <v>43.2145024137931</v>
      </c>
      <c r="Q38" s="180" t="n">
        <f aca="false">'Revenues &amp; Expenses'!$AM$5*1000*'Revenues &amp; Expenses'!O46</f>
        <v>2.18573819254297</v>
      </c>
      <c r="S38" s="204" t="n">
        <f aca="false">IF(M38&gt;N38,1,0)</f>
        <v>0</v>
      </c>
      <c r="T38" s="204" t="n">
        <f aca="false">'Revenues &amp; Expenses'!$S$3</f>
        <v>310.66</v>
      </c>
      <c r="U38" s="212" t="n">
        <f aca="false">T38*'Revenues &amp; Expenses'!F46*4</f>
        <v>27338.08</v>
      </c>
      <c r="W38" s="212" t="n">
        <f aca="false">IF(S38&gt;0,(M38-N38)*U38,0)</f>
        <v>0</v>
      </c>
    </row>
    <row r="39" customFormat="false" ht="12.75" hidden="false" customHeight="false" outlineLevel="0" collapsed="false">
      <c r="B39" s="240" t="n">
        <v>37742</v>
      </c>
      <c r="C39" s="218" t="n">
        <f aca="false">VLOOKUP(B39,'Company Gas Prices'!$B$25:$C$259,2)</f>
        <v>3.81770833</v>
      </c>
      <c r="D39" s="180" t="n">
        <f aca="false">VLOOKUP(B39,'Fuel Curve'!$B$7:$F$268,5)</f>
        <v>4.43172413793104</v>
      </c>
      <c r="E39" s="180" t="n">
        <f aca="false">D39-C39</f>
        <v>0.614015807931036</v>
      </c>
      <c r="G39" s="240" t="n">
        <v>37742</v>
      </c>
      <c r="H39" s="180" t="n">
        <f aca="false">VLOOKUP(G39,'Company Power Prices'!$B$25:$C$259,2)</f>
        <v>57.46168783</v>
      </c>
      <c r="I39" s="180" t="n">
        <f aca="false">VLOOKUP(G39,'Super Peak Curve Simulation'!$B$4:$C$225,2)</f>
        <v>34.0044846947646</v>
      </c>
      <c r="J39" s="259" t="n">
        <f aca="false">I39-H39</f>
        <v>-23.4572031352354</v>
      </c>
      <c r="L39" s="240" t="n">
        <v>37742</v>
      </c>
      <c r="M39" s="180" t="n">
        <f aca="false">IF($L$1=1,VLOOKUP(L39,'Super Peak Curve Simulation'!$B$7:$N$225,12),VLOOKUP(L39,'PJM Curve Simulation'!$B$9:$J$246,9))</f>
        <v>30.975</v>
      </c>
      <c r="N39" s="180" t="n">
        <f aca="false">P39+Q39</f>
        <v>44.6420817911494</v>
      </c>
      <c r="P39" s="180" t="n">
        <f aca="false">IF($L$1=1,VLOOKUP(L39,'Fuel Curve'!$B$7:$H$246,7),VLOOKUP(L39,'Revenues &amp; Expenses'!$K$9:$S$246,9))</f>
        <v>42.4514855172414</v>
      </c>
      <c r="Q39" s="180" t="n">
        <f aca="false">'Revenues &amp; Expenses'!$AM$5*1000*'Revenues &amp; Expenses'!O47</f>
        <v>2.19059627390803</v>
      </c>
      <c r="S39" s="204" t="n">
        <f aca="false">IF(M39&gt;N39,1,0)</f>
        <v>0</v>
      </c>
      <c r="T39" s="204" t="n">
        <f aca="false">'Revenues &amp; Expenses'!$S$3</f>
        <v>310.66</v>
      </c>
      <c r="U39" s="212" t="n">
        <f aca="false">T39*'Revenues &amp; Expenses'!F47*4</f>
        <v>27338.08</v>
      </c>
      <c r="W39" s="212" t="n">
        <f aca="false">IF(S39&gt;0,(M39-N39)*U39,0)</f>
        <v>0</v>
      </c>
    </row>
    <row r="40" customFormat="false" ht="12.75" hidden="false" customHeight="false" outlineLevel="0" collapsed="false">
      <c r="B40" s="240" t="n">
        <v>37773</v>
      </c>
      <c r="C40" s="218" t="n">
        <f aca="false">VLOOKUP(B40,'Company Gas Prices'!$B$25:$C$259,2)</f>
        <v>3.809375</v>
      </c>
      <c r="D40" s="180" t="n">
        <f aca="false">VLOOKUP(B40,'Fuel Curve'!$B$7:$F$268,5)</f>
        <v>4.415</v>
      </c>
      <c r="E40" s="180" t="n">
        <f aca="false">D40-C40</f>
        <v>0.605625000000001</v>
      </c>
      <c r="G40" s="240" t="n">
        <v>37773</v>
      </c>
      <c r="H40" s="180" t="n">
        <f aca="false">VLOOKUP(G40,'Company Power Prices'!$B$25:$C$259,2)</f>
        <v>105.2136455</v>
      </c>
      <c r="I40" s="180" t="n">
        <f aca="false">VLOOKUP(G40,'Super Peak Curve Simulation'!$B$4:$C$225,2)</f>
        <v>67.9918682676761</v>
      </c>
      <c r="J40" s="259" t="n">
        <f aca="false">I40-H40</f>
        <v>-37.2217772323239</v>
      </c>
      <c r="L40" s="240" t="n">
        <v>37773</v>
      </c>
      <c r="M40" s="180" t="n">
        <f aca="false">IF($L$1=1,VLOOKUP(L40,'Super Peak Curve Simulation'!$B$7:$N$225,12),VLOOKUP(L40,'PJM Curve Simulation'!$B$9:$J$246,9))</f>
        <v>55.0999984741211</v>
      </c>
      <c r="N40" s="180" t="n">
        <f aca="false">P40+Q40</f>
        <v>44.4867501529773</v>
      </c>
      <c r="P40" s="180" t="n">
        <f aca="false">IF($L$1=1,VLOOKUP(L40,'Fuel Curve'!$B$7:$H$246,7),VLOOKUP(L40,'Revenues &amp; Expenses'!$K$9:$S$246,9))</f>
        <v>42.291285</v>
      </c>
      <c r="Q40" s="180" t="n">
        <f aca="false">'Revenues &amp; Expenses'!$AM$5*1000*'Revenues &amp; Expenses'!O48</f>
        <v>2.19546515297734</v>
      </c>
      <c r="S40" s="204" t="n">
        <f aca="false">IF(M40&gt;N40,1,0)</f>
        <v>1</v>
      </c>
      <c r="T40" s="204" t="n">
        <f aca="false">'Revenues &amp; Expenses'!$S$3</f>
        <v>310.66</v>
      </c>
      <c r="U40" s="212" t="n">
        <f aca="false">T40*'Revenues &amp; Expenses'!F48*4</f>
        <v>26095.44</v>
      </c>
      <c r="W40" s="212" t="n">
        <f aca="false">IF(S40&gt;0,(M40-N40)*U40,0)</f>
        <v>276957.384769508</v>
      </c>
    </row>
    <row r="41" customFormat="false" ht="12.75" hidden="false" customHeight="false" outlineLevel="0" collapsed="false">
      <c r="B41" s="240" t="n">
        <v>37803</v>
      </c>
      <c r="C41" s="218" t="n">
        <f aca="false">VLOOKUP(B41,'Company Gas Prices'!$B$25:$C$259,2)</f>
        <v>3.771875</v>
      </c>
      <c r="D41" s="180" t="n">
        <f aca="false">VLOOKUP(B41,'Fuel Curve'!$B$7:$F$268,5)</f>
        <v>4.46068965517241</v>
      </c>
      <c r="E41" s="180" t="n">
        <f aca="false">D41-C41</f>
        <v>0.688814655172414</v>
      </c>
      <c r="G41" s="240" t="n">
        <v>37803</v>
      </c>
      <c r="H41" s="180" t="n">
        <f aca="false">VLOOKUP(G41,'Company Power Prices'!$B$25:$C$259,2)</f>
        <v>165.2013354</v>
      </c>
      <c r="I41" s="180" t="n">
        <f aca="false">VLOOKUP(G41,'Super Peak Curve Simulation'!$B$4:$C$225,2)</f>
        <v>123.690790917236</v>
      </c>
      <c r="J41" s="259" t="n">
        <f aca="false">I41-H41</f>
        <v>-41.5105444827644</v>
      </c>
      <c r="L41" s="240" t="n">
        <v>37803</v>
      </c>
      <c r="M41" s="180" t="n">
        <f aca="false">IF($L$1=1,VLOOKUP(L41,'Super Peak Curve Simulation'!$B$7:$N$225,12),VLOOKUP(L41,'PJM Curve Simulation'!$B$9:$J$246,9))</f>
        <v>94.1999969482422</v>
      </c>
      <c r="N41" s="180" t="n">
        <f aca="false">P41+Q41</f>
        <v>44.9292910606467</v>
      </c>
      <c r="P41" s="180" t="n">
        <f aca="false">IF($L$1=1,VLOOKUP(L41,'Fuel Curve'!$B$7:$H$246,7),VLOOKUP(L41,'Revenues &amp; Expenses'!$K$9:$S$246,9))</f>
        <v>42.7289462068966</v>
      </c>
      <c r="Q41" s="180" t="n">
        <f aca="false">'Revenues &amp; Expenses'!$AM$5*1000*'Revenues &amp; Expenses'!O49</f>
        <v>2.20034485375015</v>
      </c>
      <c r="S41" s="204" t="n">
        <f aca="false">IF(M41&gt;N41,1,0)</f>
        <v>1</v>
      </c>
      <c r="T41" s="204" t="n">
        <f aca="false">'Revenues &amp; Expenses'!$S$3</f>
        <v>310.66</v>
      </c>
      <c r="U41" s="212" t="n">
        <f aca="false">T41*'Revenues &amp; Expenses'!F49*4</f>
        <v>28580.72</v>
      </c>
      <c r="W41" s="212" t="n">
        <f aca="false">IF(S41&gt;0,(M41-N41)*U41,0)</f>
        <v>1408192.24917572</v>
      </c>
    </row>
    <row r="42" customFormat="false" ht="12.75" hidden="false" customHeight="false" outlineLevel="0" collapsed="false">
      <c r="B42" s="240" t="n">
        <v>37834</v>
      </c>
      <c r="C42" s="218" t="n">
        <f aca="false">VLOOKUP(B42,'Company Gas Prices'!$B$25:$C$259,2)</f>
        <v>3.771875</v>
      </c>
      <c r="D42" s="180" t="n">
        <f aca="false">VLOOKUP(B42,'Fuel Curve'!$B$7:$F$268,5)</f>
        <v>4.53896551724138</v>
      </c>
      <c r="E42" s="180" t="n">
        <f aca="false">D42-C42</f>
        <v>0.76709051724138</v>
      </c>
      <c r="G42" s="240" t="n">
        <v>37834</v>
      </c>
      <c r="H42" s="180" t="n">
        <f aca="false">VLOOKUP(G42,'Company Power Prices'!$B$25:$C$259,2)</f>
        <v>165.2013354</v>
      </c>
      <c r="I42" s="180" t="n">
        <f aca="false">VLOOKUP(G42,'Super Peak Curve Simulation'!$B$4:$C$225,2)</f>
        <v>99.6599954101109</v>
      </c>
      <c r="J42" s="259" t="n">
        <f aca="false">I42-H42</f>
        <v>-65.5413399898891</v>
      </c>
      <c r="L42" s="240" t="n">
        <v>37834</v>
      </c>
      <c r="M42" s="180" t="n">
        <f aca="false">IF($L$1=1,VLOOKUP(L42,'Super Peak Curve Simulation'!$B$7:$N$225,12),VLOOKUP(L42,'PJM Curve Simulation'!$B$9:$J$246,9))</f>
        <v>81.1999969482422</v>
      </c>
      <c r="N42" s="180" t="n">
        <f aca="false">P42+Q42</f>
        <v>45.6839860899343</v>
      </c>
      <c r="P42" s="180" t="n">
        <f aca="false">IF($L$1=1,VLOOKUP(L42,'Fuel Curve'!$B$7:$H$246,7),VLOOKUP(L42,'Revenues &amp; Expenses'!$K$9:$S$246,9))</f>
        <v>43.4787506896552</v>
      </c>
      <c r="Q42" s="180" t="n">
        <f aca="false">'Revenues &amp; Expenses'!$AM$5*1000*'Revenues &amp; Expenses'!O50</f>
        <v>2.2052354002791</v>
      </c>
      <c r="S42" s="204" t="n">
        <f aca="false">IF(M42&gt;N42,1,0)</f>
        <v>1</v>
      </c>
      <c r="T42" s="204" t="n">
        <f aca="false">'Revenues &amp; Expenses'!$S$3</f>
        <v>310.66</v>
      </c>
      <c r="U42" s="212" t="n">
        <f aca="false">T42*'Revenues &amp; Expenses'!F50*4</f>
        <v>26095.44</v>
      </c>
      <c r="W42" s="212" t="n">
        <f aca="false">IF(S42&gt;0,(M42-N42)*U42,0)</f>
        <v>926805.930392323</v>
      </c>
    </row>
    <row r="43" customFormat="false" ht="12.75" hidden="false" customHeight="false" outlineLevel="0" collapsed="false">
      <c r="B43" s="240" t="n">
        <v>37865</v>
      </c>
      <c r="C43" s="218" t="n">
        <f aca="false">VLOOKUP(B43,'Company Gas Prices'!$B$25:$C$259,2)</f>
        <v>3.81770833</v>
      </c>
      <c r="D43" s="180" t="n">
        <f aca="false">VLOOKUP(B43,'Fuel Curve'!$B$7:$F$268,5)</f>
        <v>4.62362068965517</v>
      </c>
      <c r="E43" s="180" t="n">
        <f aca="false">D43-C43</f>
        <v>0.805912359655173</v>
      </c>
      <c r="G43" s="240" t="n">
        <v>37865</v>
      </c>
      <c r="H43" s="180" t="n">
        <f aca="false">VLOOKUP(G43,'Company Power Prices'!$B$25:$C$259,2)</f>
        <v>57.46168783</v>
      </c>
      <c r="I43" s="180" t="n">
        <f aca="false">VLOOKUP(G43,'Super Peak Curve Simulation'!$B$4:$C$225,2)</f>
        <v>38.2040366532604</v>
      </c>
      <c r="J43" s="259" t="n">
        <f aca="false">I43-H43</f>
        <v>-19.2576511767396</v>
      </c>
      <c r="L43" s="240" t="n">
        <v>37865</v>
      </c>
      <c r="M43" s="180" t="n">
        <f aca="false">IF($L$1=1,VLOOKUP(L43,'Super Peak Curve Simulation'!$B$7:$N$225,12),VLOOKUP(L43,'PJM Curve Simulation'!$B$9:$J$246,9))</f>
        <v>33.0749984741211</v>
      </c>
      <c r="N43" s="180" t="n">
        <f aca="false">P43+Q43</f>
        <v>46.4997994028771</v>
      </c>
      <c r="P43" s="180" t="n">
        <f aca="false">IF($L$1=1,VLOOKUP(L43,'Fuel Curve'!$B$7:$H$246,7),VLOOKUP(L43,'Revenues &amp; Expenses'!$K$9:$S$246,9))</f>
        <v>44.2896625862069</v>
      </c>
      <c r="Q43" s="180" t="n">
        <f aca="false">'Revenues &amp; Expenses'!$AM$5*1000*'Revenues &amp; Expenses'!O51</f>
        <v>2.21013681667024</v>
      </c>
      <c r="S43" s="204" t="n">
        <f aca="false">IF(M43&gt;N43,1,0)</f>
        <v>0</v>
      </c>
      <c r="T43" s="204" t="n">
        <f aca="false">'Revenues &amp; Expenses'!$S$3</f>
        <v>310.66</v>
      </c>
      <c r="U43" s="212" t="n">
        <f aca="false">T43*'Revenues &amp; Expenses'!F51*4</f>
        <v>27338.08</v>
      </c>
      <c r="W43" s="212" t="n">
        <f aca="false">IF(S43&gt;0,(M43-N43)*U43,0)</f>
        <v>0</v>
      </c>
    </row>
    <row r="44" customFormat="false" ht="12.75" hidden="false" customHeight="false" outlineLevel="0" collapsed="false">
      <c r="B44" s="240" t="n">
        <v>37895</v>
      </c>
      <c r="C44" s="218" t="n">
        <f aca="false">VLOOKUP(B44,'Company Gas Prices'!$B$25:$C$259,2)</f>
        <v>3.778125</v>
      </c>
      <c r="D44" s="180" t="n">
        <f aca="false">VLOOKUP(B44,'Fuel Curve'!$B$7:$F$268,5)</f>
        <v>4.70396551724138</v>
      </c>
      <c r="E44" s="180" t="n">
        <f aca="false">D44-C44</f>
        <v>0.92584051724138</v>
      </c>
      <c r="G44" s="240" t="n">
        <v>37895</v>
      </c>
      <c r="H44" s="180" t="n">
        <f aca="false">VLOOKUP(G44,'Company Power Prices'!$B$25:$C$259,2)</f>
        <v>47.03145934</v>
      </c>
      <c r="I44" s="180" t="n">
        <f aca="false">VLOOKUP(G44,'Super Peak Curve Simulation'!$B$4:$C$225,2)</f>
        <v>31.394526073122</v>
      </c>
      <c r="J44" s="259" t="n">
        <f aca="false">I44-H44</f>
        <v>-15.636933266878</v>
      </c>
      <c r="L44" s="240" t="n">
        <v>37895</v>
      </c>
      <c r="M44" s="180" t="n">
        <f aca="false">IF($L$1=1,VLOOKUP(L44,'Super Peak Curve Simulation'!$B$7:$N$225,12),VLOOKUP(L44,'PJM Curve Simulation'!$B$9:$J$246,9))</f>
        <v>26.7250003814697</v>
      </c>
      <c r="N44" s="180" t="n">
        <f aca="false">P44+Q44</f>
        <v>47.2743348167384</v>
      </c>
      <c r="P44" s="180" t="n">
        <f aca="false">IF($L$1=1,VLOOKUP(L44,'Fuel Curve'!$B$7:$H$246,7),VLOOKUP(L44,'Revenues &amp; Expenses'!$K$9:$S$246,9))</f>
        <v>45.0592856896552</v>
      </c>
      <c r="Q44" s="180" t="n">
        <f aca="false">'Revenues &amp; Expenses'!$AM$5*1000*'Revenues &amp; Expenses'!O52</f>
        <v>2.21504912708324</v>
      </c>
      <c r="S44" s="204" t="n">
        <f aca="false">IF(M44&gt;N44,1,0)</f>
        <v>0</v>
      </c>
      <c r="T44" s="204" t="n">
        <f aca="false">'Revenues &amp; Expenses'!$S$3</f>
        <v>310.66</v>
      </c>
      <c r="U44" s="212" t="n">
        <f aca="false">T44*'Revenues &amp; Expenses'!F52*4</f>
        <v>28580.72</v>
      </c>
      <c r="W44" s="212" t="n">
        <f aca="false">IF(S44&gt;0,(M44-N44)*U44,0)</f>
        <v>0</v>
      </c>
    </row>
    <row r="45" customFormat="false" ht="12.75" hidden="false" customHeight="false" outlineLevel="0" collapsed="false">
      <c r="B45" s="240" t="n">
        <v>37926</v>
      </c>
      <c r="C45" s="218" t="n">
        <f aca="false">VLOOKUP(B45,'Company Gas Prices'!$B$25:$C$259,2)</f>
        <v>3.778125</v>
      </c>
      <c r="D45" s="180" t="n">
        <f aca="false">VLOOKUP(B45,'Fuel Curve'!$B$7:$F$268,5)</f>
        <v>4.78362068965517</v>
      </c>
      <c r="E45" s="180" t="n">
        <f aca="false">D45-C45</f>
        <v>1.00549568965517</v>
      </c>
      <c r="G45" s="240" t="n">
        <v>37926</v>
      </c>
      <c r="H45" s="180" t="n">
        <f aca="false">VLOOKUP(G45,'Company Power Prices'!$B$25:$C$259,2)</f>
        <v>50.00419986</v>
      </c>
      <c r="I45" s="180" t="n">
        <f aca="false">VLOOKUP(G45,'Super Peak Curve Simulation'!$B$4:$C$225,2)</f>
        <v>31.4348018472672</v>
      </c>
      <c r="J45" s="259" t="n">
        <f aca="false">I45-H45</f>
        <v>-18.5693980127328</v>
      </c>
      <c r="L45" s="240" t="n">
        <v>37926</v>
      </c>
      <c r="M45" s="180" t="n">
        <f aca="false">IF($L$1=1,VLOOKUP(L45,'Super Peak Curve Simulation'!$B$7:$N$225,12),VLOOKUP(L45,'PJM Curve Simulation'!$B$9:$J$246,9))</f>
        <v>26.3974990844727</v>
      </c>
      <c r="N45" s="180" t="n">
        <f aca="false">P45+Q45</f>
        <v>48.0422749419383</v>
      </c>
      <c r="P45" s="180" t="n">
        <f aca="false">IF($L$1=1,VLOOKUP(L45,'Fuel Curve'!$B$7:$H$246,7),VLOOKUP(L45,'Revenues &amp; Expenses'!$K$9:$S$246,9))</f>
        <v>45.8223025862069</v>
      </c>
      <c r="Q45" s="180" t="n">
        <f aca="false">'Revenues &amp; Expenses'!$AM$5*1000*'Revenues &amp; Expenses'!O53</f>
        <v>2.21997235573143</v>
      </c>
      <c r="S45" s="204" t="n">
        <f aca="false">IF(M45&gt;N45,1,0)</f>
        <v>0</v>
      </c>
      <c r="T45" s="204" t="n">
        <f aca="false">'Revenues &amp; Expenses'!$S$3</f>
        <v>310.66</v>
      </c>
      <c r="U45" s="212" t="n">
        <f aca="false">T45*'Revenues &amp; Expenses'!F53*4</f>
        <v>24852.8</v>
      </c>
      <c r="W45" s="212" t="n">
        <f aca="false">IF(S45&gt;0,(M45-N45)*U45,0)</f>
        <v>0</v>
      </c>
    </row>
    <row r="46" customFormat="false" ht="12.75" hidden="false" customHeight="false" outlineLevel="0" collapsed="false">
      <c r="B46" s="240" t="n">
        <v>37956</v>
      </c>
      <c r="C46" s="218" t="n">
        <f aca="false">VLOOKUP(B46,'Company Gas Prices'!$B$25:$C$259,2)</f>
        <v>3.778125</v>
      </c>
      <c r="D46" s="180" t="n">
        <f aca="false">VLOOKUP(B46,'Fuel Curve'!$B$7:$F$268,5)</f>
        <v>4.82051724137931</v>
      </c>
      <c r="E46" s="180" t="n">
        <f aca="false">D46-C46</f>
        <v>1.04239224137931</v>
      </c>
      <c r="G46" s="240" t="n">
        <v>37956</v>
      </c>
      <c r="H46" s="180" t="n">
        <f aca="false">VLOOKUP(G46,'Company Power Prices'!$B$25:$C$259,2)</f>
        <v>50.00419986</v>
      </c>
      <c r="I46" s="180" t="n">
        <f aca="false">VLOOKUP(G46,'Super Peak Curve Simulation'!$B$4:$C$225,2)</f>
        <v>33.9478830517495</v>
      </c>
      <c r="J46" s="259" t="n">
        <f aca="false">I46-H46</f>
        <v>-16.0563168082505</v>
      </c>
      <c r="L46" s="240" t="n">
        <v>37956</v>
      </c>
      <c r="M46" s="180" t="n">
        <f aca="false">IF($L$1=1,VLOOKUP(L46,'Super Peak Curve Simulation'!$B$7:$N$225,12),VLOOKUP(L46,'PJM Curve Simulation'!$B$9:$J$246,9))</f>
        <v>28.1499996185303</v>
      </c>
      <c r="N46" s="180" t="n">
        <f aca="false">P46+Q46</f>
        <v>48.4006411820544</v>
      </c>
      <c r="P46" s="180" t="n">
        <f aca="false">IF($L$1=1,VLOOKUP(L46,'Fuel Curve'!$B$7:$H$246,7),VLOOKUP(L46,'Revenues &amp; Expenses'!$K$9:$S$246,9))</f>
        <v>46.1757346551724</v>
      </c>
      <c r="Q46" s="180" t="n">
        <f aca="false">'Revenues &amp; Expenses'!$AM$5*1000*'Revenues &amp; Expenses'!O54</f>
        <v>2.224906526882</v>
      </c>
      <c r="S46" s="204" t="n">
        <f aca="false">IF(M46&gt;N46,1,0)</f>
        <v>0</v>
      </c>
      <c r="T46" s="204" t="n">
        <f aca="false">'Revenues &amp; Expenses'!$S$3</f>
        <v>310.66</v>
      </c>
      <c r="U46" s="212" t="n">
        <f aca="false">T46*'Revenues &amp; Expenses'!F54*4</f>
        <v>28580.72</v>
      </c>
      <c r="W46" s="212" t="n">
        <f aca="false">IF(S46&gt;0,(M46-N46)*U46,0)</f>
        <v>0</v>
      </c>
    </row>
    <row r="47" customFormat="false" ht="12.75" hidden="false" customHeight="false" outlineLevel="0" collapsed="false">
      <c r="B47" s="240" t="n">
        <v>37987</v>
      </c>
      <c r="C47" s="218" t="n">
        <f aca="false">VLOOKUP(B47,'Company Gas Prices'!$B$25:$C$259,2)</f>
        <v>3.83541667</v>
      </c>
      <c r="D47" s="180" t="n">
        <f aca="false">VLOOKUP(B47,'Fuel Curve'!$B$7:$F$268,5)</f>
        <v>4.75827586206897</v>
      </c>
      <c r="E47" s="180" t="n">
        <f aca="false">D47-C47</f>
        <v>0.922859192068966</v>
      </c>
      <c r="G47" s="240" t="n">
        <v>37987</v>
      </c>
      <c r="H47" s="180" t="n">
        <f aca="false">VLOOKUP(G47,'Company Power Prices'!$B$25:$C$259,2)</f>
        <v>48.11429676</v>
      </c>
      <c r="I47" s="180" t="n">
        <f aca="false">VLOOKUP(G47,'Super Peak Curve Simulation'!$B$4:$C$225,2)</f>
        <v>45.155466746221</v>
      </c>
      <c r="J47" s="259" t="n">
        <f aca="false">I47-H47</f>
        <v>-2.95883001377901</v>
      </c>
      <c r="L47" s="240" t="n">
        <v>37987</v>
      </c>
      <c r="M47" s="180" t="n">
        <f aca="false">IF($L$1=1,VLOOKUP(L47,'Super Peak Curve Simulation'!$B$7:$N$225,12),VLOOKUP(L47,'PJM Curve Simulation'!$B$9:$J$246,9))</f>
        <v>36.8249984741211</v>
      </c>
      <c r="N47" s="180" t="n">
        <f aca="false">P47+Q47</f>
        <v>47.8093761476147</v>
      </c>
      <c r="P47" s="180" t="n">
        <f aca="false">IF($L$1=1,VLOOKUP(L47,'Fuel Curve'!$B$7:$H$246,7),VLOOKUP(L47,'Revenues &amp; Expenses'!$K$9:$S$246,9))</f>
        <v>45.5795244827586</v>
      </c>
      <c r="Q47" s="180" t="n">
        <f aca="false">'Revenues &amp; Expenses'!$AM$5*1000*'Revenues &amp; Expenses'!O55</f>
        <v>2.22985166485604</v>
      </c>
      <c r="S47" s="204" t="n">
        <f aca="false">IF(M47&gt;N47,1,0)</f>
        <v>0</v>
      </c>
      <c r="T47" s="204" t="n">
        <f aca="false">'Revenues &amp; Expenses'!$S$3</f>
        <v>310.66</v>
      </c>
      <c r="U47" s="212" t="n">
        <f aca="false">T47*'Revenues &amp; Expenses'!F55*4</f>
        <v>27338.08</v>
      </c>
      <c r="W47" s="212" t="n">
        <f aca="false">IF(S47&gt;0,(M47-N47)*U47,0)</f>
        <v>0</v>
      </c>
    </row>
    <row r="48" customFormat="false" ht="12.75" hidden="false" customHeight="false" outlineLevel="0" collapsed="false">
      <c r="B48" s="240" t="n">
        <v>38018</v>
      </c>
      <c r="C48" s="218" t="n">
        <f aca="false">VLOOKUP(B48,'Company Gas Prices'!$B$25:$C$259,2)</f>
        <v>3.83541667</v>
      </c>
      <c r="D48" s="180" t="n">
        <f aca="false">VLOOKUP(B48,'Fuel Curve'!$B$7:$F$268,5)</f>
        <v>4.65396551724138</v>
      </c>
      <c r="E48" s="180" t="n">
        <f aca="false">D48-C48</f>
        <v>0.818548847241381</v>
      </c>
      <c r="G48" s="240" t="n">
        <v>38018</v>
      </c>
      <c r="H48" s="180" t="n">
        <f aca="false">VLOOKUP(G48,'Company Power Prices'!$B$25:$C$259,2)</f>
        <v>41.79097117</v>
      </c>
      <c r="I48" s="180" t="n">
        <f aca="false">VLOOKUP(G48,'Super Peak Curve Simulation'!$B$4:$C$225,2)</f>
        <v>45.155466746221</v>
      </c>
      <c r="J48" s="259" t="n">
        <f aca="false">I48-H48</f>
        <v>3.364495576221</v>
      </c>
      <c r="L48" s="240" t="n">
        <v>38018</v>
      </c>
      <c r="M48" s="180" t="n">
        <f aca="false">IF($L$1=1,VLOOKUP(L48,'Super Peak Curve Simulation'!$B$7:$N$225,12),VLOOKUP(L48,'PJM Curve Simulation'!$B$9:$J$246,9))</f>
        <v>36.8249984741211</v>
      </c>
      <c r="N48" s="180" t="n">
        <f aca="false">P48+Q48</f>
        <v>46.8151434836839</v>
      </c>
      <c r="P48" s="180" t="n">
        <f aca="false">IF($L$1=1,VLOOKUP(L48,'Fuel Curve'!$B$7:$H$246,7),VLOOKUP(L48,'Revenues &amp; Expenses'!$K$9:$S$246,9))</f>
        <v>44.5803356896552</v>
      </c>
      <c r="Q48" s="180" t="n">
        <f aca="false">'Revenues &amp; Expenses'!$AM$5*1000*'Revenues &amp; Expenses'!O56</f>
        <v>2.23480779402872</v>
      </c>
      <c r="S48" s="204" t="n">
        <f aca="false">IF(M48&gt;N48,1,0)</f>
        <v>0</v>
      </c>
      <c r="T48" s="204" t="n">
        <f aca="false">'Revenues &amp; Expenses'!$S$3</f>
        <v>310.66</v>
      </c>
      <c r="U48" s="212" t="n">
        <f aca="false">T48*'Revenues &amp; Expenses'!F56*4</f>
        <v>24852.8</v>
      </c>
      <c r="W48" s="212" t="n">
        <f aca="false">IF(S48&gt;0,(M48-N48)*U48,0)</f>
        <v>0</v>
      </c>
    </row>
    <row r="49" customFormat="false" ht="12.75" hidden="false" customHeight="false" outlineLevel="0" collapsed="false">
      <c r="B49" s="240" t="n">
        <v>38047</v>
      </c>
      <c r="C49" s="218" t="n">
        <f aca="false">VLOOKUP(B49,'Company Gas Prices'!$B$25:$C$259,2)</f>
        <v>3.83541667</v>
      </c>
      <c r="D49" s="180" t="n">
        <f aca="false">VLOOKUP(B49,'Fuel Curve'!$B$7:$F$268,5)</f>
        <v>4.55051724137931</v>
      </c>
      <c r="E49" s="180" t="n">
        <f aca="false">D49-C49</f>
        <v>0.715100571379312</v>
      </c>
      <c r="G49" s="240" t="n">
        <v>38047</v>
      </c>
      <c r="H49" s="180" t="n">
        <f aca="false">VLOOKUP(G49,'Company Power Prices'!$B$25:$C$259,2)</f>
        <v>41.79097117</v>
      </c>
      <c r="I49" s="180" t="n">
        <f aca="false">VLOOKUP(G49,'Super Peak Curve Simulation'!$B$4:$C$225,2)</f>
        <v>32.290774677906</v>
      </c>
      <c r="J49" s="259" t="n">
        <f aca="false">I49-H49</f>
        <v>-9.50019649209396</v>
      </c>
      <c r="L49" s="240" t="n">
        <v>38047</v>
      </c>
      <c r="M49" s="180" t="n">
        <f aca="false">IF($L$1=1,VLOOKUP(L49,'Super Peak Curve Simulation'!$B$7:$N$225,12),VLOOKUP(L49,'PJM Curve Simulation'!$B$9:$J$246,9))</f>
        <v>26.5500007629395</v>
      </c>
      <c r="N49" s="180" t="n">
        <f aca="false">P49+Q49</f>
        <v>45.8291795940018</v>
      </c>
      <c r="P49" s="180" t="n">
        <f aca="false">IF($L$1=1,VLOOKUP(L49,'Fuel Curve'!$B$7:$H$246,7),VLOOKUP(L49,'Revenues &amp; Expenses'!$K$9:$S$246,9))</f>
        <v>43.5894046551724</v>
      </c>
      <c r="Q49" s="180" t="n">
        <f aca="false">'Revenues &amp; Expenses'!$AM$5*1000*'Revenues &amp; Expenses'!O57</f>
        <v>2.23977493882937</v>
      </c>
      <c r="S49" s="204" t="n">
        <f aca="false">IF(M49&gt;N49,1,0)</f>
        <v>0</v>
      </c>
      <c r="T49" s="204" t="n">
        <f aca="false">'Revenues &amp; Expenses'!$S$3</f>
        <v>310.66</v>
      </c>
      <c r="U49" s="212" t="n">
        <f aca="false">T49*'Revenues &amp; Expenses'!F57*4</f>
        <v>28580.72</v>
      </c>
      <c r="W49" s="212" t="n">
        <f aca="false">IF(S49&gt;0,(M49-N49)*U49,0)</f>
        <v>0</v>
      </c>
    </row>
    <row r="50" customFormat="false" ht="12.75" hidden="false" customHeight="false" outlineLevel="0" collapsed="false">
      <c r="B50" s="240" t="n">
        <v>38078</v>
      </c>
      <c r="C50" s="218" t="n">
        <f aca="false">VLOOKUP(B50,'Company Gas Prices'!$B$25:$C$259,2)</f>
        <v>3.98020833</v>
      </c>
      <c r="D50" s="180" t="n">
        <f aca="false">VLOOKUP(B50,'Fuel Curve'!$B$7:$F$268,5)</f>
        <v>4.4448275862069</v>
      </c>
      <c r="E50" s="180" t="n">
        <f aca="false">D50-C50</f>
        <v>0.464619256206897</v>
      </c>
      <c r="G50" s="240" t="n">
        <v>38078</v>
      </c>
      <c r="H50" s="180" t="n">
        <f aca="false">VLOOKUP(G50,'Company Power Prices'!$B$25:$C$259,2)</f>
        <v>46.15245785</v>
      </c>
      <c r="I50" s="180" t="n">
        <f aca="false">VLOOKUP(G50,'Super Peak Curve Simulation'!$B$4:$C$225,2)</f>
        <v>29.8620881601471</v>
      </c>
      <c r="J50" s="259" t="n">
        <f aca="false">I50-H50</f>
        <v>-16.2903696898529</v>
      </c>
      <c r="L50" s="240" t="n">
        <v>38078</v>
      </c>
      <c r="M50" s="180" t="n">
        <f aca="false">IF($L$1=1,VLOOKUP(L50,'Super Peak Curve Simulation'!$B$7:$N$225,12),VLOOKUP(L50,'PJM Curve Simulation'!$B$9:$J$246,9))</f>
        <v>26.3250007629395</v>
      </c>
      <c r="N50" s="180" t="n">
        <f aca="false">P50+Q50</f>
        <v>44.8217565720175</v>
      </c>
      <c r="P50" s="180" t="n">
        <f aca="false">IF($L$1=1,VLOOKUP(L50,'Fuel Curve'!$B$7:$H$246,7),VLOOKUP(L50,'Revenues &amp; Expenses'!$K$9:$S$246,9))</f>
        <v>42.5770034482759</v>
      </c>
      <c r="Q50" s="180" t="n">
        <f aca="false">'Revenues &amp; Expenses'!$AM$5*1000*'Revenues &amp; Expenses'!O58</f>
        <v>2.24475312374163</v>
      </c>
      <c r="S50" s="204" t="n">
        <f aca="false">IF(M50&gt;N50,1,0)</f>
        <v>0</v>
      </c>
      <c r="T50" s="204" t="n">
        <f aca="false">'Revenues &amp; Expenses'!$S$3</f>
        <v>310.66</v>
      </c>
      <c r="U50" s="212" t="n">
        <f aca="false">T50*'Revenues &amp; Expenses'!F58*4</f>
        <v>27338.08</v>
      </c>
      <c r="W50" s="212" t="n">
        <f aca="false">IF(S50&gt;0,(M50-N50)*U50,0)</f>
        <v>0</v>
      </c>
    </row>
    <row r="51" customFormat="false" ht="12.75" hidden="false" customHeight="false" outlineLevel="0" collapsed="false">
      <c r="B51" s="240" t="n">
        <v>38108</v>
      </c>
      <c r="C51" s="218" t="n">
        <f aca="false">VLOOKUP(B51,'Company Gas Prices'!$B$25:$C$259,2)</f>
        <v>3.81770833</v>
      </c>
      <c r="D51" s="180" t="n">
        <f aca="false">VLOOKUP(B51,'Fuel Curve'!$B$7:$F$268,5)</f>
        <v>4.37155172413793</v>
      </c>
      <c r="E51" s="180" t="n">
        <f aca="false">D51-C51</f>
        <v>0.553843394137931</v>
      </c>
      <c r="G51" s="240" t="n">
        <v>38108</v>
      </c>
      <c r="H51" s="180" t="n">
        <f aca="false">VLOOKUP(G51,'Company Power Prices'!$B$25:$C$259,2)</f>
        <v>57.91934598</v>
      </c>
      <c r="I51" s="180" t="n">
        <f aca="false">VLOOKUP(G51,'Super Peak Curve Simulation'!$B$4:$C$225,2)</f>
        <v>34.3887161602422</v>
      </c>
      <c r="J51" s="259" t="n">
        <f aca="false">I51-H51</f>
        <v>-23.5306298197578</v>
      </c>
      <c r="L51" s="240" t="n">
        <v>38108</v>
      </c>
      <c r="M51" s="180" t="n">
        <f aca="false">IF($L$1=1,VLOOKUP(L51,'Super Peak Curve Simulation'!$B$7:$N$225,12),VLOOKUP(L51,'PJM Curve Simulation'!$B$9:$J$246,9))</f>
        <v>31.325</v>
      </c>
      <c r="N51" s="180" t="n">
        <f aca="false">P51+Q51</f>
        <v>44.1248363388208</v>
      </c>
      <c r="P51" s="180" t="n">
        <f aca="false">IF($L$1=1,VLOOKUP(L51,'Fuel Curve'!$B$7:$H$246,7),VLOOKUP(L51,'Revenues &amp; Expenses'!$K$9:$S$246,9))</f>
        <v>41.8750939655172</v>
      </c>
      <c r="Q51" s="180" t="n">
        <f aca="false">'Revenues &amp; Expenses'!$AM$5*1000*'Revenues &amp; Expenses'!O59</f>
        <v>2.24974237330355</v>
      </c>
      <c r="S51" s="204" t="n">
        <f aca="false">IF(M51&gt;N51,1,0)</f>
        <v>0</v>
      </c>
      <c r="T51" s="204" t="n">
        <f aca="false">'Revenues &amp; Expenses'!$S$3</f>
        <v>310.66</v>
      </c>
      <c r="U51" s="212" t="n">
        <f aca="false">T51*'Revenues &amp; Expenses'!F59*4</f>
        <v>26095.44</v>
      </c>
      <c r="W51" s="212" t="n">
        <f aca="false">IF(S51&gt;0,(M51-N51)*U51,0)</f>
        <v>0</v>
      </c>
    </row>
    <row r="52" customFormat="false" ht="12.75" hidden="false" customHeight="false" outlineLevel="0" collapsed="false">
      <c r="B52" s="240" t="n">
        <v>38139</v>
      </c>
      <c r="C52" s="218" t="n">
        <f aca="false">VLOOKUP(B52,'Company Gas Prices'!$B$25:$C$259,2)</f>
        <v>3.809375</v>
      </c>
      <c r="D52" s="180" t="n">
        <f aca="false">VLOOKUP(B52,'Fuel Curve'!$B$7:$F$268,5)</f>
        <v>4.36068965517242</v>
      </c>
      <c r="E52" s="180" t="n">
        <f aca="false">D52-C52</f>
        <v>0.551314655172415</v>
      </c>
      <c r="G52" s="240" t="n">
        <v>38139</v>
      </c>
      <c r="H52" s="180" t="n">
        <f aca="false">VLOOKUP(G52,'Company Power Prices'!$B$25:$C$259,2)</f>
        <v>106.4071165</v>
      </c>
      <c r="I52" s="180" t="n">
        <f aca="false">VLOOKUP(G52,'Super Peak Curve Simulation'!$B$4:$C$225,2)</f>
        <v>68.6088543851949</v>
      </c>
      <c r="J52" s="259" t="n">
        <f aca="false">I52-H52</f>
        <v>-37.7982621148051</v>
      </c>
      <c r="L52" s="240" t="n">
        <v>38139</v>
      </c>
      <c r="M52" s="180" t="n">
        <f aca="false">IF($L$1=1,VLOOKUP(L52,'Super Peak Curve Simulation'!$B$7:$N$225,12),VLOOKUP(L52,'PJM Curve Simulation'!$B$9:$J$246,9))</f>
        <v>55.5999984741211</v>
      </c>
      <c r="N52" s="180" t="n">
        <f aca="false">P52+Q52</f>
        <v>44.0257889190043</v>
      </c>
      <c r="P52" s="180" t="n">
        <f aca="false">IF($L$1=1,VLOOKUP(L52,'Fuel Curve'!$B$7:$H$246,7),VLOOKUP(L52,'Revenues &amp; Expenses'!$K$9:$S$246,9))</f>
        <v>41.7710462068966</v>
      </c>
      <c r="Q52" s="180" t="n">
        <f aca="false">'Revenues &amp; Expenses'!$AM$5*1000*'Revenues &amp; Expenses'!O60</f>
        <v>2.25474271210772</v>
      </c>
      <c r="S52" s="204" t="n">
        <f aca="false">IF(M52&gt;N52,1,0)</f>
        <v>1</v>
      </c>
      <c r="T52" s="204" t="n">
        <f aca="false">'Revenues &amp; Expenses'!$S$3</f>
        <v>310.66</v>
      </c>
      <c r="U52" s="212" t="n">
        <f aca="false">T52*'Revenues &amp; Expenses'!F60*4</f>
        <v>27338.08</v>
      </c>
      <c r="W52" s="212" t="n">
        <f aca="false">IF(S52&gt;0,(M52-N52)*U52,0)</f>
        <v>316416.666754548</v>
      </c>
    </row>
    <row r="53" customFormat="false" ht="12.75" hidden="false" customHeight="false" outlineLevel="0" collapsed="false">
      <c r="B53" s="240" t="n">
        <v>38169</v>
      </c>
      <c r="C53" s="218" t="n">
        <f aca="false">VLOOKUP(B53,'Company Gas Prices'!$B$25:$C$259,2)</f>
        <v>3.771875</v>
      </c>
      <c r="D53" s="180" t="n">
        <f aca="false">VLOOKUP(B53,'Fuel Curve'!$B$7:$F$268,5)</f>
        <v>4.41137931034483</v>
      </c>
      <c r="E53" s="180" t="n">
        <f aca="false">D53-C53</f>
        <v>0.639504310344828</v>
      </c>
      <c r="G53" s="240" t="n">
        <v>38169</v>
      </c>
      <c r="H53" s="180" t="n">
        <f aca="false">VLOOKUP(G53,'Company Power Prices'!$B$25:$C$259,2)</f>
        <v>168.5374283</v>
      </c>
      <c r="I53" s="180" t="n">
        <f aca="false">VLOOKUP(G53,'Super Peak Curve Simulation'!$B$4:$C$225,2)</f>
        <v>124.019057358118</v>
      </c>
      <c r="J53" s="259" t="n">
        <f aca="false">I53-H53</f>
        <v>-44.5183709418822</v>
      </c>
      <c r="L53" s="240" t="n">
        <v>38169</v>
      </c>
      <c r="M53" s="180" t="n">
        <f aca="false">IF($L$1=1,VLOOKUP(L53,'Super Peak Curve Simulation'!$B$7:$N$225,12),VLOOKUP(L53,'PJM Curve Simulation'!$B$9:$J$246,9))</f>
        <v>94.4499969482422</v>
      </c>
      <c r="N53" s="180" t="n">
        <f aca="false">P53+Q53</f>
        <v>44.5163565785945</v>
      </c>
      <c r="P53" s="180" t="n">
        <f aca="false">IF($L$1=1,VLOOKUP(L53,'Fuel Curve'!$B$7:$H$246,7),VLOOKUP(L53,'Revenues &amp; Expenses'!$K$9:$S$246,9))</f>
        <v>42.2566024137931</v>
      </c>
      <c r="Q53" s="180" t="n">
        <f aca="false">'Revenues &amp; Expenses'!$AM$5*1000*'Revenues &amp; Expenses'!O61</f>
        <v>2.25975416480141</v>
      </c>
      <c r="S53" s="204" t="n">
        <f aca="false">IF(M53&gt;N53,1,0)</f>
        <v>1</v>
      </c>
      <c r="T53" s="204" t="n">
        <f aca="false">'Revenues &amp; Expenses'!$S$3</f>
        <v>310.66</v>
      </c>
      <c r="U53" s="212" t="n">
        <f aca="false">T53*'Revenues &amp; Expenses'!F61*4</f>
        <v>27338.08</v>
      </c>
      <c r="W53" s="212" t="n">
        <f aca="false">IF(S53&gt;0,(M53-N53)*U53,0)</f>
        <v>1365089.85511666</v>
      </c>
    </row>
    <row r="54" customFormat="false" ht="12.75" hidden="false" customHeight="false" outlineLevel="0" collapsed="false">
      <c r="B54" s="240" t="n">
        <v>38200</v>
      </c>
      <c r="C54" s="218" t="n">
        <f aca="false">VLOOKUP(B54,'Company Gas Prices'!$B$25:$C$259,2)</f>
        <v>3.771875</v>
      </c>
      <c r="D54" s="180" t="n">
        <f aca="false">VLOOKUP(B54,'Fuel Curve'!$B$7:$F$268,5)</f>
        <v>4.49620689655172</v>
      </c>
      <c r="E54" s="180" t="n">
        <f aca="false">D54-C54</f>
        <v>0.724331896551724</v>
      </c>
      <c r="G54" s="240" t="n">
        <v>38200</v>
      </c>
      <c r="H54" s="180" t="n">
        <f aca="false">VLOOKUP(G54,'Company Power Prices'!$B$25:$C$259,2)</f>
        <v>168.5374283</v>
      </c>
      <c r="I54" s="180" t="n">
        <f aca="false">VLOOKUP(G54,'Super Peak Curve Simulation'!$B$4:$C$225,2)</f>
        <v>99.9668303828808</v>
      </c>
      <c r="J54" s="259" t="n">
        <f aca="false">I54-H54</f>
        <v>-68.5705979171192</v>
      </c>
      <c r="L54" s="240" t="n">
        <v>38200</v>
      </c>
      <c r="M54" s="180" t="n">
        <f aca="false">IF($L$1=1,VLOOKUP(L54,'Super Peak Curve Simulation'!$B$7:$N$225,12),VLOOKUP(L54,'PJM Curve Simulation'!$B$9:$J$246,9))</f>
        <v>81.4499969482422</v>
      </c>
      <c r="N54" s="180" t="n">
        <f aca="false">P54+Q54</f>
        <v>45.3339426181556</v>
      </c>
      <c r="P54" s="180" t="n">
        <f aca="false">IF($L$1=1,VLOOKUP(L54,'Fuel Curve'!$B$7:$H$246,7),VLOOKUP(L54,'Revenues &amp; Expenses'!$K$9:$S$246,9))</f>
        <v>43.069165862069</v>
      </c>
      <c r="Q54" s="180" t="n">
        <f aca="false">'Revenues &amp; Expenses'!$AM$5*1000*'Revenues &amp; Expenses'!O62</f>
        <v>2.26477675608663</v>
      </c>
      <c r="S54" s="204" t="n">
        <f aca="false">IF(M54&gt;N54,1,0)</f>
        <v>1</v>
      </c>
      <c r="T54" s="204" t="n">
        <f aca="false">'Revenues &amp; Expenses'!$S$3</f>
        <v>310.66</v>
      </c>
      <c r="U54" s="212" t="n">
        <f aca="false">T54*'Revenues &amp; Expenses'!F62*4</f>
        <v>27338.08</v>
      </c>
      <c r="W54" s="212" t="n">
        <f aca="false">IF(S54&gt;0,(M54-N54)*U54,0)</f>
        <v>987343.582560253</v>
      </c>
    </row>
    <row r="55" customFormat="false" ht="12.75" hidden="false" customHeight="false" outlineLevel="0" collapsed="false">
      <c r="B55" s="240" t="n">
        <v>38231</v>
      </c>
      <c r="C55" s="218" t="n">
        <f aca="false">VLOOKUP(B55,'Company Gas Prices'!$B$25:$C$259,2)</f>
        <v>3.81770833</v>
      </c>
      <c r="D55" s="180" t="n">
        <f aca="false">VLOOKUP(B55,'Fuel Curve'!$B$7:$F$268,5)</f>
        <v>4.58603448275862</v>
      </c>
      <c r="E55" s="180" t="n">
        <f aca="false">D55-C55</f>
        <v>0.768326152758621</v>
      </c>
      <c r="G55" s="240" t="n">
        <v>38231</v>
      </c>
      <c r="H55" s="180" t="n">
        <f aca="false">VLOOKUP(G55,'Company Power Prices'!$B$25:$C$259,2)</f>
        <v>57.91934598</v>
      </c>
      <c r="I55" s="180" t="n">
        <f aca="false">VLOOKUP(G55,'Super Peak Curve Simulation'!$B$4:$C$225,2)</f>
        <v>38.6083121920515</v>
      </c>
      <c r="J55" s="259" t="n">
        <f aca="false">I55-H55</f>
        <v>-19.3110337879485</v>
      </c>
      <c r="L55" s="240" t="n">
        <v>38231</v>
      </c>
      <c r="M55" s="180" t="n">
        <f aca="false">IF($L$1=1,VLOOKUP(L55,'Super Peak Curve Simulation'!$B$7:$N$225,12),VLOOKUP(L55,'PJM Curve Simulation'!$B$9:$J$246,9))</f>
        <v>33.4249984741211</v>
      </c>
      <c r="N55" s="180" t="n">
        <f aca="false">P55+Q55</f>
        <v>46.1994348210652</v>
      </c>
      <c r="P55" s="180" t="n">
        <f aca="false">IF($L$1=1,VLOOKUP(L55,'Fuel Curve'!$B$7:$H$246,7),VLOOKUP(L55,'Revenues &amp; Expenses'!$K$9:$S$246,9))</f>
        <v>43.9296243103448</v>
      </c>
      <c r="Q55" s="180" t="n">
        <f aca="false">'Revenues &amp; Expenses'!$AM$5*1000*'Revenues &amp; Expenses'!O63</f>
        <v>2.26981051072034</v>
      </c>
      <c r="S55" s="204" t="n">
        <f aca="false">IF(M55&gt;N55,1,0)</f>
        <v>0</v>
      </c>
      <c r="T55" s="204" t="n">
        <f aca="false">'Revenues &amp; Expenses'!$S$3</f>
        <v>310.66</v>
      </c>
      <c r="U55" s="212" t="n">
        <f aca="false">T55*'Revenues &amp; Expenses'!F63*4</f>
        <v>27338.08</v>
      </c>
      <c r="W55" s="212" t="n">
        <f aca="false">IF(S55&gt;0,(M55-N55)*U55,0)</f>
        <v>0</v>
      </c>
    </row>
    <row r="56" customFormat="false" ht="12.75" hidden="false" customHeight="false" outlineLevel="0" collapsed="false">
      <c r="B56" s="240" t="n">
        <v>38261</v>
      </c>
      <c r="C56" s="218" t="n">
        <f aca="false">VLOOKUP(B56,'Company Gas Prices'!$B$25:$C$259,2)</f>
        <v>3.778125</v>
      </c>
      <c r="D56" s="180" t="n">
        <f aca="false">VLOOKUP(B56,'Fuel Curve'!$B$7:$F$268,5)</f>
        <v>4.67293103448276</v>
      </c>
      <c r="E56" s="180" t="n">
        <f aca="false">D56-C56</f>
        <v>0.89480603448276</v>
      </c>
      <c r="G56" s="240" t="n">
        <v>38261</v>
      </c>
      <c r="H56" s="180" t="n">
        <f aca="false">VLOOKUP(G56,'Company Power Prices'!$B$25:$C$259,2)</f>
        <v>47.74277523</v>
      </c>
      <c r="I56" s="180" t="n">
        <f aca="false">VLOOKUP(G56,'Super Peak Curve Simulation'!$B$4:$C$225,2)</f>
        <v>31.805679823122</v>
      </c>
      <c r="J56" s="259" t="n">
        <f aca="false">I56-H56</f>
        <v>-15.937095406878</v>
      </c>
      <c r="L56" s="240" t="n">
        <v>38261</v>
      </c>
      <c r="M56" s="180" t="n">
        <f aca="false">IF($L$1=1,VLOOKUP(L56,'Super Peak Curve Simulation'!$B$7:$N$225,12),VLOOKUP(L56,'PJM Curve Simulation'!$B$9:$J$246,9))</f>
        <v>27.0750003814697</v>
      </c>
      <c r="N56" s="180" t="n">
        <f aca="false">P56+Q56</f>
        <v>47.0368618328248</v>
      </c>
      <c r="P56" s="180" t="n">
        <f aca="false">IF($L$1=1,VLOOKUP(L56,'Fuel Curve'!$B$7:$H$246,7),VLOOKUP(L56,'Revenues &amp; Expenses'!$K$9:$S$246,9))</f>
        <v>44.7620063793104</v>
      </c>
      <c r="Q56" s="180" t="n">
        <f aca="false">'Revenues &amp; Expenses'!$AM$5*1000*'Revenues &amp; Expenses'!O64</f>
        <v>2.27485545351448</v>
      </c>
      <c r="S56" s="204" t="n">
        <f aca="false">IF(M56&gt;N56,1,0)</f>
        <v>0</v>
      </c>
      <c r="T56" s="204" t="n">
        <f aca="false">'Revenues &amp; Expenses'!$S$3</f>
        <v>310.66</v>
      </c>
      <c r="U56" s="212" t="n">
        <f aca="false">T56*'Revenues &amp; Expenses'!F64*4</f>
        <v>26095.44</v>
      </c>
      <c r="W56" s="212" t="n">
        <f aca="false">IF(S56&gt;0,(M56-N56)*U56,0)</f>
        <v>0</v>
      </c>
    </row>
    <row r="57" customFormat="false" ht="12.75" hidden="false" customHeight="false" outlineLevel="0" collapsed="false">
      <c r="B57" s="240" t="n">
        <v>38292</v>
      </c>
      <c r="C57" s="218" t="n">
        <f aca="false">VLOOKUP(B57,'Company Gas Prices'!$B$25:$C$259,2)</f>
        <v>3.778125</v>
      </c>
      <c r="D57" s="180" t="n">
        <f aca="false">VLOOKUP(B57,'Fuel Curve'!$B$7:$F$268,5)</f>
        <v>4.75689655172414</v>
      </c>
      <c r="E57" s="180" t="n">
        <f aca="false">D57-C57</f>
        <v>0.978771551724138</v>
      </c>
      <c r="G57" s="240" t="n">
        <v>38292</v>
      </c>
      <c r="H57" s="180" t="n">
        <f aca="false">VLOOKUP(G57,'Company Power Prices'!$B$25:$C$259,2)</f>
        <v>50.15598731</v>
      </c>
      <c r="I57" s="180" t="n">
        <f aca="false">VLOOKUP(G57,'Super Peak Curve Simulation'!$B$4:$C$225,2)</f>
        <v>31.8515905972672</v>
      </c>
      <c r="J57" s="259" t="n">
        <f aca="false">I57-H57</f>
        <v>-18.3043967127328</v>
      </c>
      <c r="L57" s="240" t="n">
        <v>38292</v>
      </c>
      <c r="M57" s="180" t="n">
        <f aca="false">IF($L$1=1,VLOOKUP(L57,'Super Peak Curve Simulation'!$B$7:$N$225,12),VLOOKUP(L57,'PJM Curve Simulation'!$B$9:$J$246,9))</f>
        <v>26.7474990844727</v>
      </c>
      <c r="N57" s="180" t="n">
        <f aca="false">P57+Q57</f>
        <v>47.8462236783017</v>
      </c>
      <c r="P57" s="180" t="n">
        <f aca="false">IF($L$1=1,VLOOKUP(L57,'Fuel Curve'!$B$7:$H$246,7),VLOOKUP(L57,'Revenues &amp; Expenses'!$K$9:$S$246,9))</f>
        <v>45.5663120689655</v>
      </c>
      <c r="Q57" s="180" t="n">
        <f aca="false">'Revenues &amp; Expenses'!$AM$5*1000*'Revenues &amp; Expenses'!O65</f>
        <v>2.27991160933618</v>
      </c>
      <c r="S57" s="204" t="n">
        <f aca="false">IF(M57&gt;N57,1,0)</f>
        <v>0</v>
      </c>
      <c r="T57" s="204" t="n">
        <f aca="false">'Revenues &amp; Expenses'!$S$3</f>
        <v>310.66</v>
      </c>
      <c r="U57" s="212" t="n">
        <f aca="false">T57*'Revenues &amp; Expenses'!F65*4</f>
        <v>27338.08</v>
      </c>
      <c r="W57" s="212" t="n">
        <f aca="false">IF(S57&gt;0,(M57-N57)*U57,0)</f>
        <v>0</v>
      </c>
    </row>
    <row r="58" customFormat="false" ht="12.75" hidden="false" customHeight="false" outlineLevel="0" collapsed="false">
      <c r="B58" s="240" t="n">
        <v>38322</v>
      </c>
      <c r="C58" s="218" t="n">
        <f aca="false">VLOOKUP(B58,'Company Gas Prices'!$B$25:$C$259,2)</f>
        <v>3.778125</v>
      </c>
      <c r="D58" s="180" t="n">
        <f aca="false">VLOOKUP(B58,'Fuel Curve'!$B$7:$F$268,5)</f>
        <v>4.79517241379311</v>
      </c>
      <c r="E58" s="180" t="n">
        <f aca="false">D58-C58</f>
        <v>1.0170474137931</v>
      </c>
      <c r="G58" s="240" t="n">
        <v>38322</v>
      </c>
      <c r="H58" s="180" t="n">
        <f aca="false">VLOOKUP(G58,'Company Power Prices'!$B$25:$C$259,2)</f>
        <v>50.15598731</v>
      </c>
      <c r="I58" s="180" t="n">
        <f aca="false">VLOOKUP(G58,'Super Peak Curve Simulation'!$B$4:$C$225,2)</f>
        <v>34.3699704133525</v>
      </c>
      <c r="J58" s="259" t="n">
        <f aca="false">I58-H58</f>
        <v>-15.7860168966475</v>
      </c>
      <c r="L58" s="240" t="n">
        <v>38322</v>
      </c>
      <c r="M58" s="180" t="n">
        <f aca="false">IF($L$1=1,VLOOKUP(L58,'Super Peak Curve Simulation'!$B$7:$N$225,12),VLOOKUP(L58,'PJM Curve Simulation'!$B$9:$J$246,9))</f>
        <v>28.4999996185303</v>
      </c>
      <c r="N58" s="180" t="n">
        <f aca="false">P58+Q58</f>
        <v>48.217935554832</v>
      </c>
      <c r="P58" s="180" t="n">
        <f aca="false">IF($L$1=1,VLOOKUP(L58,'Fuel Curve'!$B$7:$H$246,7),VLOOKUP(L58,'Revenues &amp; Expenses'!$K$9:$S$246,9))</f>
        <v>45.9329565517242</v>
      </c>
      <c r="Q58" s="180" t="n">
        <f aca="false">'Revenues &amp; Expenses'!$AM$5*1000*'Revenues &amp; Expenses'!O66</f>
        <v>2.28497900310781</v>
      </c>
      <c r="S58" s="204" t="n">
        <f aca="false">IF(M58&gt;N58,1,0)</f>
        <v>0</v>
      </c>
      <c r="T58" s="204" t="n">
        <f aca="false">'Revenues &amp; Expenses'!$S$3</f>
        <v>310.66</v>
      </c>
      <c r="U58" s="212" t="n">
        <f aca="false">T58*'Revenues &amp; Expenses'!F66*4</f>
        <v>28580.72</v>
      </c>
      <c r="W58" s="212" t="n">
        <f aca="false">IF(S58&gt;0,(M58-N58)*U58,0)</f>
        <v>0</v>
      </c>
    </row>
    <row r="59" customFormat="false" ht="12.75" hidden="false" customHeight="false" outlineLevel="0" collapsed="false">
      <c r="B59" s="240" t="n">
        <v>38353</v>
      </c>
      <c r="C59" s="218" t="n">
        <f aca="false">VLOOKUP(B59,'Company Gas Prices'!$B$25:$C$259,2)</f>
        <v>3.83541667</v>
      </c>
      <c r="D59" s="180" t="n">
        <f aca="false">VLOOKUP(B59,'Fuel Curve'!$B$7:$F$268,5)</f>
        <v>4.73448275862069</v>
      </c>
      <c r="E59" s="180" t="n">
        <f aca="false">D59-C59</f>
        <v>0.89906608862069</v>
      </c>
      <c r="G59" s="240" t="n">
        <v>38353</v>
      </c>
      <c r="H59" s="180" t="n">
        <f aca="false">VLOOKUP(G59,'Company Power Prices'!$B$25:$C$259,2)</f>
        <v>48.06361708</v>
      </c>
      <c r="I59" s="180" t="n">
        <f aca="false">VLOOKUP(G59,'Super Peak Curve Simulation'!$B$4:$C$225,2)</f>
        <v>45.7685756208616</v>
      </c>
      <c r="J59" s="259" t="n">
        <f aca="false">I59-H59</f>
        <v>-2.2950414591384</v>
      </c>
      <c r="L59" s="240" t="n">
        <v>38353</v>
      </c>
      <c r="M59" s="180" t="n">
        <f aca="false">IF($L$1=1,VLOOKUP(L59,'Super Peak Curve Simulation'!$B$7:$N$225,12),VLOOKUP(L59,'PJM Curve Simulation'!$B$9:$J$246,9))</f>
        <v>37.3249984741211</v>
      </c>
      <c r="N59" s="180" t="n">
        <f aca="false">P59+Q59</f>
        <v>47.6416680046347</v>
      </c>
      <c r="P59" s="180" t="n">
        <f aca="false">IF($L$1=1,VLOOKUP(L59,'Fuel Curve'!$B$7:$H$246,7),VLOOKUP(L59,'Revenues &amp; Expenses'!$K$9:$S$246,9))</f>
        <v>45.3516103448276</v>
      </c>
      <c r="Q59" s="180" t="n">
        <f aca="false">'Revenues &amp; Expenses'!$AM$5*1000*'Revenues &amp; Expenses'!O67</f>
        <v>2.29005765980715</v>
      </c>
      <c r="S59" s="204" t="n">
        <f aca="false">IF(M59&gt;N59,1,0)</f>
        <v>0</v>
      </c>
      <c r="T59" s="204" t="n">
        <f aca="false">'Revenues &amp; Expenses'!$S$3</f>
        <v>310.66</v>
      </c>
      <c r="U59" s="212" t="n">
        <f aca="false">T59*'Revenues &amp; Expenses'!F67*4</f>
        <v>28580.72</v>
      </c>
      <c r="W59" s="212" t="n">
        <f aca="false">IF(S59&gt;0,(M59-N59)*U59,0)</f>
        <v>0</v>
      </c>
    </row>
    <row r="60" customFormat="false" ht="12.75" hidden="false" customHeight="false" outlineLevel="0" collapsed="false">
      <c r="B60" s="240" t="n">
        <v>38384</v>
      </c>
      <c r="C60" s="218" t="n">
        <f aca="false">VLOOKUP(B60,'Company Gas Prices'!$B$25:$C$259,2)</f>
        <v>3.83541667</v>
      </c>
      <c r="D60" s="180" t="n">
        <f aca="false">VLOOKUP(B60,'Fuel Curve'!$B$7:$F$268,5)</f>
        <v>4.63155172413793</v>
      </c>
      <c r="E60" s="180" t="n">
        <f aca="false">D60-C60</f>
        <v>0.796135054137932</v>
      </c>
      <c r="G60" s="240" t="n">
        <v>38384</v>
      </c>
      <c r="H60" s="180" t="n">
        <f aca="false">VLOOKUP(G60,'Company Power Prices'!$B$25:$C$259,2)</f>
        <v>41.74688732</v>
      </c>
      <c r="I60" s="180" t="n">
        <f aca="false">VLOOKUP(G60,'Super Peak Curve Simulation'!$B$4:$C$225,2)</f>
        <v>45.7685756208616</v>
      </c>
      <c r="J60" s="259" t="n">
        <f aca="false">I60-H60</f>
        <v>4.02168830086161</v>
      </c>
      <c r="L60" s="240" t="n">
        <v>38384</v>
      </c>
      <c r="M60" s="180" t="n">
        <f aca="false">IF($L$1=1,VLOOKUP(L60,'Super Peak Curve Simulation'!$B$7:$N$225,12),VLOOKUP(L60,'PJM Curve Simulation'!$B$9:$J$246,9))</f>
        <v>37.3249984741211</v>
      </c>
      <c r="N60" s="180" t="n">
        <f aca="false">P60+Q60</f>
        <v>46.6607815699847</v>
      </c>
      <c r="P60" s="180" t="n">
        <f aca="false">IF($L$1=1,VLOOKUP(L60,'Fuel Curve'!$B$7:$H$246,7),VLOOKUP(L60,'Revenues &amp; Expenses'!$K$9:$S$246,9))</f>
        <v>44.3656339655173</v>
      </c>
      <c r="Q60" s="180" t="n">
        <f aca="false">'Revenues &amp; Expenses'!$AM$5*1000*'Revenues &amp; Expenses'!O68</f>
        <v>2.29514760446749</v>
      </c>
      <c r="S60" s="204" t="n">
        <f aca="false">IF(M60&gt;N60,1,0)</f>
        <v>0</v>
      </c>
      <c r="T60" s="204" t="n">
        <f aca="false">'Revenues &amp; Expenses'!$S$3</f>
        <v>310.66</v>
      </c>
      <c r="U60" s="212" t="n">
        <f aca="false">T60*'Revenues &amp; Expenses'!F68*4</f>
        <v>24852.8</v>
      </c>
      <c r="W60" s="212" t="n">
        <f aca="false">IF(S60&gt;0,(M60-N60)*U60,0)</f>
        <v>0</v>
      </c>
    </row>
    <row r="61" customFormat="false" ht="12.75" hidden="false" customHeight="false" outlineLevel="0" collapsed="false">
      <c r="B61" s="240" t="n">
        <v>38412</v>
      </c>
      <c r="C61" s="218" t="n">
        <f aca="false">VLOOKUP(B61,'Company Gas Prices'!$B$25:$C$259,2)</f>
        <v>3.83541667</v>
      </c>
      <c r="D61" s="180" t="n">
        <f aca="false">VLOOKUP(B61,'Fuel Curve'!$B$7:$F$268,5)</f>
        <v>4.5301724137931</v>
      </c>
      <c r="E61" s="180" t="n">
        <f aca="false">D61-C61</f>
        <v>0.694755743793104</v>
      </c>
      <c r="G61" s="240" t="n">
        <v>38412</v>
      </c>
      <c r="H61" s="180" t="n">
        <f aca="false">VLOOKUP(G61,'Company Power Prices'!$B$25:$C$259,2)</f>
        <v>41.74688732</v>
      </c>
      <c r="I61" s="180" t="n">
        <f aca="false">VLOOKUP(G61,'Super Peak Curve Simulation'!$B$4:$C$225,2)</f>
        <v>32.898887177906</v>
      </c>
      <c r="J61" s="259" t="n">
        <f aca="false">I61-H61</f>
        <v>-8.84800014209396</v>
      </c>
      <c r="L61" s="240" t="n">
        <v>38412</v>
      </c>
      <c r="M61" s="180" t="n">
        <f aca="false">IF($L$1=1,VLOOKUP(L61,'Super Peak Curve Simulation'!$B$7:$N$225,12),VLOOKUP(L61,'PJM Curve Simulation'!$B$9:$J$246,9))</f>
        <v>27.0500007629395</v>
      </c>
      <c r="N61" s="180" t="n">
        <f aca="false">P61+Q61</f>
        <v>45.6947704139019</v>
      </c>
      <c r="P61" s="180" t="n">
        <f aca="false">IF($L$1=1,VLOOKUP(L61,'Fuel Curve'!$B$7:$H$246,7),VLOOKUP(L61,'Revenues &amp; Expenses'!$K$9:$S$246,9))</f>
        <v>43.3945215517242</v>
      </c>
      <c r="Q61" s="180" t="n">
        <f aca="false">'Revenues &amp; Expenses'!$AM$5*1000*'Revenues &amp; Expenses'!O69</f>
        <v>2.30024886217776</v>
      </c>
      <c r="S61" s="204" t="n">
        <f aca="false">IF(M61&gt;N61,1,0)</f>
        <v>0</v>
      </c>
      <c r="T61" s="204" t="n">
        <f aca="false">'Revenues &amp; Expenses'!$S$3</f>
        <v>310.66</v>
      </c>
      <c r="U61" s="212" t="n">
        <f aca="false">T61*'Revenues &amp; Expenses'!F69*4</f>
        <v>27338.08</v>
      </c>
      <c r="W61" s="212" t="n">
        <f aca="false">IF(S61&gt;0,(M61-N61)*U61,0)</f>
        <v>0</v>
      </c>
    </row>
    <row r="62" customFormat="false" ht="12.75" hidden="false" customHeight="false" outlineLevel="0" collapsed="false">
      <c r="B62" s="240" t="n">
        <v>38443</v>
      </c>
      <c r="C62" s="218" t="n">
        <f aca="false">VLOOKUP(B62,'Company Gas Prices'!$B$25:$C$259,2)</f>
        <v>3.98020833</v>
      </c>
      <c r="D62" s="180" t="n">
        <f aca="false">VLOOKUP(B62,'Fuel Curve'!$B$7:$F$268,5)</f>
        <v>4.42586206896552</v>
      </c>
      <c r="E62" s="180" t="n">
        <f aca="false">D62-C62</f>
        <v>0.445653738965517</v>
      </c>
      <c r="G62" s="240" t="n">
        <v>38443</v>
      </c>
      <c r="H62" s="180" t="n">
        <f aca="false">VLOOKUP(G62,'Company Power Prices'!$B$25:$C$259,2)</f>
        <v>46.15871823</v>
      </c>
      <c r="I62" s="180" t="n">
        <f aca="false">VLOOKUP(G62,'Super Peak Curve Simulation'!$B$4:$C$225,2)</f>
        <v>30.4292693053455</v>
      </c>
      <c r="J62" s="259" t="n">
        <f aca="false">I62-H62</f>
        <v>-15.7294489246545</v>
      </c>
      <c r="L62" s="240" t="n">
        <v>38443</v>
      </c>
      <c r="M62" s="180" t="n">
        <f aca="false">IF($L$1=1,VLOOKUP(L62,'Super Peak Curve Simulation'!$B$7:$N$225,12),VLOOKUP(L62,'PJM Curve Simulation'!$B$9:$J$246,9))</f>
        <v>26.8250007629395</v>
      </c>
      <c r="N62" s="180" t="n">
        <f aca="false">P62+Q62</f>
        <v>44.7006942167033</v>
      </c>
      <c r="P62" s="180" t="n">
        <f aca="false">IF($L$1=1,VLOOKUP(L62,'Fuel Curve'!$B$7:$H$246,7),VLOOKUP(L62,'Revenues &amp; Expenses'!$K$9:$S$246,9))</f>
        <v>42.3953327586207</v>
      </c>
      <c r="Q62" s="180" t="n">
        <f aca="false">'Revenues &amp; Expenses'!$AM$5*1000*'Revenues &amp; Expenses'!O70</f>
        <v>2.30536145808265</v>
      </c>
      <c r="S62" s="204" t="n">
        <f aca="false">IF(M62&gt;N62,1,0)</f>
        <v>0</v>
      </c>
      <c r="T62" s="204" t="n">
        <f aca="false">'Revenues &amp; Expenses'!$S$3</f>
        <v>310.66</v>
      </c>
      <c r="U62" s="212" t="n">
        <f aca="false">T62*'Revenues &amp; Expenses'!F70*4</f>
        <v>26095.44</v>
      </c>
      <c r="W62" s="212" t="n">
        <f aca="false">IF(S62&gt;0,(M62-N62)*U62,0)</f>
        <v>0</v>
      </c>
    </row>
    <row r="63" customFormat="false" ht="12.75" hidden="false" customHeight="false" outlineLevel="0" collapsed="false">
      <c r="B63" s="240" t="n">
        <v>38473</v>
      </c>
      <c r="C63" s="218" t="n">
        <f aca="false">VLOOKUP(B63,'Company Gas Prices'!$B$25:$C$259,2)</f>
        <v>3.81770833</v>
      </c>
      <c r="D63" s="180" t="n">
        <f aca="false">VLOOKUP(B63,'Fuel Curve'!$B$7:$F$268,5)</f>
        <v>4.35431034482759</v>
      </c>
      <c r="E63" s="180" t="n">
        <f aca="false">D63-C63</f>
        <v>0.536602014827587</v>
      </c>
      <c r="G63" s="240" t="n">
        <v>38473</v>
      </c>
      <c r="H63" s="180" t="n">
        <f aca="false">VLOOKUP(G63,'Company Power Prices'!$B$25:$C$259,2)</f>
        <v>53.61062563</v>
      </c>
      <c r="I63" s="180" t="n">
        <f aca="false">VLOOKUP(G63,'Super Peak Curve Simulation'!$B$4:$C$225,2)</f>
        <v>34.9376182537816</v>
      </c>
      <c r="J63" s="259" t="n">
        <f aca="false">I63-H63</f>
        <v>-18.6730073762185</v>
      </c>
      <c r="L63" s="240" t="n">
        <v>38473</v>
      </c>
      <c r="M63" s="180" t="n">
        <f aca="false">IF($L$1=1,VLOOKUP(L63,'Super Peak Curve Simulation'!$B$7:$N$225,12),VLOOKUP(L63,'PJM Curve Simulation'!$B$9:$J$246,9))</f>
        <v>31.825</v>
      </c>
      <c r="N63" s="180" t="n">
        <f aca="false">P63+Q63</f>
        <v>44.0204242104862</v>
      </c>
      <c r="P63" s="180" t="n">
        <f aca="false">IF($L$1=1,VLOOKUP(L63,'Fuel Curve'!$B$7:$H$246,7),VLOOKUP(L63,'Revenues &amp; Expenses'!$K$9:$S$246,9))</f>
        <v>41.7099387931035</v>
      </c>
      <c r="Q63" s="180" t="n">
        <f aca="false">'Revenues &amp; Expenses'!$AM$5*1000*'Revenues &amp; Expenses'!O71</f>
        <v>2.31048541738274</v>
      </c>
      <c r="S63" s="204" t="n">
        <f aca="false">IF(M63&gt;N63,1,0)</f>
        <v>0</v>
      </c>
      <c r="T63" s="204" t="n">
        <f aca="false">'Revenues &amp; Expenses'!$S$3</f>
        <v>310.66</v>
      </c>
      <c r="U63" s="212" t="n">
        <f aca="false">T63*'Revenues &amp; Expenses'!F71*4</f>
        <v>28580.72</v>
      </c>
      <c r="W63" s="212" t="n">
        <f aca="false">IF(S63&gt;0,(M63-N63)*U63,0)</f>
        <v>0</v>
      </c>
    </row>
    <row r="64" customFormat="false" ht="12.75" hidden="false" customHeight="false" outlineLevel="0" collapsed="false">
      <c r="B64" s="240" t="n">
        <v>38504</v>
      </c>
      <c r="C64" s="218" t="n">
        <f aca="false">VLOOKUP(B64,'Company Gas Prices'!$B$25:$C$259,2)</f>
        <v>3.809375</v>
      </c>
      <c r="D64" s="180" t="n">
        <f aca="false">VLOOKUP(B64,'Fuel Curve'!$B$7:$F$268,5)</f>
        <v>4.34413793103448</v>
      </c>
      <c r="E64" s="180" t="n">
        <f aca="false">D64-C64</f>
        <v>0.534762931034483</v>
      </c>
      <c r="G64" s="240" t="n">
        <v>38504</v>
      </c>
      <c r="H64" s="180" t="n">
        <f aca="false">VLOOKUP(G64,'Company Power Prices'!$B$25:$C$259,2)</f>
        <v>94.65589667</v>
      </c>
      <c r="I64" s="180" t="n">
        <f aca="false">VLOOKUP(G64,'Super Peak Curve Simulation'!$B$4:$C$225,2)</f>
        <v>69.534333561473</v>
      </c>
      <c r="J64" s="259" t="n">
        <f aca="false">I64-H64</f>
        <v>-25.121563108527</v>
      </c>
      <c r="L64" s="240" t="n">
        <v>38504</v>
      </c>
      <c r="M64" s="180" t="n">
        <f aca="false">IF($L$1=1,VLOOKUP(L64,'Super Peak Curve Simulation'!$B$7:$N$225,12),VLOOKUP(L64,'PJM Curve Simulation'!$B$9:$J$246,9))</f>
        <v>56.3499984741211</v>
      </c>
      <c r="N64" s="180" t="n">
        <f aca="false">P64+Q64</f>
        <v>43.928118006714</v>
      </c>
      <c r="P64" s="180" t="n">
        <f aca="false">IF($L$1=1,VLOOKUP(L64,'Fuel Curve'!$B$7:$H$246,7),VLOOKUP(L64,'Revenues &amp; Expenses'!$K$9:$S$246,9))</f>
        <v>41.6124972413793</v>
      </c>
      <c r="Q64" s="180" t="n">
        <f aca="false">'Revenues &amp; Expenses'!$AM$5*1000*'Revenues &amp; Expenses'!O72</f>
        <v>2.31562076533463</v>
      </c>
      <c r="S64" s="204" t="n">
        <f aca="false">IF(M64&gt;N64,1,0)</f>
        <v>1</v>
      </c>
      <c r="T64" s="204" t="n">
        <f aca="false">'Revenues &amp; Expenses'!$S$3</f>
        <v>310.66</v>
      </c>
      <c r="U64" s="212" t="n">
        <f aca="false">T64*'Revenues &amp; Expenses'!F72*4</f>
        <v>26095.44</v>
      </c>
      <c r="W64" s="212" t="n">
        <f aca="false">IF(S64&gt;0,(M64-N64)*U64,0)</f>
        <v>324154.436424395</v>
      </c>
    </row>
    <row r="65" customFormat="false" ht="12.75" hidden="false" customHeight="false" outlineLevel="0" collapsed="false">
      <c r="B65" s="240" t="n">
        <v>38534</v>
      </c>
      <c r="C65" s="218" t="n">
        <f aca="false">VLOOKUP(B65,'Company Gas Prices'!$B$25:$C$259,2)</f>
        <v>3.771875</v>
      </c>
      <c r="D65" s="180" t="n">
        <f aca="false">VLOOKUP(B65,'Fuel Curve'!$B$7:$F$268,5)</f>
        <v>4.39689655172414</v>
      </c>
      <c r="E65" s="180" t="n">
        <f aca="false">D65-C65</f>
        <v>0.625021551724139</v>
      </c>
      <c r="G65" s="240" t="n">
        <v>38534</v>
      </c>
      <c r="H65" s="180" t="n">
        <f aca="false">VLOOKUP(G65,'Company Power Prices'!$B$25:$C$259,2)</f>
        <v>139.3279043</v>
      </c>
      <c r="I65" s="180" t="n">
        <f aca="false">VLOOKUP(G65,'Super Peak Curve Simulation'!$B$4:$C$225,2)</f>
        <v>125.660389562529</v>
      </c>
      <c r="J65" s="259" t="n">
        <f aca="false">I65-H65</f>
        <v>-13.6675147374715</v>
      </c>
      <c r="L65" s="240" t="n">
        <v>38534</v>
      </c>
      <c r="M65" s="180" t="n">
        <f aca="false">IF($L$1=1,VLOOKUP(L65,'Super Peak Curve Simulation'!$B$7:$N$225,12),VLOOKUP(L65,'PJM Curve Simulation'!$B$9:$J$246,9))</f>
        <v>95.6999969482422</v>
      </c>
      <c r="N65" s="180" t="n">
        <f aca="false">P65+Q65</f>
        <v>44.4386395962166</v>
      </c>
      <c r="P65" s="180" t="n">
        <f aca="false">IF($L$1=1,VLOOKUP(L65,'Fuel Curve'!$B$7:$H$246,7),VLOOKUP(L65,'Revenues &amp; Expenses'!$K$9:$S$246,9))</f>
        <v>42.1178720689655</v>
      </c>
      <c r="Q65" s="180" t="n">
        <f aca="false">'Revenues &amp; Expenses'!$AM$5*1000*'Revenues &amp; Expenses'!O73</f>
        <v>2.32076752725105</v>
      </c>
      <c r="S65" s="204" t="n">
        <f aca="false">IF(M65&gt;N65,1,0)</f>
        <v>1</v>
      </c>
      <c r="T65" s="204" t="n">
        <f aca="false">'Revenues &amp; Expenses'!$S$3</f>
        <v>310.66</v>
      </c>
      <c r="U65" s="212" t="n">
        <f aca="false">T65*'Revenues &amp; Expenses'!F73*4</f>
        <v>27338.08</v>
      </c>
      <c r="W65" s="212" t="n">
        <f aca="false">IF(S65&gt;0,(M65-N65)*U65,0)</f>
        <v>1401387.08819826</v>
      </c>
    </row>
    <row r="66" customFormat="false" ht="12.75" hidden="false" customHeight="false" outlineLevel="0" collapsed="false">
      <c r="B66" s="240" t="n">
        <v>38565</v>
      </c>
      <c r="C66" s="218" t="n">
        <f aca="false">VLOOKUP(B66,'Company Gas Prices'!$B$25:$C$259,2)</f>
        <v>3.771875</v>
      </c>
      <c r="D66" s="180" t="n">
        <f aca="false">VLOOKUP(B66,'Fuel Curve'!$B$7:$F$268,5)</f>
        <v>4.48379310344828</v>
      </c>
      <c r="E66" s="180" t="n">
        <f aca="false">D66-C66</f>
        <v>0.711918103448276</v>
      </c>
      <c r="G66" s="240" t="n">
        <v>38565</v>
      </c>
      <c r="H66" s="180" t="n">
        <f aca="false">VLOOKUP(G66,'Company Power Prices'!$B$25:$C$259,2)</f>
        <v>139.3279043</v>
      </c>
      <c r="I66" s="180" t="n">
        <f aca="false">VLOOKUP(G66,'Super Peak Curve Simulation'!$B$4:$C$225,2)</f>
        <v>101.50100524673</v>
      </c>
      <c r="J66" s="259" t="n">
        <f aca="false">I66-H66</f>
        <v>-37.8268990532699</v>
      </c>
      <c r="L66" s="240" t="n">
        <v>38565</v>
      </c>
      <c r="M66" s="180" t="n">
        <f aca="false">IF($L$1=1,VLOOKUP(L66,'Super Peak Curve Simulation'!$B$7:$N$225,12),VLOOKUP(L66,'PJM Curve Simulation'!$B$9:$J$246,9))</f>
        <v>82.6999969482422</v>
      </c>
      <c r="N66" s="180" t="n">
        <f aca="false">P66+Q66</f>
        <v>45.276179866432</v>
      </c>
      <c r="P66" s="180" t="n">
        <f aca="false">IF($L$1=1,VLOOKUP(L66,'Fuel Curve'!$B$7:$H$246,7),VLOOKUP(L66,'Revenues &amp; Expenses'!$K$9:$S$246,9))</f>
        <v>42.950254137931</v>
      </c>
      <c r="Q66" s="180" t="n">
        <f aca="false">'Revenues &amp; Expenses'!$AM$5*1000*'Revenues &amp; Expenses'!O74</f>
        <v>2.32592572850097</v>
      </c>
      <c r="S66" s="204" t="n">
        <f aca="false">IF(M66&gt;N66,1,0)</f>
        <v>1</v>
      </c>
      <c r="T66" s="204" t="n">
        <f aca="false">'Revenues &amp; Expenses'!$S$3</f>
        <v>310.66</v>
      </c>
      <c r="U66" s="212" t="n">
        <f aca="false">T66*'Revenues &amp; Expenses'!F74*4</f>
        <v>28580.72</v>
      </c>
      <c r="W66" s="212" t="n">
        <f aca="false">IF(S66&gt;0,(M66-N66)*U66,0)</f>
        <v>1069599.63734643</v>
      </c>
    </row>
    <row r="67" customFormat="false" ht="12.75" hidden="false" customHeight="false" outlineLevel="0" collapsed="false">
      <c r="B67" s="240" t="n">
        <v>38596</v>
      </c>
      <c r="C67" s="218" t="n">
        <f aca="false">VLOOKUP(B67,'Company Gas Prices'!$B$25:$C$259,2)</f>
        <v>3.81770833</v>
      </c>
      <c r="D67" s="180" t="n">
        <f aca="false">VLOOKUP(B67,'Fuel Curve'!$B$7:$F$268,5)</f>
        <v>4.57431034482759</v>
      </c>
      <c r="E67" s="180" t="n">
        <f aca="false">D67-C67</f>
        <v>0.756602014827587</v>
      </c>
      <c r="G67" s="240" t="n">
        <v>38596</v>
      </c>
      <c r="H67" s="180" t="n">
        <f aca="false">VLOOKUP(G67,'Company Power Prices'!$B$25:$C$259,2)</f>
        <v>53.61062563</v>
      </c>
      <c r="I67" s="180" t="n">
        <f aca="false">VLOOKUP(G67,'Super Peak Curve Simulation'!$B$4:$C$225,2)</f>
        <v>39.1858486760388</v>
      </c>
      <c r="J67" s="259" t="n">
        <f aca="false">I67-H67</f>
        <v>-14.4247769539612</v>
      </c>
      <c r="L67" s="240" t="n">
        <v>38596</v>
      </c>
      <c r="M67" s="180" t="n">
        <f aca="false">IF($L$1=1,VLOOKUP(L67,'Super Peak Curve Simulation'!$B$7:$N$225,12),VLOOKUP(L67,'PJM Curve Simulation'!$B$9:$J$246,9))</f>
        <v>33.9249984741211</v>
      </c>
      <c r="N67" s="180" t="n">
        <f aca="false">P67+Q67</f>
        <v>46.1484141876132</v>
      </c>
      <c r="P67" s="180" t="n">
        <f aca="false">IF($L$1=1,VLOOKUP(L67,'Fuel Curve'!$B$7:$H$246,7),VLOOKUP(L67,'Revenues &amp; Expenses'!$K$9:$S$246,9))</f>
        <v>43.8173187931035</v>
      </c>
      <c r="Q67" s="180" t="n">
        <f aca="false">'Revenues &amp; Expenses'!$AM$5*1000*'Revenues &amp; Expenses'!O75</f>
        <v>2.33109539450979</v>
      </c>
      <c r="S67" s="204" t="n">
        <f aca="false">IF(M67&gt;N67,1,0)</f>
        <v>0</v>
      </c>
      <c r="T67" s="204" t="n">
        <f aca="false">'Revenues &amp; Expenses'!$S$3</f>
        <v>310.66</v>
      </c>
      <c r="U67" s="212" t="n">
        <f aca="false">T67*'Revenues &amp; Expenses'!F75*4</f>
        <v>24852.8</v>
      </c>
      <c r="W67" s="212" t="n">
        <f aca="false">IF(S67&gt;0,(M67-N67)*U67,0)</f>
        <v>0</v>
      </c>
    </row>
    <row r="68" customFormat="false" ht="12.75" hidden="false" customHeight="false" outlineLevel="0" collapsed="false">
      <c r="B68" s="240" t="n">
        <v>38626</v>
      </c>
      <c r="C68" s="218" t="n">
        <f aca="false">VLOOKUP(B68,'Company Gas Prices'!$B$25:$C$259,2)</f>
        <v>3.778125</v>
      </c>
      <c r="D68" s="180" t="n">
        <f aca="false">VLOOKUP(B68,'Fuel Curve'!$B$7:$F$268,5)</f>
        <v>4.66344827586207</v>
      </c>
      <c r="E68" s="180" t="n">
        <f aca="false">D68-C68</f>
        <v>0.88532327586207</v>
      </c>
      <c r="G68" s="240" t="n">
        <v>38626</v>
      </c>
      <c r="H68" s="180" t="n">
        <f aca="false">VLOOKUP(G68,'Company Power Prices'!$B$25:$C$259,2)</f>
        <v>47.84441558</v>
      </c>
      <c r="I68" s="180" t="n">
        <f aca="false">VLOOKUP(G68,'Super Peak Curve Simulation'!$B$4:$C$225,2)</f>
        <v>32.393042323122</v>
      </c>
      <c r="J68" s="259" t="n">
        <f aca="false">I68-H68</f>
        <v>-15.451373256878</v>
      </c>
      <c r="L68" s="240" t="n">
        <v>38626</v>
      </c>
      <c r="M68" s="180" t="n">
        <f aca="false">IF($L$1=1,VLOOKUP(L68,'Super Peak Curve Simulation'!$B$7:$N$225,12),VLOOKUP(L68,'PJM Curve Simulation'!$B$9:$J$246,9))</f>
        <v>27.5750003814697</v>
      </c>
      <c r="N68" s="180" t="n">
        <f aca="false">P68+Q68</f>
        <v>47.0074475852421</v>
      </c>
      <c r="P68" s="180" t="n">
        <f aca="false">IF($L$1=1,VLOOKUP(L68,'Fuel Curve'!$B$7:$H$246,7),VLOOKUP(L68,'Revenues &amp; Expenses'!$K$9:$S$246,9))</f>
        <v>44.6711710344828</v>
      </c>
      <c r="Q68" s="180" t="n">
        <f aca="false">'Revenues &amp; Expenses'!$AM$5*1000*'Revenues &amp; Expenses'!O76</f>
        <v>2.33627655075937</v>
      </c>
      <c r="S68" s="204" t="n">
        <f aca="false">IF(M68&gt;N68,1,0)</f>
        <v>0</v>
      </c>
      <c r="T68" s="204" t="n">
        <f aca="false">'Revenues &amp; Expenses'!$S$3</f>
        <v>310.66</v>
      </c>
      <c r="U68" s="212" t="n">
        <f aca="false">T68*'Revenues &amp; Expenses'!F76*4</f>
        <v>28580.72</v>
      </c>
      <c r="W68" s="212" t="n">
        <f aca="false">IF(S68&gt;0,(M68-N68)*U68,0)</f>
        <v>0</v>
      </c>
    </row>
    <row r="69" customFormat="false" ht="12.75" hidden="false" customHeight="false" outlineLevel="0" collapsed="false">
      <c r="B69" s="240" t="n">
        <v>38657</v>
      </c>
      <c r="C69" s="218" t="n">
        <f aca="false">VLOOKUP(B69,'Company Gas Prices'!$B$25:$C$259,2)</f>
        <v>3.778125</v>
      </c>
      <c r="D69" s="180" t="n">
        <f aca="false">VLOOKUP(B69,'Fuel Curve'!$B$7:$F$268,5)</f>
        <v>4.74896551724138</v>
      </c>
      <c r="E69" s="180" t="n">
        <f aca="false">D69-C69</f>
        <v>0.97084051724138</v>
      </c>
      <c r="G69" s="240" t="n">
        <v>38657</v>
      </c>
      <c r="H69" s="180" t="n">
        <f aca="false">VLOOKUP(G69,'Company Power Prices'!$B$25:$C$259,2)</f>
        <v>50.17782756</v>
      </c>
      <c r="I69" s="180" t="n">
        <f aca="false">VLOOKUP(G69,'Super Peak Curve Simulation'!$B$4:$C$225,2)</f>
        <v>32.4470030972672</v>
      </c>
      <c r="J69" s="259" t="n">
        <f aca="false">I69-H69</f>
        <v>-17.7308244627328</v>
      </c>
      <c r="L69" s="240" t="n">
        <v>38657</v>
      </c>
      <c r="M69" s="180" t="n">
        <f aca="false">IF($L$1=1,VLOOKUP(L69,'Super Peak Curve Simulation'!$B$7:$N$225,12),VLOOKUP(L69,'PJM Curve Simulation'!$B$9:$J$246,9))</f>
        <v>27.2474990844727</v>
      </c>
      <c r="N69" s="180" t="n">
        <f aca="false">P69+Q69</f>
        <v>47.8318099124434</v>
      </c>
      <c r="P69" s="180" t="n">
        <f aca="false">IF($L$1=1,VLOOKUP(L69,'Fuel Curve'!$B$7:$H$246,7),VLOOKUP(L69,'Revenues &amp; Expenses'!$K$9:$S$246,9))</f>
        <v>45.4903406896552</v>
      </c>
      <c r="Q69" s="180" t="n">
        <f aca="false">'Revenues &amp; Expenses'!$AM$5*1000*'Revenues &amp; Expenses'!O77</f>
        <v>2.34146922278826</v>
      </c>
      <c r="S69" s="204" t="n">
        <f aca="false">IF(M69&gt;N69,1,0)</f>
        <v>0</v>
      </c>
      <c r="T69" s="204" t="n">
        <f aca="false">'Revenues &amp; Expenses'!$S$3</f>
        <v>310.66</v>
      </c>
      <c r="U69" s="212" t="n">
        <f aca="false">T69*'Revenues &amp; Expenses'!F77*4</f>
        <v>27338.08</v>
      </c>
      <c r="W69" s="212" t="n">
        <f aca="false">IF(S69&gt;0,(M69-N69)*U69,0)</f>
        <v>0</v>
      </c>
    </row>
    <row r="70" customFormat="false" ht="12.75" hidden="false" customHeight="false" outlineLevel="0" collapsed="false">
      <c r="B70" s="240" t="n">
        <v>38687</v>
      </c>
      <c r="C70" s="218" t="n">
        <f aca="false">VLOOKUP(B70,'Company Gas Prices'!$B$25:$C$259,2)</f>
        <v>3.778125</v>
      </c>
      <c r="D70" s="180" t="n">
        <f aca="false">VLOOKUP(B70,'Fuel Curve'!$B$7:$F$268,5)</f>
        <v>4.78948275862069</v>
      </c>
      <c r="E70" s="180" t="n">
        <f aca="false">D70-C70</f>
        <v>1.01135775862069</v>
      </c>
      <c r="G70" s="240" t="n">
        <v>38687</v>
      </c>
      <c r="H70" s="180" t="n">
        <f aca="false">VLOOKUP(G70,'Company Power Prices'!$B$25:$C$259,2)</f>
        <v>50.17782756</v>
      </c>
      <c r="I70" s="180" t="n">
        <f aca="false">VLOOKUP(G70,'Super Peak Curve Simulation'!$B$4:$C$225,2)</f>
        <v>34.9729523584998</v>
      </c>
      <c r="J70" s="259" t="n">
        <f aca="false">I70-H70</f>
        <v>-15.2048752015002</v>
      </c>
      <c r="L70" s="240" t="n">
        <v>38687</v>
      </c>
      <c r="M70" s="180" t="n">
        <f aca="false">IF($L$1=1,VLOOKUP(L70,'Super Peak Curve Simulation'!$B$7:$N$225,12),VLOOKUP(L70,'PJM Curve Simulation'!$B$9:$J$246,9))</f>
        <v>28.9999996185303</v>
      </c>
      <c r="N70" s="180" t="n">
        <f aca="false">P70+Q70</f>
        <v>48.2251287810193</v>
      </c>
      <c r="P70" s="180" t="n">
        <f aca="false">IF($L$1=1,VLOOKUP(L70,'Fuel Curve'!$B$7:$H$246,7),VLOOKUP(L70,'Revenues &amp; Expenses'!$K$9:$S$246,9))</f>
        <v>45.8784553448276</v>
      </c>
      <c r="Q70" s="180" t="n">
        <f aca="false">'Revenues &amp; Expenses'!$AM$5*1000*'Revenues &amp; Expenses'!O78</f>
        <v>2.34667343619172</v>
      </c>
      <c r="S70" s="204" t="n">
        <f aca="false">IF(M70&gt;N70,1,0)</f>
        <v>0</v>
      </c>
      <c r="T70" s="204" t="n">
        <f aca="false">'Revenues &amp; Expenses'!$S$3</f>
        <v>310.66</v>
      </c>
      <c r="U70" s="212" t="n">
        <f aca="false">T70*'Revenues &amp; Expenses'!F78*4</f>
        <v>26095.44</v>
      </c>
      <c r="W70" s="212" t="n">
        <f aca="false">IF(S70&gt;0,(M70-N70)*U70,0)</f>
        <v>0</v>
      </c>
    </row>
    <row r="71" customFormat="false" ht="12.75" hidden="false" customHeight="false" outlineLevel="0" collapsed="false">
      <c r="B71" s="240" t="n">
        <v>38718</v>
      </c>
      <c r="C71" s="218" t="n">
        <f aca="false">VLOOKUP(B71,'Company Gas Prices'!$B$25:$C$259,2)</f>
        <v>3.83541667</v>
      </c>
      <c r="D71" s="180" t="n">
        <f aca="false">VLOOKUP(B71,'Fuel Curve'!$B$7:$F$268,5)</f>
        <v>4.73086206896552</v>
      </c>
      <c r="E71" s="180" t="n">
        <f aca="false">D71-C71</f>
        <v>0.895445398965518</v>
      </c>
      <c r="G71" s="240" t="n">
        <v>38718</v>
      </c>
      <c r="H71" s="180" t="n">
        <f aca="false">VLOOKUP(G71,'Company Power Prices'!$B$25:$C$259,2)</f>
        <v>47.98518809</v>
      </c>
      <c r="I71" s="180" t="n">
        <f aca="false">VLOOKUP(G71,'Super Peak Curve Simulation'!$B$4:$C$225,2)</f>
        <v>46.3816844955022</v>
      </c>
      <c r="J71" s="259" t="n">
        <f aca="false">I71-H71</f>
        <v>-1.6035035944978</v>
      </c>
      <c r="L71" s="240" t="n">
        <v>38718</v>
      </c>
      <c r="M71" s="180" t="n">
        <f aca="false">IF($L$1=1,VLOOKUP(L71,'Super Peak Curve Simulation'!$B$7:$N$225,12),VLOOKUP(L71,'PJM Curve Simulation'!$B$9:$J$246,9))</f>
        <v>37.8249984741211</v>
      </c>
      <c r="N71" s="180" t="n">
        <f aca="false">P71+Q71</f>
        <v>47.6688169752426</v>
      </c>
      <c r="P71" s="180" t="n">
        <f aca="false">IF($L$1=1,VLOOKUP(L71,'Fuel Curve'!$B$7:$H$246,7),VLOOKUP(L71,'Revenues &amp; Expenses'!$K$9:$S$246,9))</f>
        <v>45.3169277586207</v>
      </c>
      <c r="Q71" s="180" t="n">
        <f aca="false">'Revenues &amp; Expenses'!$AM$5*1000*'Revenues &amp; Expenses'!O79</f>
        <v>2.35188921662195</v>
      </c>
      <c r="S71" s="204" t="n">
        <f aca="false">IF(M71&gt;N71,1,0)</f>
        <v>0</v>
      </c>
      <c r="T71" s="204" t="n">
        <f aca="false">'Revenues &amp; Expenses'!$S$3</f>
        <v>310.66</v>
      </c>
      <c r="U71" s="212" t="n">
        <f aca="false">T71*'Revenues &amp; Expenses'!F79*4</f>
        <v>28580.72</v>
      </c>
      <c r="W71" s="212" t="n">
        <f aca="false">IF(S71&gt;0,(M71-N71)*U71,0)</f>
        <v>0</v>
      </c>
    </row>
    <row r="72" customFormat="false" ht="12.75" hidden="false" customHeight="false" outlineLevel="0" collapsed="false">
      <c r="B72" s="240" t="n">
        <v>38749</v>
      </c>
      <c r="C72" s="218" t="n">
        <f aca="false">VLOOKUP(B72,'Company Gas Prices'!$B$25:$C$259,2)</f>
        <v>3.83541667</v>
      </c>
      <c r="D72" s="180" t="n">
        <f aca="false">VLOOKUP(B72,'Fuel Curve'!$B$7:$F$268,5)</f>
        <v>4.62948275862069</v>
      </c>
      <c r="E72" s="180" t="n">
        <f aca="false">D72-C72</f>
        <v>0.79406608862069</v>
      </c>
      <c r="G72" s="240" t="n">
        <v>38749</v>
      </c>
      <c r="H72" s="180" t="n">
        <f aca="false">VLOOKUP(G72,'Company Power Prices'!$B$25:$C$259,2)</f>
        <v>41.73923785</v>
      </c>
      <c r="I72" s="180" t="n">
        <f aca="false">VLOOKUP(G72,'Super Peak Curve Simulation'!$B$4:$C$225,2)</f>
        <v>46.3816844955022</v>
      </c>
      <c r="J72" s="259" t="n">
        <f aca="false">I72-H72</f>
        <v>4.6424466455022</v>
      </c>
      <c r="L72" s="240" t="n">
        <v>38749</v>
      </c>
      <c r="M72" s="180" t="n">
        <f aca="false">IF($L$1=1,VLOOKUP(L72,'Super Peak Curve Simulation'!$B$7:$N$225,12),VLOOKUP(L72,'PJM Curve Simulation'!$B$9:$J$246,9))</f>
        <v>37.8249984741211</v>
      </c>
      <c r="N72" s="180" t="n">
        <f aca="false">P72+Q72</f>
        <v>46.7029319346157</v>
      </c>
      <c r="P72" s="180" t="n">
        <f aca="false">IF($L$1=1,VLOOKUP(L72,'Fuel Curve'!$B$7:$H$246,7),VLOOKUP(L72,'Revenues &amp; Expenses'!$K$9:$S$246,9))</f>
        <v>44.3458153448276</v>
      </c>
      <c r="Q72" s="180" t="n">
        <f aca="false">'Revenues &amp; Expenses'!$AM$5*1000*'Revenues &amp; Expenses'!O80</f>
        <v>2.35711658978811</v>
      </c>
      <c r="S72" s="204" t="n">
        <f aca="false">IF(M72&gt;N72,1,0)</f>
        <v>0</v>
      </c>
      <c r="T72" s="204" t="n">
        <f aca="false">'Revenues &amp; Expenses'!$S$3</f>
        <v>310.66</v>
      </c>
      <c r="U72" s="212" t="n">
        <f aca="false">T72*'Revenues &amp; Expenses'!F80*4</f>
        <v>24852.8</v>
      </c>
      <c r="W72" s="212" t="n">
        <f aca="false">IF(S72&gt;0,(M72-N72)*U72,0)</f>
        <v>0</v>
      </c>
    </row>
    <row r="73" customFormat="false" ht="12.75" hidden="false" customHeight="false" outlineLevel="0" collapsed="false">
      <c r="B73" s="240" t="n">
        <v>38777</v>
      </c>
      <c r="C73" s="218" t="n">
        <f aca="false">VLOOKUP(B73,'Company Gas Prices'!$B$25:$C$259,2)</f>
        <v>3.83541667</v>
      </c>
      <c r="D73" s="180" t="n">
        <f aca="false">VLOOKUP(B73,'Fuel Curve'!$B$7:$F$268,5)</f>
        <v>4.53086206896552</v>
      </c>
      <c r="E73" s="180" t="n">
        <f aca="false">D73-C73</f>
        <v>0.695445398965518</v>
      </c>
      <c r="G73" s="240" t="n">
        <v>38777</v>
      </c>
      <c r="H73" s="180" t="n">
        <f aca="false">VLOOKUP(G73,'Company Power Prices'!$B$25:$C$259,2)</f>
        <v>41.73923785</v>
      </c>
      <c r="I73" s="180" t="n">
        <f aca="false">VLOOKUP(G73,'Super Peak Curve Simulation'!$B$4:$C$225,2)</f>
        <v>33.506999677906</v>
      </c>
      <c r="J73" s="259" t="n">
        <f aca="false">I73-H73</f>
        <v>-8.23223817209397</v>
      </c>
      <c r="L73" s="240" t="n">
        <v>38777</v>
      </c>
      <c r="M73" s="180" t="n">
        <f aca="false">IF($L$1=1,VLOOKUP(L73,'Super Peak Curve Simulation'!$B$7:$N$225,12),VLOOKUP(L73,'PJM Curve Simulation'!$B$9:$J$246,9))</f>
        <v>27.5500007629395</v>
      </c>
      <c r="N73" s="180" t="n">
        <f aca="false">P73+Q73</f>
        <v>45.7634833400773</v>
      </c>
      <c r="P73" s="180" t="n">
        <f aca="false">IF($L$1=1,VLOOKUP(L73,'Fuel Curve'!$B$7:$H$246,7),VLOOKUP(L73,'Revenues &amp; Expenses'!$K$9:$S$246,9))</f>
        <v>43.4011277586207</v>
      </c>
      <c r="Q73" s="180" t="n">
        <f aca="false">'Revenues &amp; Expenses'!$AM$5*1000*'Revenues &amp; Expenses'!O81</f>
        <v>2.36235558145656</v>
      </c>
      <c r="S73" s="204" t="n">
        <f aca="false">IF(M73&gt;N73,1,0)</f>
        <v>0</v>
      </c>
      <c r="T73" s="204" t="n">
        <f aca="false">'Revenues &amp; Expenses'!$S$3</f>
        <v>310.66</v>
      </c>
      <c r="U73" s="212" t="n">
        <f aca="false">T73*'Revenues &amp; Expenses'!F81*4</f>
        <v>26095.44</v>
      </c>
      <c r="W73" s="212" t="n">
        <f aca="false">IF(S73&gt;0,(M73-N73)*U73,0)</f>
        <v>0</v>
      </c>
    </row>
    <row r="74" customFormat="false" ht="12.75" hidden="false" customHeight="false" outlineLevel="0" collapsed="false">
      <c r="B74" s="240" t="n">
        <v>38808</v>
      </c>
      <c r="C74" s="218" t="n">
        <f aca="false">VLOOKUP(B74,'Company Gas Prices'!$B$25:$C$259,2)</f>
        <v>3.98020833</v>
      </c>
      <c r="D74" s="180" t="n">
        <f aca="false">VLOOKUP(B74,'Fuel Curve'!$B$7:$F$268,5)</f>
        <v>4.42879310344828</v>
      </c>
      <c r="E74" s="180" t="n">
        <f aca="false">D74-C74</f>
        <v>0.448584773448276</v>
      </c>
      <c r="G74" s="240" t="n">
        <v>38808</v>
      </c>
      <c r="H74" s="180" t="n">
        <f aca="false">VLOOKUP(G74,'Company Power Prices'!$B$25:$C$259,2)</f>
        <v>46.17733114</v>
      </c>
      <c r="I74" s="180" t="n">
        <f aca="false">VLOOKUP(G74,'Super Peak Curve Simulation'!$B$4:$C$225,2)</f>
        <v>30.9964504505439</v>
      </c>
      <c r="J74" s="259" t="n">
        <f aca="false">I74-H74</f>
        <v>-15.1808806894561</v>
      </c>
      <c r="L74" s="240" t="n">
        <v>38808</v>
      </c>
      <c r="M74" s="180" t="n">
        <f aca="false">IF($L$1=1,VLOOKUP(L74,'Super Peak Curve Simulation'!$B$7:$N$225,12),VLOOKUP(L74,'PJM Curve Simulation'!$B$9:$J$246,9))</f>
        <v>27.3250007629395</v>
      </c>
      <c r="N74" s="180" t="n">
        <f aca="false">P74+Q74</f>
        <v>44.7910153553819</v>
      </c>
      <c r="P74" s="180" t="n">
        <f aca="false">IF($L$1=1,VLOOKUP(L74,'Fuel Curve'!$B$7:$H$246,7),VLOOKUP(L74,'Revenues &amp; Expenses'!$K$9:$S$246,9))</f>
        <v>42.423409137931</v>
      </c>
      <c r="Q74" s="180" t="n">
        <f aca="false">'Revenues &amp; Expenses'!$AM$5*1000*'Revenues &amp; Expenses'!O82</f>
        <v>2.36760621745088</v>
      </c>
      <c r="S74" s="204" t="n">
        <f aca="false">IF(M74&gt;N74,1,0)</f>
        <v>0</v>
      </c>
      <c r="T74" s="204" t="n">
        <f aca="false">'Revenues &amp; Expenses'!$S$3</f>
        <v>310.66</v>
      </c>
      <c r="U74" s="212" t="n">
        <f aca="false">T74*'Revenues &amp; Expenses'!F82*4</f>
        <v>27338.08</v>
      </c>
      <c r="W74" s="212" t="n">
        <f aca="false">IF(S74&gt;0,(M74-N74)*U74,0)</f>
        <v>0</v>
      </c>
    </row>
    <row r="75" customFormat="false" ht="12.75" hidden="false" customHeight="false" outlineLevel="0" collapsed="false">
      <c r="B75" s="240" t="n">
        <v>38838</v>
      </c>
      <c r="C75" s="218" t="n">
        <f aca="false">VLOOKUP(B75,'Company Gas Prices'!$B$25:$C$259,2)</f>
        <v>3.81770833</v>
      </c>
      <c r="D75" s="180" t="n">
        <f aca="false">VLOOKUP(B75,'Fuel Curve'!$B$7:$F$268,5)</f>
        <v>4.35931034482759</v>
      </c>
      <c r="E75" s="180" t="n">
        <f aca="false">D75-C75</f>
        <v>0.541602014827587</v>
      </c>
      <c r="G75" s="240" t="n">
        <v>38838</v>
      </c>
      <c r="H75" s="180" t="n">
        <f aca="false">VLOOKUP(G75,'Company Power Prices'!$B$25:$C$259,2)</f>
        <v>56.393783</v>
      </c>
      <c r="I75" s="180" t="n">
        <f aca="false">VLOOKUP(G75,'Super Peak Curve Simulation'!$B$4:$C$225,2)</f>
        <v>35.7609713940906</v>
      </c>
      <c r="J75" s="259" t="n">
        <f aca="false">I75-H75</f>
        <v>-20.6328116059094</v>
      </c>
      <c r="L75" s="240" t="n">
        <v>38838</v>
      </c>
      <c r="M75" s="180" t="n">
        <f aca="false">IF($L$1=1,VLOOKUP(L75,'Super Peak Curve Simulation'!$B$7:$N$225,12),VLOOKUP(L75,'PJM Curve Simulation'!$B$9:$J$246,9))</f>
        <v>32.575</v>
      </c>
      <c r="N75" s="180" t="n">
        <f aca="false">P75+Q75</f>
        <v>44.1307023167555</v>
      </c>
      <c r="P75" s="180" t="n">
        <f aca="false">IF($L$1=1,VLOOKUP(L75,'Fuel Curve'!$B$7:$H$246,7),VLOOKUP(L75,'Revenues &amp; Expenses'!$K$9:$S$246,9))</f>
        <v>41.7578337931035</v>
      </c>
      <c r="Q75" s="180" t="n">
        <f aca="false">'Revenues &amp; Expenses'!$AM$5*1000*'Revenues &amp; Expenses'!O83</f>
        <v>2.37286852365208</v>
      </c>
      <c r="S75" s="204" t="n">
        <f aca="false">IF(M75&gt;N75,1,0)</f>
        <v>0</v>
      </c>
      <c r="T75" s="204" t="n">
        <f aca="false">'Revenues &amp; Expenses'!$S$3</f>
        <v>310.66</v>
      </c>
      <c r="U75" s="212" t="n">
        <f aca="false">T75*'Revenues &amp; Expenses'!F83*4</f>
        <v>28580.72</v>
      </c>
      <c r="W75" s="212" t="n">
        <f aca="false">IF(S75&gt;0,(M75-N75)*U75,0)</f>
        <v>0</v>
      </c>
    </row>
    <row r="76" customFormat="false" ht="12.75" hidden="false" customHeight="false" outlineLevel="0" collapsed="false">
      <c r="B76" s="240" t="n">
        <v>38869</v>
      </c>
      <c r="C76" s="218" t="n">
        <f aca="false">VLOOKUP(B76,'Company Gas Prices'!$B$25:$C$259,2)</f>
        <v>3.809375</v>
      </c>
      <c r="D76" s="180" t="n">
        <f aca="false">VLOOKUP(B76,'Fuel Curve'!$B$7:$F$268,5)</f>
        <v>4.35137931034483</v>
      </c>
      <c r="E76" s="180" t="n">
        <f aca="false">D76-C76</f>
        <v>0.542004310344828</v>
      </c>
      <c r="G76" s="240" t="n">
        <v>38869</v>
      </c>
      <c r="H76" s="180" t="n">
        <f aca="false">VLOOKUP(G76,'Company Power Prices'!$B$25:$C$259,2)</f>
        <v>102.645548</v>
      </c>
      <c r="I76" s="180" t="n">
        <f aca="false">VLOOKUP(G76,'Super Peak Curve Simulation'!$B$4:$C$225,2)</f>
        <v>70.7683057965106</v>
      </c>
      <c r="J76" s="259" t="n">
        <f aca="false">I76-H76</f>
        <v>-31.8772422034894</v>
      </c>
      <c r="L76" s="240" t="n">
        <v>38869</v>
      </c>
      <c r="M76" s="180" t="n">
        <f aca="false">IF($L$1=1,VLOOKUP(L76,'Super Peak Curve Simulation'!$B$7:$N$225,12),VLOOKUP(L76,'PJM Curve Simulation'!$B$9:$J$246,9))</f>
        <v>57.3499984741211</v>
      </c>
      <c r="N76" s="180" t="n">
        <f aca="false">P76+Q76</f>
        <v>44.0600049397918</v>
      </c>
      <c r="P76" s="180" t="n">
        <f aca="false">IF($L$1=1,VLOOKUP(L76,'Fuel Curve'!$B$7:$H$246,7),VLOOKUP(L76,'Revenues &amp; Expenses'!$K$9:$S$246,9))</f>
        <v>41.6818624137931</v>
      </c>
      <c r="Q76" s="180" t="n">
        <f aca="false">'Revenues &amp; Expenses'!$AM$5*1000*'Revenues &amp; Expenses'!O84</f>
        <v>2.37814252599867</v>
      </c>
      <c r="S76" s="204" t="n">
        <f aca="false">IF(M76&gt;N76,1,0)</f>
        <v>1</v>
      </c>
      <c r="T76" s="204" t="n">
        <f aca="false">'Revenues &amp; Expenses'!$S$3</f>
        <v>310.66</v>
      </c>
      <c r="U76" s="212" t="n">
        <f aca="false">T76*'Revenues &amp; Expenses'!F84*4</f>
        <v>24852.8</v>
      </c>
      <c r="W76" s="212" t="n">
        <f aca="false">IF(S76&gt;0,(M76-N76)*U76,0)</f>
        <v>330293.55130998</v>
      </c>
    </row>
    <row r="77" customFormat="false" ht="12.75" hidden="false" customHeight="false" outlineLevel="0" collapsed="false">
      <c r="B77" s="240" t="n">
        <v>38899</v>
      </c>
      <c r="C77" s="218" t="n">
        <f aca="false">VLOOKUP(B77,'Company Gas Prices'!$B$25:$C$259,2)</f>
        <v>3.771875</v>
      </c>
      <c r="D77" s="180" t="n">
        <f aca="false">VLOOKUP(B77,'Fuel Curve'!$B$7:$F$268,5)</f>
        <v>4.40637931034483</v>
      </c>
      <c r="E77" s="180" t="n">
        <f aca="false">D77-C77</f>
        <v>0.634504310344828</v>
      </c>
      <c r="G77" s="240" t="n">
        <v>38899</v>
      </c>
      <c r="H77" s="180" t="n">
        <f aca="false">VLOOKUP(G77,'Company Power Prices'!$B$25:$C$259,2)</f>
        <v>159.3501702</v>
      </c>
      <c r="I77" s="180" t="n">
        <f aca="false">VLOOKUP(G77,'Super Peak Curve Simulation'!$B$4:$C$225,2)</f>
        <v>128.614787530468</v>
      </c>
      <c r="J77" s="259" t="n">
        <f aca="false">I77-H77</f>
        <v>-30.7353826695321</v>
      </c>
      <c r="L77" s="240" t="n">
        <v>38899</v>
      </c>
      <c r="M77" s="180" t="n">
        <f aca="false">IF($L$1=1,VLOOKUP(L77,'Super Peak Curve Simulation'!$B$7:$N$225,12),VLOOKUP(L77,'PJM Curve Simulation'!$B$9:$J$246,9))</f>
        <v>97.9499969482422</v>
      </c>
      <c r="N77" s="180" t="n">
        <f aca="false">P77+Q77</f>
        <v>44.5921356642799</v>
      </c>
      <c r="P77" s="180" t="n">
        <f aca="false">IF($L$1=1,VLOOKUP(L77,'Fuel Curve'!$B$7:$H$246,7),VLOOKUP(L77,'Revenues &amp; Expenses'!$K$9:$S$246,9))</f>
        <v>42.2087074137931</v>
      </c>
      <c r="Q77" s="180" t="n">
        <f aca="false">'Revenues &amp; Expenses'!$AM$5*1000*'Revenues &amp; Expenses'!O85</f>
        <v>2.38342825048682</v>
      </c>
      <c r="S77" s="204" t="n">
        <f aca="false">IF(M77&gt;N77,1,0)</f>
        <v>1</v>
      </c>
      <c r="T77" s="204" t="n">
        <f aca="false">'Revenues &amp; Expenses'!$S$3</f>
        <v>310.66</v>
      </c>
      <c r="U77" s="212" t="n">
        <f aca="false">T77*'Revenues &amp; Expenses'!F85*4</f>
        <v>28580.72</v>
      </c>
      <c r="W77" s="212" t="n">
        <f aca="false">IF(S77&gt;0,(M77-N77)*U77,0)</f>
        <v>1525006.09315577</v>
      </c>
    </row>
    <row r="78" customFormat="false" ht="12.75" hidden="false" customHeight="false" outlineLevel="0" collapsed="false">
      <c r="B78" s="240" t="n">
        <v>38930</v>
      </c>
      <c r="C78" s="218" t="n">
        <f aca="false">VLOOKUP(B78,'Company Gas Prices'!$B$25:$C$259,2)</f>
        <v>3.771875</v>
      </c>
      <c r="D78" s="180" t="n">
        <f aca="false">VLOOKUP(B78,'Fuel Curve'!$B$7:$F$268,5)</f>
        <v>4.49465517241379</v>
      </c>
      <c r="E78" s="180" t="n">
        <f aca="false">D78-C78</f>
        <v>0.722780172413793</v>
      </c>
      <c r="G78" s="240" t="n">
        <v>38930</v>
      </c>
      <c r="H78" s="180" t="n">
        <f aca="false">VLOOKUP(G78,'Company Power Prices'!$B$25:$C$259,2)</f>
        <v>159.3501702</v>
      </c>
      <c r="I78" s="180" t="n">
        <f aca="false">VLOOKUP(G78,'Super Peak Curve Simulation'!$B$4:$C$225,2)</f>
        <v>104.262520001659</v>
      </c>
      <c r="J78" s="259" t="n">
        <f aca="false">I78-H78</f>
        <v>-55.087650198341</v>
      </c>
      <c r="L78" s="240" t="n">
        <v>38930</v>
      </c>
      <c r="M78" s="180" t="n">
        <f aca="false">IF($L$1=1,VLOOKUP(L78,'Super Peak Curve Simulation'!$B$7:$N$225,12),VLOOKUP(L78,'PJM Curve Simulation'!$B$9:$J$246,9))</f>
        <v>84.9499969482422</v>
      </c>
      <c r="N78" s="180" t="n">
        <f aca="false">P78+Q78</f>
        <v>45.4430276197222</v>
      </c>
      <c r="P78" s="180" t="n">
        <f aca="false">IF($L$1=1,VLOOKUP(L78,'Fuel Curve'!$B$7:$H$246,7),VLOOKUP(L78,'Revenues &amp; Expenses'!$K$9:$S$246,9))</f>
        <v>43.0543018965517</v>
      </c>
      <c r="Q78" s="180" t="n">
        <f aca="false">'Revenues &amp; Expenses'!$AM$5*1000*'Revenues &amp; Expenses'!O86</f>
        <v>2.3887257231705</v>
      </c>
      <c r="S78" s="204" t="n">
        <f aca="false">IF(M78&gt;N78,1,0)</f>
        <v>1</v>
      </c>
      <c r="T78" s="204" t="n">
        <f aca="false">'Revenues &amp; Expenses'!$S$3</f>
        <v>310.66</v>
      </c>
      <c r="U78" s="212" t="n">
        <f aca="false">T78*'Revenues &amp; Expenses'!F86*4</f>
        <v>27338.08</v>
      </c>
      <c r="W78" s="212" t="n">
        <f aca="false">IF(S78&gt;0,(M78-N78)*U78,0)</f>
        <v>1080044.68806063</v>
      </c>
    </row>
    <row r="79" customFormat="false" ht="12.75" hidden="false" customHeight="false" outlineLevel="0" collapsed="false">
      <c r="B79" s="240" t="n">
        <v>38961</v>
      </c>
      <c r="C79" s="218" t="n">
        <f aca="false">VLOOKUP(B79,'Company Gas Prices'!$B$25:$C$259,2)</f>
        <v>3.81770833</v>
      </c>
      <c r="D79" s="180" t="n">
        <f aca="false">VLOOKUP(B79,'Fuel Curve'!$B$7:$F$268,5)</f>
        <v>4.58810344827586</v>
      </c>
      <c r="E79" s="180" t="n">
        <f aca="false">D79-C79</f>
        <v>0.770395118275862</v>
      </c>
      <c r="G79" s="240" t="n">
        <v>38961</v>
      </c>
      <c r="H79" s="180" t="n">
        <f aca="false">VLOOKUP(G79,'Company Power Prices'!$B$25:$C$259,2)</f>
        <v>56.393783</v>
      </c>
      <c r="I79" s="180" t="n">
        <f aca="false">VLOOKUP(G79,'Super Peak Curve Simulation'!$B$4:$C$225,2)</f>
        <v>39.7633851600262</v>
      </c>
      <c r="J79" s="259" t="n">
        <f aca="false">I79-H79</f>
        <v>-16.6303978399738</v>
      </c>
      <c r="L79" s="240" t="n">
        <v>38961</v>
      </c>
      <c r="M79" s="180" t="n">
        <f aca="false">IF($L$1=1,VLOOKUP(L79,'Super Peak Curve Simulation'!$B$7:$N$225,12),VLOOKUP(L79,'PJM Curve Simulation'!$B$9:$J$246,9))</f>
        <v>34.4249984741211</v>
      </c>
      <c r="N79" s="180" t="n">
        <f aca="false">P79+Q79</f>
        <v>46.343477901196</v>
      </c>
      <c r="P79" s="180" t="n">
        <f aca="false">IF($L$1=1,VLOOKUP(L79,'Fuel Curve'!$B$7:$H$246,7),VLOOKUP(L79,'Revenues &amp; Expenses'!$K$9:$S$246,9))</f>
        <v>43.9494429310345</v>
      </c>
      <c r="Q79" s="180" t="n">
        <f aca="false">'Revenues &amp; Expenses'!$AM$5*1000*'Revenues &amp; Expenses'!O87</f>
        <v>2.39403497016155</v>
      </c>
      <c r="S79" s="204" t="n">
        <f aca="false">IF(M79&gt;N79,1,0)</f>
        <v>0</v>
      </c>
      <c r="T79" s="204" t="n">
        <f aca="false">'Revenues &amp; Expenses'!$S$3</f>
        <v>310.66</v>
      </c>
      <c r="U79" s="212" t="n">
        <f aca="false">T79*'Revenues &amp; Expenses'!F87*4</f>
        <v>26095.44</v>
      </c>
      <c r="W79" s="212" t="n">
        <f aca="false">IF(S79&gt;0,(M79-N79)*U79,0)</f>
        <v>0</v>
      </c>
    </row>
    <row r="80" customFormat="false" ht="12.75" hidden="false" customHeight="false" outlineLevel="0" collapsed="false">
      <c r="B80" s="240" t="n">
        <v>38991</v>
      </c>
      <c r="C80" s="218" t="n">
        <f aca="false">VLOOKUP(B80,'Company Gas Prices'!$B$25:$C$259,2)</f>
        <v>3.778125</v>
      </c>
      <c r="D80" s="180" t="n">
        <f aca="false">VLOOKUP(B80,'Fuel Curve'!$B$7:$F$268,5)</f>
        <v>4.67862068965517</v>
      </c>
      <c r="E80" s="180" t="n">
        <f aca="false">D80-C80</f>
        <v>0.900495689655173</v>
      </c>
      <c r="G80" s="240" t="n">
        <v>38991</v>
      </c>
      <c r="H80" s="180" t="n">
        <f aca="false">VLOOKUP(G80,'Company Power Prices'!$B$25:$C$259,2)</f>
        <v>47.89323737</v>
      </c>
      <c r="I80" s="180" t="n">
        <f aca="false">VLOOKUP(G80,'Super Peak Curve Simulation'!$B$4:$C$225,2)</f>
        <v>32.980404823122</v>
      </c>
      <c r="J80" s="259" t="n">
        <f aca="false">I80-H80</f>
        <v>-14.912832546878</v>
      </c>
      <c r="L80" s="240" t="n">
        <v>38991</v>
      </c>
      <c r="M80" s="180" t="n">
        <f aca="false">IF($L$1=1,VLOOKUP(L80,'Super Peak Curve Simulation'!$B$7:$N$225,12),VLOOKUP(L80,'PJM Curve Simulation'!$B$9:$J$246,9))</f>
        <v>28.0750003814697</v>
      </c>
      <c r="N80" s="180" t="n">
        <f aca="false">P80+Q80</f>
        <v>47.2158636038368</v>
      </c>
      <c r="P80" s="180" t="n">
        <f aca="false">IF($L$1=1,VLOOKUP(L80,'Fuel Curve'!$B$7:$H$246,7),VLOOKUP(L80,'Revenues &amp; Expenses'!$K$9:$S$246,9))</f>
        <v>44.8165075862069</v>
      </c>
      <c r="Q80" s="180" t="n">
        <f aca="false">'Revenues &amp; Expenses'!$AM$5*1000*'Revenues &amp; Expenses'!O88</f>
        <v>2.39935601762988</v>
      </c>
      <c r="S80" s="204" t="n">
        <f aca="false">IF(M80&gt;N80,1,0)</f>
        <v>0</v>
      </c>
      <c r="T80" s="204" t="n">
        <f aca="false">'Revenues &amp; Expenses'!$S$3</f>
        <v>310.66</v>
      </c>
      <c r="U80" s="212" t="n">
        <f aca="false">T80*'Revenues &amp; Expenses'!F88*4</f>
        <v>28580.72</v>
      </c>
      <c r="W80" s="212" t="n">
        <f aca="false">IF(S80&gt;0,(M80-N80)*U80,0)</f>
        <v>0</v>
      </c>
    </row>
    <row r="81" customFormat="false" ht="12.75" hidden="false" customHeight="false" outlineLevel="0" collapsed="false">
      <c r="B81" s="240" t="n">
        <v>39022</v>
      </c>
      <c r="C81" s="218" t="n">
        <f aca="false">VLOOKUP(B81,'Company Gas Prices'!$B$25:$C$259,2)</f>
        <v>3.778125</v>
      </c>
      <c r="D81" s="180" t="n">
        <f aca="false">VLOOKUP(B81,'Fuel Curve'!$B$7:$F$268,5)</f>
        <v>4.76706896551724</v>
      </c>
      <c r="E81" s="180" t="n">
        <f aca="false">D81-C81</f>
        <v>0.988943965517242</v>
      </c>
      <c r="G81" s="240" t="n">
        <v>39022</v>
      </c>
      <c r="H81" s="180" t="n">
        <f aca="false">VLOOKUP(G81,'Company Power Prices'!$B$25:$C$259,2)</f>
        <v>50.22016553</v>
      </c>
      <c r="I81" s="180" t="n">
        <f aca="false">VLOOKUP(G81,'Super Peak Curve Simulation'!$B$4:$C$225,2)</f>
        <v>33.0424155972672</v>
      </c>
      <c r="J81" s="259" t="n">
        <f aca="false">I81-H81</f>
        <v>-17.1777499327329</v>
      </c>
      <c r="L81" s="240" t="n">
        <v>39022</v>
      </c>
      <c r="M81" s="180" t="n">
        <f aca="false">IF($L$1=1,VLOOKUP(L81,'Super Peak Curve Simulation'!$B$7:$N$225,12),VLOOKUP(L81,'PJM Curve Simulation'!$B$9:$J$246,9))</f>
        <v>27.7474990844727</v>
      </c>
      <c r="N81" s="180" t="n">
        <f aca="false">P81+Q81</f>
        <v>48.0684425124932</v>
      </c>
      <c r="P81" s="180" t="n">
        <f aca="false">IF($L$1=1,VLOOKUP(L81,'Fuel Curve'!$B$7:$H$246,7),VLOOKUP(L81,'Revenues &amp; Expenses'!$K$9:$S$246,9))</f>
        <v>45.6637536206897</v>
      </c>
      <c r="Q81" s="180" t="n">
        <f aca="false">'Revenues &amp; Expenses'!$AM$5*1000*'Revenues &amp; Expenses'!O89</f>
        <v>2.40468889180354</v>
      </c>
      <c r="S81" s="204" t="n">
        <f aca="false">IF(M81&gt;N81,1,0)</f>
        <v>0</v>
      </c>
      <c r="T81" s="204" t="n">
        <f aca="false">'Revenues &amp; Expenses'!$S$3</f>
        <v>310.66</v>
      </c>
      <c r="U81" s="212" t="n">
        <f aca="false">T81*'Revenues &amp; Expenses'!F89*4</f>
        <v>26095.44</v>
      </c>
      <c r="W81" s="212" t="n">
        <f aca="false">IF(S81&gt;0,(M81-N81)*U81,0)</f>
        <v>0</v>
      </c>
    </row>
    <row r="82" customFormat="false" ht="12.75" hidden="false" customHeight="false" outlineLevel="0" collapsed="false">
      <c r="B82" s="240" t="n">
        <v>39052</v>
      </c>
      <c r="C82" s="218" t="n">
        <f aca="false">VLOOKUP(B82,'Company Gas Prices'!$B$25:$C$259,2)</f>
        <v>3.778125</v>
      </c>
      <c r="D82" s="180" t="n">
        <f aca="false">VLOOKUP(B82,'Fuel Curve'!$B$7:$F$268,5)</f>
        <v>4.80896551724138</v>
      </c>
      <c r="E82" s="180" t="n">
        <f aca="false">D82-C82</f>
        <v>1.03084051724138</v>
      </c>
      <c r="G82" s="240" t="n">
        <v>39052</v>
      </c>
      <c r="H82" s="180" t="n">
        <f aca="false">VLOOKUP(G82,'Company Power Prices'!$B$25:$C$259,2)</f>
        <v>50.22016553</v>
      </c>
      <c r="I82" s="180" t="n">
        <f aca="false">VLOOKUP(G82,'Super Peak Curve Simulation'!$B$4:$C$225,2)</f>
        <v>35.575934303647</v>
      </c>
      <c r="J82" s="259" t="n">
        <f aca="false">I82-H82</f>
        <v>-14.644231226353</v>
      </c>
      <c r="L82" s="240" t="n">
        <v>39052</v>
      </c>
      <c r="M82" s="180" t="n">
        <f aca="false">IF($L$1=1,VLOOKUP(L82,'Super Peak Curve Simulation'!$B$7:$N$225,12),VLOOKUP(L82,'PJM Curve Simulation'!$B$9:$J$246,9))</f>
        <v>29.4999996185303</v>
      </c>
      <c r="N82" s="180" t="n">
        <f aca="false">P82+Q82</f>
        <v>48.4751143086241</v>
      </c>
      <c r="P82" s="180" t="n">
        <f aca="false">IF($L$1=1,VLOOKUP(L82,'Fuel Curve'!$B$7:$H$246,7),VLOOKUP(L82,'Revenues &amp; Expenses'!$K$9:$S$246,9))</f>
        <v>46.0650806896552</v>
      </c>
      <c r="Q82" s="180" t="n">
        <f aca="false">'Revenues &amp; Expenses'!$AM$5*1000*'Revenues &amp; Expenses'!O90</f>
        <v>2.4100336189689</v>
      </c>
      <c r="S82" s="204" t="n">
        <f aca="false">IF(M82&gt;N82,1,0)</f>
        <v>0</v>
      </c>
      <c r="T82" s="204" t="n">
        <f aca="false">'Revenues &amp; Expenses'!$S$3</f>
        <v>310.66</v>
      </c>
      <c r="U82" s="212" t="n">
        <f aca="false">T82*'Revenues &amp; Expenses'!F90*4</f>
        <v>27338.08</v>
      </c>
      <c r="W82" s="212" t="n">
        <f aca="false">IF(S82&gt;0,(M82-N82)*U82,0)</f>
        <v>0</v>
      </c>
    </row>
    <row r="83" customFormat="false" ht="12.75" hidden="false" customHeight="false" outlineLevel="0" collapsed="false">
      <c r="B83" s="240" t="n">
        <v>39083</v>
      </c>
      <c r="C83" s="218" t="n">
        <f aca="false">VLOOKUP(B83,'Company Gas Prices'!$B$25:$C$259,2)</f>
        <v>3.83541667</v>
      </c>
      <c r="D83" s="180" t="n">
        <f aca="false">VLOOKUP(B83,'Fuel Curve'!$B$7:$F$268,5)</f>
        <v>4.75258620689655</v>
      </c>
      <c r="E83" s="180" t="n">
        <f aca="false">D83-C83</f>
        <v>0.917169536896553</v>
      </c>
      <c r="G83" s="240" t="n">
        <v>39083</v>
      </c>
      <c r="H83" s="180" t="n">
        <f aca="false">VLOOKUP(G83,'Company Power Prices'!$B$25:$C$259,2)</f>
        <v>47.92342798</v>
      </c>
      <c r="I83" s="180" t="n">
        <f aca="false">VLOOKUP(G83,'Super Peak Curve Simulation'!$B$4:$C$225,2)</f>
        <v>46.9947933701428</v>
      </c>
      <c r="J83" s="259" t="n">
        <f aca="false">I83-H83</f>
        <v>-0.928634609857184</v>
      </c>
      <c r="L83" s="240" t="n">
        <v>39083</v>
      </c>
      <c r="M83" s="180" t="n">
        <f aca="false">IF($L$1=1,VLOOKUP(L83,'Super Peak Curve Simulation'!$B$7:$N$225,12),VLOOKUP(L83,'PJM Curve Simulation'!$B$9:$J$246,9))</f>
        <v>38.3249984741211</v>
      </c>
      <c r="N83" s="180" t="n">
        <f aca="false">P83+Q83</f>
        <v>47.9404135013328</v>
      </c>
      <c r="P83" s="180" t="n">
        <f aca="false">IF($L$1=1,VLOOKUP(L83,'Fuel Curve'!$B$7:$H$246,7),VLOOKUP(L83,'Revenues &amp; Expenses'!$K$9:$S$246,9))</f>
        <v>45.5250232758621</v>
      </c>
      <c r="Q83" s="180" t="n">
        <f aca="false">'Revenues &amp; Expenses'!$AM$5*1000*'Revenues &amp; Expenses'!O91</f>
        <v>2.41539022547074</v>
      </c>
      <c r="S83" s="204" t="n">
        <f aca="false">IF(M83&gt;N83,1,0)</f>
        <v>0</v>
      </c>
      <c r="T83" s="204" t="n">
        <f aca="false">'Revenues &amp; Expenses'!$S$3</f>
        <v>310.66</v>
      </c>
      <c r="U83" s="212" t="n">
        <f aca="false">T83*'Revenues &amp; Expenses'!F91*4</f>
        <v>28580.72</v>
      </c>
      <c r="W83" s="212" t="n">
        <f aca="false">IF(S83&gt;0,(M83-N83)*U83,0)</f>
        <v>0</v>
      </c>
    </row>
    <row r="84" customFormat="false" ht="12.75" hidden="false" customHeight="false" outlineLevel="0" collapsed="false">
      <c r="B84" s="240" t="n">
        <v>39114</v>
      </c>
      <c r="C84" s="218" t="n">
        <f aca="false">VLOOKUP(B84,'Company Gas Prices'!$B$25:$C$259,2)</f>
        <v>3.83541667</v>
      </c>
      <c r="D84" s="180" t="n">
        <f aca="false">VLOOKUP(B84,'Fuel Curve'!$B$7:$F$268,5)</f>
        <v>4.65258620689655</v>
      </c>
      <c r="E84" s="180" t="n">
        <f aca="false">D84-C84</f>
        <v>0.817169536896553</v>
      </c>
      <c r="G84" s="240" t="n">
        <v>39114</v>
      </c>
      <c r="H84" s="180" t="n">
        <f aca="false">VLOOKUP(G84,'Company Power Prices'!$B$25:$C$259,2)</f>
        <v>41.7504818</v>
      </c>
      <c r="I84" s="180" t="n">
        <f aca="false">VLOOKUP(G84,'Super Peak Curve Simulation'!$B$4:$C$225,2)</f>
        <v>46.9947933701428</v>
      </c>
      <c r="J84" s="259" t="n">
        <f aca="false">I84-H84</f>
        <v>5.24431157014281</v>
      </c>
      <c r="L84" s="240" t="n">
        <v>39114</v>
      </c>
      <c r="M84" s="180" t="n">
        <f aca="false">IF($L$1=1,VLOOKUP(L84,'Super Peak Curve Simulation'!$B$7:$N$225,12),VLOOKUP(L84,'PJM Curve Simulation'!$B$9:$J$246,9))</f>
        <v>38.3249984741211</v>
      </c>
      <c r="N84" s="180" t="n">
        <f aca="false">P84+Q84</f>
        <v>46.9878820135745</v>
      </c>
      <c r="P84" s="180" t="n">
        <f aca="false">IF($L$1=1,VLOOKUP(L84,'Fuel Curve'!$B$7:$H$246,7),VLOOKUP(L84,'Revenues &amp; Expenses'!$K$9:$S$246,9))</f>
        <v>44.5671232758621</v>
      </c>
      <c r="Q84" s="180" t="n">
        <f aca="false">'Revenues &amp; Expenses'!$AM$5*1000*'Revenues &amp; Expenses'!O92</f>
        <v>2.42075873771239</v>
      </c>
      <c r="S84" s="204" t="n">
        <f aca="false">IF(M84&gt;N84,1,0)</f>
        <v>0</v>
      </c>
      <c r="T84" s="204" t="n">
        <f aca="false">'Revenues &amp; Expenses'!$S$3</f>
        <v>310.66</v>
      </c>
      <c r="U84" s="212" t="n">
        <f aca="false">T84*'Revenues &amp; Expenses'!F92*4</f>
        <v>24852.8</v>
      </c>
      <c r="W84" s="212" t="n">
        <f aca="false">IF(S84&gt;0,(M84-N84)*U84,0)</f>
        <v>0</v>
      </c>
    </row>
    <row r="85" customFormat="false" ht="12.75" hidden="false" customHeight="false" outlineLevel="0" collapsed="false">
      <c r="B85" s="240" t="n">
        <v>39142</v>
      </c>
      <c r="C85" s="218" t="n">
        <f aca="false">VLOOKUP(B85,'Company Gas Prices'!$B$25:$C$259,2)</f>
        <v>3.83541667</v>
      </c>
      <c r="D85" s="180" t="n">
        <f aca="false">VLOOKUP(B85,'Fuel Curve'!$B$7:$F$268,5)</f>
        <v>4.55551724137931</v>
      </c>
      <c r="E85" s="180" t="n">
        <f aca="false">D85-C85</f>
        <v>0.720100571379311</v>
      </c>
      <c r="G85" s="240" t="n">
        <v>39142</v>
      </c>
      <c r="H85" s="180" t="n">
        <f aca="false">VLOOKUP(G85,'Company Power Prices'!$B$25:$C$259,2)</f>
        <v>41.7504818</v>
      </c>
      <c r="I85" s="180" t="n">
        <f aca="false">VLOOKUP(G85,'Super Peak Curve Simulation'!$B$4:$C$225,2)</f>
        <v>34.115112177906</v>
      </c>
      <c r="J85" s="259" t="n">
        <f aca="false">I85-H85</f>
        <v>-7.63536962209396</v>
      </c>
      <c r="L85" s="240" t="n">
        <v>39142</v>
      </c>
      <c r="M85" s="180" t="n">
        <f aca="false">IF($L$1=1,VLOOKUP(L85,'Super Peak Curve Simulation'!$B$7:$N$225,12),VLOOKUP(L85,'PJM Curve Simulation'!$B$9:$J$246,9))</f>
        <v>28.0500007629395</v>
      </c>
      <c r="N85" s="180" t="n">
        <f aca="false">P85+Q85</f>
        <v>46.0634388373283</v>
      </c>
      <c r="P85" s="180" t="n">
        <f aca="false">IF($L$1=1,VLOOKUP(L85,'Fuel Curve'!$B$7:$H$246,7),VLOOKUP(L85,'Revenues &amp; Expenses'!$K$9:$S$246,9))</f>
        <v>43.6372996551724</v>
      </c>
      <c r="Q85" s="180" t="n">
        <f aca="false">'Revenues &amp; Expenses'!$AM$5*1000*'Revenues &amp; Expenses'!O93</f>
        <v>2.42613918215589</v>
      </c>
      <c r="S85" s="204" t="n">
        <f aca="false">IF(M85&gt;N85,1,0)</f>
        <v>0</v>
      </c>
      <c r="T85" s="204" t="n">
        <f aca="false">'Revenues &amp; Expenses'!$S$3</f>
        <v>310.66</v>
      </c>
      <c r="U85" s="212" t="n">
        <f aca="false">T85*'Revenues &amp; Expenses'!F93*4</f>
        <v>26095.44</v>
      </c>
      <c r="W85" s="212" t="n">
        <f aca="false">IF(S85&gt;0,(M85-N85)*U85,0)</f>
        <v>0</v>
      </c>
    </row>
    <row r="86" customFormat="false" ht="12.75" hidden="false" customHeight="false" outlineLevel="0" collapsed="false">
      <c r="B86" s="240" t="n">
        <v>39173</v>
      </c>
      <c r="C86" s="218" t="n">
        <f aca="false">VLOOKUP(B86,'Company Gas Prices'!$B$25:$C$259,2)</f>
        <v>3.98020833</v>
      </c>
      <c r="D86" s="180" t="n">
        <f aca="false">VLOOKUP(B86,'Fuel Curve'!$B$7:$F$268,5)</f>
        <v>4.4548275862069</v>
      </c>
      <c r="E86" s="180" t="n">
        <f aca="false">D86-C86</f>
        <v>0.474619256206897</v>
      </c>
      <c r="G86" s="240" t="n">
        <v>39173</v>
      </c>
      <c r="H86" s="180" t="n">
        <f aca="false">VLOOKUP(G86,'Company Power Prices'!$B$25:$C$259,2)</f>
        <v>46.21525271</v>
      </c>
      <c r="I86" s="180" t="n">
        <f aca="false">VLOOKUP(G86,'Super Peak Curve Simulation'!$B$4:$C$225,2)</f>
        <v>31.5636315957423</v>
      </c>
      <c r="J86" s="259" t="n">
        <f aca="false">I86-H86</f>
        <v>-14.6516211142577</v>
      </c>
      <c r="L86" s="240" t="n">
        <v>39173</v>
      </c>
      <c r="M86" s="180" t="n">
        <f aca="false">IF($L$1=1,VLOOKUP(L86,'Super Peak Curve Simulation'!$B$7:$N$225,12),VLOOKUP(L86,'PJM Curve Simulation'!$B$9:$J$246,9))</f>
        <v>27.8250007629395</v>
      </c>
      <c r="N86" s="180" t="n">
        <f aca="false">P86+Q86</f>
        <v>45.1043250335979</v>
      </c>
      <c r="P86" s="180" t="n">
        <f aca="false">IF($L$1=1,VLOOKUP(L86,'Fuel Curve'!$B$7:$H$246,7),VLOOKUP(L86,'Revenues &amp; Expenses'!$K$9:$S$246,9))</f>
        <v>42.6727934482759</v>
      </c>
      <c r="Q86" s="180" t="n">
        <f aca="false">'Revenues &amp; Expenses'!$AM$5*1000*'Revenues &amp; Expenses'!O94</f>
        <v>2.43153158532206</v>
      </c>
      <c r="S86" s="204" t="n">
        <f aca="false">IF(M86&gt;N86,1,0)</f>
        <v>0</v>
      </c>
      <c r="T86" s="204" t="n">
        <f aca="false">'Revenues &amp; Expenses'!$S$3</f>
        <v>310.66</v>
      </c>
      <c r="U86" s="212" t="n">
        <f aca="false">T86*'Revenues &amp; Expenses'!F94*4</f>
        <v>27338.08</v>
      </c>
      <c r="W86" s="212" t="n">
        <f aca="false">IF(S86&gt;0,(M86-N86)*U86,0)</f>
        <v>0</v>
      </c>
    </row>
    <row r="87" customFormat="false" ht="12.75" hidden="false" customHeight="false" outlineLevel="0" collapsed="false">
      <c r="B87" s="240" t="n">
        <v>39203</v>
      </c>
      <c r="C87" s="218" t="n">
        <f aca="false">VLOOKUP(B87,'Company Gas Prices'!$B$25:$C$259,2)</f>
        <v>3.81770833</v>
      </c>
      <c r="D87" s="180" t="n">
        <f aca="false">VLOOKUP(B87,'Fuel Curve'!$B$7:$F$268,5)</f>
        <v>4.38758620689655</v>
      </c>
      <c r="E87" s="180" t="n">
        <f aca="false">D87-C87</f>
        <v>0.569877876896552</v>
      </c>
      <c r="G87" s="240" t="n">
        <v>39203</v>
      </c>
      <c r="H87" s="180" t="n">
        <f aca="false">VLOOKUP(G87,'Company Power Prices'!$B$25:$C$259,2)</f>
        <v>58.91594225</v>
      </c>
      <c r="I87" s="180" t="n">
        <f aca="false">VLOOKUP(G87,'Super Peak Curve Simulation'!$B$4:$C$225,2)</f>
        <v>36.8587755811694</v>
      </c>
      <c r="J87" s="259" t="n">
        <f aca="false">I87-H87</f>
        <v>-22.0571666688306</v>
      </c>
      <c r="L87" s="240" t="n">
        <v>39203</v>
      </c>
      <c r="M87" s="180" t="n">
        <f aca="false">IF($L$1=1,VLOOKUP(L87,'Super Peak Curve Simulation'!$B$7:$N$225,12),VLOOKUP(L87,'PJM Curve Simulation'!$B$9:$J$246,9))</f>
        <v>33.575</v>
      </c>
      <c r="N87" s="180" t="n">
        <f aca="false">P87+Q87</f>
        <v>44.4656242496528</v>
      </c>
      <c r="P87" s="180" t="n">
        <f aca="false">IF($L$1=1,VLOOKUP(L87,'Fuel Curve'!$B$7:$H$246,7),VLOOKUP(L87,'Revenues &amp; Expenses'!$K$9:$S$246,9))</f>
        <v>42.0286882758621</v>
      </c>
      <c r="Q87" s="180" t="n">
        <f aca="false">'Revenues &amp; Expenses'!$AM$5*1000*'Revenues &amp; Expenses'!O95</f>
        <v>2.43693597379068</v>
      </c>
      <c r="S87" s="204" t="n">
        <f aca="false">IF(M87&gt;N87,1,0)</f>
        <v>0</v>
      </c>
      <c r="T87" s="204" t="n">
        <f aca="false">'Revenues &amp; Expenses'!$S$3</f>
        <v>310.66</v>
      </c>
      <c r="U87" s="212" t="n">
        <f aca="false">T87*'Revenues &amp; Expenses'!F95*4</f>
        <v>27338.08</v>
      </c>
      <c r="W87" s="212" t="n">
        <f aca="false">IF(S87&gt;0,(M87-N87)*U87,0)</f>
        <v>0</v>
      </c>
    </row>
    <row r="88" customFormat="false" ht="12.75" hidden="false" customHeight="false" outlineLevel="0" collapsed="false">
      <c r="B88" s="240" t="n">
        <v>39234</v>
      </c>
      <c r="C88" s="218" t="n">
        <f aca="false">VLOOKUP(B88,'Company Gas Prices'!$B$25:$C$259,2)</f>
        <v>3.809375</v>
      </c>
      <c r="D88" s="180" t="n">
        <f aca="false">VLOOKUP(B88,'Fuel Curve'!$B$7:$F$268,5)</f>
        <v>4.38172413793104</v>
      </c>
      <c r="E88" s="180" t="n">
        <f aca="false">D88-C88</f>
        <v>0.572349137931035</v>
      </c>
      <c r="G88" s="240" t="n">
        <v>39234</v>
      </c>
      <c r="H88" s="180" t="n">
        <f aca="false">VLOOKUP(G88,'Company Power Prices'!$B$25:$C$259,2)</f>
        <v>109.4849347</v>
      </c>
      <c r="I88" s="180" t="n">
        <f aca="false">VLOOKUP(G88,'Super Peak Curve Simulation'!$B$4:$C$225,2)</f>
        <v>72.3107710903075</v>
      </c>
      <c r="J88" s="259" t="n">
        <f aca="false">I88-H88</f>
        <v>-37.1741636096925</v>
      </c>
      <c r="L88" s="240" t="n">
        <v>39234</v>
      </c>
      <c r="M88" s="180" t="n">
        <f aca="false">IF($L$1=1,VLOOKUP(L88,'Super Peak Curve Simulation'!$B$7:$N$225,12),VLOOKUP(L88,'PJM Curve Simulation'!$B$9:$J$246,9))</f>
        <v>58.5999984741211</v>
      </c>
      <c r="N88" s="180" t="n">
        <f aca="false">P88+Q88</f>
        <v>44.414887891442</v>
      </c>
      <c r="P88" s="180" t="n">
        <f aca="false">IF($L$1=1,VLOOKUP(L88,'Fuel Curve'!$B$7:$H$246,7),VLOOKUP(L88,'Revenues &amp; Expenses'!$K$9:$S$246,9))</f>
        <v>41.9725355172414</v>
      </c>
      <c r="Q88" s="180" t="n">
        <f aca="false">'Revenues &amp; Expenses'!$AM$5*1000*'Revenues &amp; Expenses'!O96</f>
        <v>2.44235237420063</v>
      </c>
      <c r="S88" s="204" t="n">
        <f aca="false">IF(M88&gt;N88,1,0)</f>
        <v>1</v>
      </c>
      <c r="T88" s="204" t="n">
        <f aca="false">'Revenues &amp; Expenses'!$S$3</f>
        <v>310.66</v>
      </c>
      <c r="U88" s="212" t="n">
        <f aca="false">T88*'Revenues &amp; Expenses'!F96*4</f>
        <v>26095.44</v>
      </c>
      <c r="W88" s="212" t="n">
        <f aca="false">IF(S88&gt;0,(M88-N88)*U88,0)</f>
        <v>370166.702103667</v>
      </c>
    </row>
    <row r="89" customFormat="false" ht="12.75" hidden="false" customHeight="false" outlineLevel="0" collapsed="false">
      <c r="B89" s="240" t="n">
        <v>39264</v>
      </c>
      <c r="C89" s="218" t="n">
        <f aca="false">VLOOKUP(B89,'Company Gas Prices'!$B$25:$C$259,2)</f>
        <v>3.771875</v>
      </c>
      <c r="D89" s="180" t="n">
        <f aca="false">VLOOKUP(B89,'Fuel Curve'!$B$7:$F$268,5)</f>
        <v>4.43827586206897</v>
      </c>
      <c r="E89" s="180" t="n">
        <f aca="false">D89-C89</f>
        <v>0.666400862068966</v>
      </c>
      <c r="G89" s="240" t="n">
        <v>39264</v>
      </c>
      <c r="H89" s="180" t="n">
        <f aca="false">VLOOKUP(G89,'Company Power Prices'!$B$25:$C$259,2)</f>
        <v>178.5405433</v>
      </c>
      <c r="I89" s="180" t="n">
        <f aca="false">VLOOKUP(G89,'Super Peak Curve Simulation'!$B$4:$C$225,2)</f>
        <v>131.569185498407</v>
      </c>
      <c r="J89" s="259" t="n">
        <f aca="false">I89-H89</f>
        <v>-46.9713578015928</v>
      </c>
      <c r="L89" s="240" t="n">
        <v>39264</v>
      </c>
      <c r="M89" s="180" t="n">
        <f aca="false">IF($L$1=1,VLOOKUP(L89,'Super Peak Curve Simulation'!$B$7:$N$225,12),VLOOKUP(L89,'PJM Curve Simulation'!$B$9:$J$246,9))</f>
        <v>100.199996948242</v>
      </c>
      <c r="N89" s="180" t="n">
        <f aca="false">P89+Q89</f>
        <v>44.9620252960086</v>
      </c>
      <c r="P89" s="180" t="n">
        <f aca="false">IF($L$1=1,VLOOKUP(L89,'Fuel Curve'!$B$7:$H$246,7),VLOOKUP(L89,'Revenues &amp; Expenses'!$K$9:$S$246,9))</f>
        <v>42.5142444827586</v>
      </c>
      <c r="Q89" s="180" t="n">
        <f aca="false">'Revenues &amp; Expenses'!$AM$5*1000*'Revenues &amp; Expenses'!O97</f>
        <v>2.44778081324997</v>
      </c>
      <c r="S89" s="204" t="n">
        <f aca="false">IF(M89&gt;N89,1,0)</f>
        <v>1</v>
      </c>
      <c r="T89" s="204" t="n">
        <f aca="false">'Revenues &amp; Expenses'!$S$3</f>
        <v>310.66</v>
      </c>
      <c r="U89" s="212" t="n">
        <f aca="false">T89*'Revenues &amp; Expenses'!F97*4</f>
        <v>28580.72</v>
      </c>
      <c r="W89" s="212" t="n">
        <f aca="false">IF(S89&gt;0,(M89-N89)*U89,0)</f>
        <v>1578741.00116043</v>
      </c>
    </row>
    <row r="90" customFormat="false" ht="12.75" hidden="false" customHeight="false" outlineLevel="0" collapsed="false">
      <c r="B90" s="240" t="n">
        <v>39295</v>
      </c>
      <c r="C90" s="218" t="n">
        <f aca="false">VLOOKUP(B90,'Company Gas Prices'!$B$25:$C$259,2)</f>
        <v>3.771875</v>
      </c>
      <c r="D90" s="180" t="n">
        <f aca="false">VLOOKUP(B90,'Fuel Curve'!$B$7:$F$268,5)</f>
        <v>4.52810344827586</v>
      </c>
      <c r="E90" s="180" t="n">
        <f aca="false">D90-C90</f>
        <v>0.756228448275863</v>
      </c>
      <c r="G90" s="240" t="n">
        <v>39295</v>
      </c>
      <c r="H90" s="180" t="n">
        <f aca="false">VLOOKUP(G90,'Company Power Prices'!$B$25:$C$259,2)</f>
        <v>178.5405433</v>
      </c>
      <c r="I90" s="180" t="n">
        <f aca="false">VLOOKUP(G90,'Super Peak Curve Simulation'!$B$4:$C$225,2)</f>
        <v>107.024034756588</v>
      </c>
      <c r="J90" s="259" t="n">
        <f aca="false">I90-H90</f>
        <v>-71.5165085434121</v>
      </c>
      <c r="L90" s="240" t="n">
        <v>39295</v>
      </c>
      <c r="M90" s="180" t="n">
        <f aca="false">IF($L$1=1,VLOOKUP(L90,'Super Peak Curve Simulation'!$B$7:$N$225,12),VLOOKUP(L90,'PJM Curve Simulation'!$B$9:$J$246,9))</f>
        <v>87.1999969482422</v>
      </c>
      <c r="N90" s="180" t="n">
        <f aca="false">P90+Q90</f>
        <v>45.8279242487306</v>
      </c>
      <c r="P90" s="180" t="n">
        <f aca="false">IF($L$1=1,VLOOKUP(L90,'Fuel Curve'!$B$7:$H$246,7),VLOOKUP(L90,'Revenues &amp; Expenses'!$K$9:$S$246,9))</f>
        <v>43.3747029310345</v>
      </c>
      <c r="Q90" s="180" t="n">
        <f aca="false">'Revenues &amp; Expenses'!$AM$5*1000*'Revenues &amp; Expenses'!O98</f>
        <v>2.4532213176961</v>
      </c>
      <c r="S90" s="204" t="n">
        <f aca="false">IF(M90&gt;N90,1,0)</f>
        <v>1</v>
      </c>
      <c r="T90" s="204" t="n">
        <f aca="false">'Revenues &amp; Expenses'!$S$3</f>
        <v>310.66</v>
      </c>
      <c r="U90" s="212" t="n">
        <f aca="false">T90*'Revenues &amp; Expenses'!F98*4</f>
        <v>26095.44</v>
      </c>
      <c r="W90" s="212" t="n">
        <f aca="false">IF(S90&gt;0,(M90-N90)*U90,0)</f>
        <v>1079622.44080574</v>
      </c>
    </row>
    <row r="91" customFormat="false" ht="12.75" hidden="false" customHeight="false" outlineLevel="0" collapsed="false">
      <c r="B91" s="240" t="n">
        <v>39326</v>
      </c>
      <c r="C91" s="218" t="n">
        <f aca="false">VLOOKUP(B91,'Company Gas Prices'!$B$25:$C$259,2)</f>
        <v>3.81770833</v>
      </c>
      <c r="D91" s="180" t="n">
        <f aca="false">VLOOKUP(B91,'Fuel Curve'!$B$7:$F$268,5)</f>
        <v>4.62362068965517</v>
      </c>
      <c r="E91" s="180" t="n">
        <f aca="false">D91-C91</f>
        <v>0.805912359655173</v>
      </c>
      <c r="G91" s="240" t="n">
        <v>39326</v>
      </c>
      <c r="H91" s="180" t="n">
        <f aca="false">VLOOKUP(G91,'Company Power Prices'!$B$25:$C$259,2)</f>
        <v>58.91594225</v>
      </c>
      <c r="I91" s="180" t="n">
        <f aca="false">VLOOKUP(G91,'Super Peak Curve Simulation'!$B$4:$C$225,2)</f>
        <v>40.3409216440135</v>
      </c>
      <c r="J91" s="259" t="n">
        <f aca="false">I91-H91</f>
        <v>-18.5750206059865</v>
      </c>
      <c r="L91" s="240" t="n">
        <v>39326</v>
      </c>
      <c r="M91" s="180" t="n">
        <f aca="false">IF($L$1=1,VLOOKUP(L91,'Super Peak Curve Simulation'!$B$7:$N$225,12),VLOOKUP(L91,'PJM Curve Simulation'!$B$9:$J$246,9))</f>
        <v>34.9249984741211</v>
      </c>
      <c r="N91" s="180" t="n">
        <f aca="false">P91+Q91</f>
        <v>46.7483365005628</v>
      </c>
      <c r="P91" s="180" t="n">
        <f aca="false">IF($L$1=1,VLOOKUP(L91,'Fuel Curve'!$B$7:$H$246,7),VLOOKUP(L91,'Revenues &amp; Expenses'!$K$9:$S$246,9))</f>
        <v>44.2896625862069</v>
      </c>
      <c r="Q91" s="180" t="n">
        <f aca="false">'Revenues &amp; Expenses'!$AM$5*1000*'Revenues &amp; Expenses'!O99</f>
        <v>2.45867391435591</v>
      </c>
      <c r="S91" s="204" t="n">
        <f aca="false">IF(M91&gt;N91,1,0)</f>
        <v>0</v>
      </c>
      <c r="T91" s="204" t="n">
        <f aca="false">'Revenues &amp; Expenses'!$S$3</f>
        <v>310.66</v>
      </c>
      <c r="U91" s="212" t="n">
        <f aca="false">T91*'Revenues &amp; Expenses'!F99*4</f>
        <v>27338.08</v>
      </c>
      <c r="W91" s="212" t="n">
        <f aca="false">IF(S91&gt;0,(M91-N91)*U91,0)</f>
        <v>0</v>
      </c>
    </row>
    <row r="92" customFormat="false" ht="12.75" hidden="false" customHeight="false" outlineLevel="0" collapsed="false">
      <c r="B92" s="240" t="n">
        <v>39356</v>
      </c>
      <c r="C92" s="218" t="n">
        <f aca="false">VLOOKUP(B92,'Company Gas Prices'!$B$25:$C$259,2)</f>
        <v>3.778125</v>
      </c>
      <c r="D92" s="180" t="n">
        <f aca="false">VLOOKUP(B92,'Fuel Curve'!$B$7:$F$268,5)</f>
        <v>4.71551724137931</v>
      </c>
      <c r="E92" s="180" t="n">
        <f aca="false">D92-C92</f>
        <v>0.93739224137931</v>
      </c>
      <c r="G92" s="240" t="n">
        <v>39356</v>
      </c>
      <c r="H92" s="180" t="n">
        <f aca="false">VLOOKUP(G92,'Company Power Prices'!$B$25:$C$259,2)</f>
        <v>47.94577269</v>
      </c>
      <c r="I92" s="180" t="n">
        <f aca="false">VLOOKUP(G92,'Super Peak Curve Simulation'!$B$4:$C$225,2)</f>
        <v>33.567767323122</v>
      </c>
      <c r="J92" s="259" t="n">
        <f aca="false">I92-H92</f>
        <v>-14.378005366878</v>
      </c>
      <c r="L92" s="240" t="n">
        <v>39356</v>
      </c>
      <c r="M92" s="180" t="n">
        <f aca="false">IF($L$1=1,VLOOKUP(L92,'Super Peak Curve Simulation'!$B$7:$N$225,12),VLOOKUP(L92,'PJM Curve Simulation'!$B$9:$J$246,9))</f>
        <v>28.5750003814697</v>
      </c>
      <c r="N92" s="180" t="n">
        <f aca="false">P92+Q92</f>
        <v>47.6340782852783</v>
      </c>
      <c r="P92" s="180" t="n">
        <f aca="false">IF($L$1=1,VLOOKUP(L92,'Fuel Curve'!$B$7:$H$246,7),VLOOKUP(L92,'Revenues &amp; Expenses'!$K$9:$S$246,9))</f>
        <v>45.1699396551724</v>
      </c>
      <c r="Q92" s="180" t="n">
        <f aca="false">'Revenues &amp; Expenses'!$AM$5*1000*'Revenues &amp; Expenses'!O100</f>
        <v>2.46413863010588</v>
      </c>
      <c r="S92" s="204" t="n">
        <f aca="false">IF(M92&gt;N92,1,0)</f>
        <v>0</v>
      </c>
      <c r="T92" s="204" t="n">
        <f aca="false">'Revenues &amp; Expenses'!$S$3</f>
        <v>310.66</v>
      </c>
      <c r="U92" s="212" t="n">
        <f aca="false">T92*'Revenues &amp; Expenses'!F100*4</f>
        <v>28580.72</v>
      </c>
      <c r="W92" s="212" t="n">
        <f aca="false">IF(S92&gt;0,(M92-N92)*U92,0)</f>
        <v>0</v>
      </c>
    </row>
    <row r="93" customFormat="false" ht="12.75" hidden="false" customHeight="false" outlineLevel="0" collapsed="false">
      <c r="B93" s="240" t="n">
        <v>39387</v>
      </c>
      <c r="C93" s="218" t="n">
        <f aca="false">VLOOKUP(B93,'Company Gas Prices'!$B$25:$C$259,2)</f>
        <v>3.778125</v>
      </c>
      <c r="D93" s="180" t="n">
        <f aca="false">VLOOKUP(B93,'Fuel Curve'!$B$7:$F$268,5)</f>
        <v>4.80465517241379</v>
      </c>
      <c r="E93" s="180" t="n">
        <f aca="false">D93-C93</f>
        <v>1.02653017241379</v>
      </c>
      <c r="G93" s="240" t="n">
        <v>39387</v>
      </c>
      <c r="H93" s="180" t="n">
        <f aca="false">VLOOKUP(G93,'Company Power Prices'!$B$25:$C$259,2)</f>
        <v>50.24281372</v>
      </c>
      <c r="I93" s="180" t="n">
        <f aca="false">VLOOKUP(G93,'Super Peak Curve Simulation'!$B$4:$C$225,2)</f>
        <v>33.6378280972672</v>
      </c>
      <c r="J93" s="259" t="n">
        <f aca="false">I93-H93</f>
        <v>-16.6049856227328</v>
      </c>
      <c r="L93" s="240" t="n">
        <v>39387</v>
      </c>
      <c r="M93" s="180" t="n">
        <f aca="false">IF($L$1=1,VLOOKUP(L93,'Super Peak Curve Simulation'!$B$7:$N$225,12),VLOOKUP(L93,'PJM Curve Simulation'!$B$9:$J$246,9))</f>
        <v>28.2474990844727</v>
      </c>
      <c r="N93" s="180" t="n">
        <f aca="false">P93+Q93</f>
        <v>48.493407388434</v>
      </c>
      <c r="P93" s="180" t="n">
        <f aca="false">IF($L$1=1,VLOOKUP(L93,'Fuel Curve'!$B$7:$H$246,7),VLOOKUP(L93,'Revenues &amp; Expenses'!$K$9:$S$246,9))</f>
        <v>46.0237918965517</v>
      </c>
      <c r="Q93" s="180" t="n">
        <f aca="false">'Revenues &amp; Expenses'!$AM$5*1000*'Revenues &amp; Expenses'!O101</f>
        <v>2.46961549188224</v>
      </c>
      <c r="S93" s="204" t="n">
        <f aca="false">IF(M93&gt;N93,1,0)</f>
        <v>0</v>
      </c>
      <c r="T93" s="204" t="n">
        <f aca="false">'Revenues &amp; Expenses'!$S$3</f>
        <v>310.66</v>
      </c>
      <c r="U93" s="212" t="n">
        <f aca="false">T93*'Revenues &amp; Expenses'!F101*4</f>
        <v>24852.8</v>
      </c>
      <c r="W93" s="212" t="n">
        <f aca="false">IF(S93&gt;0,(M93-N93)*U93,0)</f>
        <v>0</v>
      </c>
    </row>
    <row r="94" customFormat="false" ht="12.75" hidden="false" customHeight="false" outlineLevel="0" collapsed="false">
      <c r="B94" s="240" t="n">
        <v>39417</v>
      </c>
      <c r="C94" s="218" t="n">
        <f aca="false">VLOOKUP(B94,'Company Gas Prices'!$B$25:$C$259,2)</f>
        <v>3.778125</v>
      </c>
      <c r="D94" s="180" t="n">
        <f aca="false">VLOOKUP(B94,'Fuel Curve'!$B$7:$F$268,5)</f>
        <v>4.84741379310345</v>
      </c>
      <c r="E94" s="180" t="n">
        <f aca="false">D94-C94</f>
        <v>1.06928879310345</v>
      </c>
      <c r="G94" s="240" t="n">
        <v>39417</v>
      </c>
      <c r="H94" s="180" t="n">
        <f aca="false">VLOOKUP(G94,'Company Power Prices'!$B$25:$C$259,2)</f>
        <v>50.24281372</v>
      </c>
      <c r="I94" s="180" t="n">
        <f aca="false">VLOOKUP(G94,'Super Peak Curve Simulation'!$B$4:$C$225,2)</f>
        <v>36.1789162487942</v>
      </c>
      <c r="J94" s="259" t="n">
        <f aca="false">I94-H94</f>
        <v>-14.0638974712058</v>
      </c>
      <c r="L94" s="240" t="n">
        <v>39417</v>
      </c>
      <c r="M94" s="180" t="n">
        <f aca="false">IF($L$1=1,VLOOKUP(L94,'Super Peak Curve Simulation'!$B$7:$N$225,12),VLOOKUP(L94,'PJM Curve Simulation'!$B$9:$J$246,9))</f>
        <v>29.9999996185303</v>
      </c>
      <c r="N94" s="180" t="n">
        <f aca="false">P94+Q94</f>
        <v>48.908481250819</v>
      </c>
      <c r="P94" s="180" t="n">
        <f aca="false">IF($L$1=1,VLOOKUP(L94,'Fuel Curve'!$B$7:$H$246,7),VLOOKUP(L94,'Revenues &amp; Expenses'!$K$9:$S$246,9))</f>
        <v>46.4333767241379</v>
      </c>
      <c r="Q94" s="180" t="n">
        <f aca="false">'Revenues &amp; Expenses'!$AM$5*1000*'Revenues &amp; Expenses'!O102</f>
        <v>2.47510452668106</v>
      </c>
      <c r="S94" s="204" t="n">
        <f aca="false">IF(M94&gt;N94,1,0)</f>
        <v>0</v>
      </c>
      <c r="T94" s="204" t="n">
        <f aca="false">'Revenues &amp; Expenses'!$S$3</f>
        <v>310.66</v>
      </c>
      <c r="U94" s="212" t="n">
        <f aca="false">T94*'Revenues &amp; Expenses'!F102*4</f>
        <v>28580.72</v>
      </c>
      <c r="W94" s="212" t="n">
        <f aca="false">IF(S94&gt;0,(M94-N94)*U94,0)</f>
        <v>0</v>
      </c>
    </row>
    <row r="95" customFormat="false" ht="12.75" hidden="false" customHeight="false" outlineLevel="0" collapsed="false">
      <c r="B95" s="240" t="n">
        <v>39448</v>
      </c>
      <c r="C95" s="218" t="n">
        <f aca="false">VLOOKUP(B95,'Company Gas Prices'!$B$25:$C$259,2)</f>
        <v>3.83541667</v>
      </c>
      <c r="D95" s="180" t="n">
        <f aca="false">VLOOKUP(B95,'Fuel Curve'!$B$7:$F$268,5)</f>
        <v>4.79017241379311</v>
      </c>
      <c r="E95" s="180" t="n">
        <f aca="false">D95-C95</f>
        <v>0.954755743793105</v>
      </c>
      <c r="G95" s="240" t="n">
        <v>39448</v>
      </c>
      <c r="H95" s="180" t="n">
        <f aca="false">VLOOKUP(G95,'Company Power Prices'!$B$25:$C$259,2)</f>
        <v>47.85133447</v>
      </c>
      <c r="I95" s="180" t="n">
        <f aca="false">VLOOKUP(G95,'Super Peak Curve Simulation'!$B$4:$C$225,2)</f>
        <v>47.6079022447834</v>
      </c>
      <c r="J95" s="259" t="n">
        <f aca="false">I95-H95</f>
        <v>-0.243432225216573</v>
      </c>
      <c r="L95" s="240" t="n">
        <v>39448</v>
      </c>
      <c r="M95" s="180" t="n">
        <f aca="false">IF($L$1=1,VLOOKUP(L95,'Super Peak Curve Simulation'!$B$7:$N$225,12),VLOOKUP(L95,'PJM Curve Simulation'!$B$9:$J$246,9))</f>
        <v>38.8249984741211</v>
      </c>
      <c r="N95" s="180" t="n">
        <f aca="false">P95+Q95</f>
        <v>48.3656673132826</v>
      </c>
      <c r="P95" s="180" t="n">
        <f aca="false">IF($L$1=1,VLOOKUP(L95,'Fuel Curve'!$B$7:$H$246,7),VLOOKUP(L95,'Revenues &amp; Expenses'!$K$9:$S$246,9))</f>
        <v>45.8850615517242</v>
      </c>
      <c r="Q95" s="180" t="n">
        <f aca="false">'Revenues &amp; Expenses'!$AM$5*1000*'Revenues &amp; Expenses'!O103</f>
        <v>2.48060576155845</v>
      </c>
      <c r="S95" s="204" t="n">
        <f aca="false">IF(M95&gt;N95,1,0)</f>
        <v>0</v>
      </c>
      <c r="T95" s="204" t="n">
        <f aca="false">'Revenues &amp; Expenses'!$S$3</f>
        <v>310.66</v>
      </c>
      <c r="U95" s="212" t="n">
        <f aca="false">T95*'Revenues &amp; Expenses'!F103*4</f>
        <v>27338.08</v>
      </c>
      <c r="W95" s="212" t="n">
        <f aca="false">IF(S95&gt;0,(M95-N95)*U95,0)</f>
        <v>0</v>
      </c>
    </row>
    <row r="96" customFormat="false" ht="12.75" hidden="false" customHeight="false" outlineLevel="0" collapsed="false">
      <c r="B96" s="240" t="n">
        <v>39479</v>
      </c>
      <c r="C96" s="218" t="n">
        <f aca="false">VLOOKUP(B96,'Company Gas Prices'!$B$25:$C$259,2)</f>
        <v>3.83541667</v>
      </c>
      <c r="D96" s="180" t="n">
        <f aca="false">VLOOKUP(B96,'Fuel Curve'!$B$7:$F$268,5)</f>
        <v>4.69103448275862</v>
      </c>
      <c r="E96" s="180" t="n">
        <f aca="false">D96-C96</f>
        <v>0.855617812758622</v>
      </c>
      <c r="G96" s="240" t="n">
        <v>39479</v>
      </c>
      <c r="H96" s="180" t="n">
        <f aca="false">VLOOKUP(G96,'Company Power Prices'!$B$25:$C$259,2)</f>
        <v>41.74533822</v>
      </c>
      <c r="I96" s="180" t="n">
        <f aca="false">VLOOKUP(G96,'Super Peak Curve Simulation'!$B$4:$C$225,2)</f>
        <v>47.6079022447834</v>
      </c>
      <c r="J96" s="259" t="n">
        <f aca="false">I96-H96</f>
        <v>5.86256402478342</v>
      </c>
      <c r="L96" s="240" t="n">
        <v>39479</v>
      </c>
      <c r="M96" s="180" t="n">
        <f aca="false">IF($L$1=1,VLOOKUP(L96,'Super Peak Curve Simulation'!$B$7:$N$225,12),VLOOKUP(L96,'PJM Curve Simulation'!$B$9:$J$246,9))</f>
        <v>38.8249984741211</v>
      </c>
      <c r="N96" s="180" t="n">
        <f aca="false">P96+Q96</f>
        <v>47.4215385339755</v>
      </c>
      <c r="P96" s="180" t="n">
        <f aca="false">IF($L$1=1,VLOOKUP(L96,'Fuel Curve'!$B$7:$H$246,7),VLOOKUP(L96,'Revenues &amp; Expenses'!$K$9:$S$246,9))</f>
        <v>44.9354193103448</v>
      </c>
      <c r="Q96" s="180" t="n">
        <f aca="false">'Revenues &amp; Expenses'!$AM$5*1000*'Revenues &amp; Expenses'!O104</f>
        <v>2.48611922363063</v>
      </c>
      <c r="S96" s="204" t="n">
        <f aca="false">IF(M96&gt;N96,1,0)</f>
        <v>0</v>
      </c>
      <c r="T96" s="204" t="n">
        <f aca="false">'Revenues &amp; Expenses'!$S$3</f>
        <v>310.66</v>
      </c>
      <c r="U96" s="212" t="n">
        <f aca="false">T96*'Revenues &amp; Expenses'!F104*4</f>
        <v>24852.8</v>
      </c>
      <c r="W96" s="212" t="n">
        <f aca="false">IF(S96&gt;0,(M96-N96)*U96,0)</f>
        <v>0</v>
      </c>
    </row>
    <row r="97" customFormat="false" ht="12.75" hidden="false" customHeight="false" outlineLevel="0" collapsed="false">
      <c r="B97" s="240" t="n">
        <v>39508</v>
      </c>
      <c r="C97" s="218" t="n">
        <f aca="false">VLOOKUP(B97,'Company Gas Prices'!$B$25:$C$259,2)</f>
        <v>3.83541667</v>
      </c>
      <c r="D97" s="180" t="n">
        <f aca="false">VLOOKUP(B97,'Fuel Curve'!$B$7:$F$268,5)</f>
        <v>4.59396551724138</v>
      </c>
      <c r="E97" s="180" t="n">
        <f aca="false">D97-C97</f>
        <v>0.75854884724138</v>
      </c>
      <c r="G97" s="240" t="n">
        <v>39508</v>
      </c>
      <c r="H97" s="180" t="n">
        <f aca="false">VLOOKUP(G97,'Company Power Prices'!$B$25:$C$259,2)</f>
        <v>41.74533822</v>
      </c>
      <c r="I97" s="180" t="n">
        <f aca="false">VLOOKUP(G97,'Super Peak Curve Simulation'!$B$4:$C$225,2)</f>
        <v>34.723224677906</v>
      </c>
      <c r="J97" s="259" t="n">
        <f aca="false">I97-H97</f>
        <v>-7.02211354209396</v>
      </c>
      <c r="L97" s="240" t="n">
        <v>39508</v>
      </c>
      <c r="M97" s="180" t="n">
        <f aca="false">IF($L$1=1,VLOOKUP(L97,'Super Peak Curve Simulation'!$B$7:$N$225,12),VLOOKUP(L97,'PJM Curve Simulation'!$B$9:$J$246,9))</f>
        <v>28.5500007629395</v>
      </c>
      <c r="N97" s="180" t="n">
        <f aca="false">P97+Q97</f>
        <v>46.4972406297293</v>
      </c>
      <c r="P97" s="180" t="n">
        <f aca="false">IF($L$1=1,VLOOKUP(L97,'Fuel Curve'!$B$7:$H$246,7),VLOOKUP(L97,'Revenues &amp; Expenses'!$K$9:$S$246,9))</f>
        <v>44.0055956896552</v>
      </c>
      <c r="Q97" s="180" t="n">
        <f aca="false">'Revenues &amp; Expenses'!$AM$5*1000*'Revenues &amp; Expenses'!O105</f>
        <v>2.4916449400741</v>
      </c>
      <c r="S97" s="204" t="n">
        <f aca="false">IF(M97&gt;N97,1,0)</f>
        <v>0</v>
      </c>
      <c r="T97" s="204" t="n">
        <f aca="false">'Revenues &amp; Expenses'!$S$3</f>
        <v>310.66</v>
      </c>
      <c r="U97" s="212" t="n">
        <f aca="false">T97*'Revenues &amp; Expenses'!F105*4</f>
        <v>28580.72</v>
      </c>
      <c r="W97" s="212" t="n">
        <f aca="false">IF(S97&gt;0,(M97-N97)*U97,0)</f>
        <v>0</v>
      </c>
    </row>
    <row r="98" customFormat="false" ht="12.75" hidden="false" customHeight="false" outlineLevel="0" collapsed="false">
      <c r="B98" s="240" t="n">
        <v>39539</v>
      </c>
      <c r="C98" s="218" t="n">
        <f aca="false">VLOOKUP(B98,'Company Gas Prices'!$B$25:$C$259,2)</f>
        <v>3.98020833</v>
      </c>
      <c r="D98" s="180" t="n">
        <f aca="false">VLOOKUP(B98,'Fuel Curve'!$B$7:$F$268,5)</f>
        <v>4.49396551724138</v>
      </c>
      <c r="E98" s="180" t="n">
        <f aca="false">D98-C98</f>
        <v>0.51375718724138</v>
      </c>
      <c r="G98" s="240" t="n">
        <v>39539</v>
      </c>
      <c r="H98" s="180" t="n">
        <f aca="false">VLOOKUP(G98,'Company Power Prices'!$B$25:$C$259,2)</f>
        <v>46.1955177</v>
      </c>
      <c r="I98" s="180" t="n">
        <f aca="false">VLOOKUP(G98,'Super Peak Curve Simulation'!$B$4:$C$225,2)</f>
        <v>32.1308127409408</v>
      </c>
      <c r="J98" s="259" t="n">
        <f aca="false">I98-H98</f>
        <v>-14.0647049590592</v>
      </c>
      <c r="L98" s="240" t="n">
        <v>39539</v>
      </c>
      <c r="M98" s="180" t="n">
        <f aca="false">IF($L$1=1,VLOOKUP(L98,'Super Peak Curve Simulation'!$B$7:$N$225,12),VLOOKUP(L98,'PJM Curve Simulation'!$B$9:$J$246,9))</f>
        <v>28.3250007629395</v>
      </c>
      <c r="N98" s="180" t="n">
        <f aca="false">P98+Q98</f>
        <v>45.5448786277809</v>
      </c>
      <c r="P98" s="180" t="n">
        <f aca="false">IF($L$1=1,VLOOKUP(L98,'Fuel Curve'!$B$7:$H$246,7),VLOOKUP(L98,'Revenues &amp; Expenses'!$K$9:$S$246,9))</f>
        <v>43.0476956896552</v>
      </c>
      <c r="Q98" s="180" t="n">
        <f aca="false">'Revenues &amp; Expenses'!$AM$5*1000*'Revenues &amp; Expenses'!O106</f>
        <v>2.49718293812575</v>
      </c>
      <c r="S98" s="204" t="n">
        <f aca="false">IF(M98&gt;N98,1,0)</f>
        <v>0</v>
      </c>
      <c r="T98" s="204" t="n">
        <f aca="false">'Revenues &amp; Expenses'!$S$3</f>
        <v>310.66</v>
      </c>
      <c r="U98" s="212" t="n">
        <f aca="false">T98*'Revenues &amp; Expenses'!F106*4</f>
        <v>27338.08</v>
      </c>
      <c r="W98" s="212" t="n">
        <f aca="false">IF(S98&gt;0,(M98-N98)*U98,0)</f>
        <v>0</v>
      </c>
    </row>
    <row r="99" customFormat="false" ht="12.75" hidden="false" customHeight="false" outlineLevel="0" collapsed="false">
      <c r="B99" s="240" t="n">
        <v>39569</v>
      </c>
      <c r="C99" s="218" t="n">
        <f aca="false">VLOOKUP(B99,'Company Gas Prices'!$B$25:$C$259,2)</f>
        <v>3.81770833</v>
      </c>
      <c r="D99" s="180" t="n">
        <f aca="false">VLOOKUP(B99,'Fuel Curve'!$B$7:$F$268,5)</f>
        <v>4.42672413793104</v>
      </c>
      <c r="E99" s="180" t="n">
        <f aca="false">D99-C99</f>
        <v>0.609015807931035</v>
      </c>
      <c r="G99" s="240" t="n">
        <v>39569</v>
      </c>
      <c r="H99" s="180" t="n">
        <f aca="false">VLOOKUP(G99,'Company Power Prices'!$B$25:$C$259,2)</f>
        <v>59.03008888</v>
      </c>
      <c r="I99" s="180" t="n">
        <f aca="false">VLOOKUP(G99,'Super Peak Curve Simulation'!$B$4:$C$225,2)</f>
        <v>38.2310308150178</v>
      </c>
      <c r="J99" s="259" t="n">
        <f aca="false">I99-H99</f>
        <v>-20.7990580649822</v>
      </c>
      <c r="L99" s="240" t="n">
        <v>39569</v>
      </c>
      <c r="M99" s="180" t="n">
        <f aca="false">IF($L$1=1,VLOOKUP(L99,'Super Peak Curve Simulation'!$B$7:$N$225,12),VLOOKUP(L99,'PJM Curve Simulation'!$B$9:$J$246,9))</f>
        <v>34.825</v>
      </c>
      <c r="N99" s="180" t="n">
        <f aca="false">P99+Q99</f>
        <v>44.9063237623244</v>
      </c>
      <c r="P99" s="180" t="n">
        <f aca="false">IF($L$1=1,VLOOKUP(L99,'Fuel Curve'!$B$7:$H$246,7),VLOOKUP(L99,'Revenues &amp; Expenses'!$K$9:$S$246,9))</f>
        <v>42.4035905172414</v>
      </c>
      <c r="Q99" s="180" t="n">
        <f aca="false">'Revenues &amp; Expenses'!$AM$5*1000*'Revenues &amp; Expenses'!O107</f>
        <v>2.50273324508303</v>
      </c>
      <c r="S99" s="204" t="n">
        <f aca="false">IF(M99&gt;N99,1,0)</f>
        <v>0</v>
      </c>
      <c r="T99" s="204" t="n">
        <f aca="false">'Revenues &amp; Expenses'!$S$3</f>
        <v>310.66</v>
      </c>
      <c r="U99" s="212" t="n">
        <f aca="false">T99*'Revenues &amp; Expenses'!F107*4</f>
        <v>26095.44</v>
      </c>
      <c r="W99" s="212" t="n">
        <f aca="false">IF(S99&gt;0,(M99-N99)*U99,0)</f>
        <v>0</v>
      </c>
    </row>
    <row r="100" customFormat="false" ht="12.75" hidden="false" customHeight="false" outlineLevel="0" collapsed="false">
      <c r="B100" s="240" t="n">
        <v>39600</v>
      </c>
      <c r="C100" s="218" t="n">
        <f aca="false">VLOOKUP(B100,'Company Gas Prices'!$B$25:$C$259,2)</f>
        <v>3.809375</v>
      </c>
      <c r="D100" s="180" t="n">
        <f aca="false">VLOOKUP(B100,'Fuel Curve'!$B$7:$F$268,5)</f>
        <v>4.42017241379311</v>
      </c>
      <c r="E100" s="180" t="n">
        <f aca="false">D100-C100</f>
        <v>0.610797413793105</v>
      </c>
      <c r="G100" s="240" t="n">
        <v>39600</v>
      </c>
      <c r="H100" s="180" t="n">
        <f aca="false">VLOOKUP(G100,'Company Power Prices'!$B$25:$C$259,2)</f>
        <v>109.5895077</v>
      </c>
      <c r="I100" s="180" t="n">
        <f aca="false">VLOOKUP(G100,'Super Peak Curve Simulation'!$B$4:$C$225,2)</f>
        <v>73.8532363841044</v>
      </c>
      <c r="J100" s="259" t="n">
        <f aca="false">I100-H100</f>
        <v>-35.7362713158956</v>
      </c>
      <c r="L100" s="240" t="n">
        <v>39600</v>
      </c>
      <c r="M100" s="180" t="n">
        <f aca="false">IF($L$1=1,VLOOKUP(L100,'Super Peak Curve Simulation'!$B$7:$N$225,12),VLOOKUP(L100,'PJM Curve Simulation'!$B$9:$J$246,9))</f>
        <v>59.8499984741211</v>
      </c>
      <c r="N100" s="180" t="n">
        <f aca="false">P100+Q100</f>
        <v>44.8491274400282</v>
      </c>
      <c r="P100" s="180" t="n">
        <f aca="false">IF($L$1=1,VLOOKUP(L100,'Fuel Curve'!$B$7:$H$246,7),VLOOKUP(L100,'Revenues &amp; Expenses'!$K$9:$S$246,9))</f>
        <v>42.3408315517242</v>
      </c>
      <c r="Q100" s="180" t="n">
        <f aca="false">'Revenues &amp; Expenses'!$AM$5*1000*'Revenues &amp; Expenses'!O108</f>
        <v>2.50829588830405</v>
      </c>
      <c r="S100" s="204" t="n">
        <f aca="false">IF(M100&gt;N100,1,0)</f>
        <v>1</v>
      </c>
      <c r="T100" s="204" t="n">
        <f aca="false">'Revenues &amp; Expenses'!$S$3</f>
        <v>310.66</v>
      </c>
      <c r="U100" s="212" t="n">
        <f aca="false">T100*'Revenues &amp; Expenses'!F108*4</f>
        <v>27338.08</v>
      </c>
      <c r="W100" s="212" t="n">
        <f aca="false">IF(S100&gt;0,(M100-N100)*U100,0)</f>
        <v>410095.012399714</v>
      </c>
    </row>
    <row r="101" customFormat="false" ht="12.75" hidden="false" customHeight="false" outlineLevel="0" collapsed="false">
      <c r="B101" s="240" t="n">
        <v>39630</v>
      </c>
      <c r="C101" s="218" t="n">
        <f aca="false">VLOOKUP(B101,'Company Gas Prices'!$B$25:$C$259,2)</f>
        <v>3.771875</v>
      </c>
      <c r="D101" s="180" t="n">
        <f aca="false">VLOOKUP(B101,'Fuel Curve'!$B$7:$F$268,5)</f>
        <v>4.47741379310345</v>
      </c>
      <c r="E101" s="180" t="n">
        <f aca="false">D101-C101</f>
        <v>0.705538793103449</v>
      </c>
      <c r="G101" s="240" t="n">
        <v>39630</v>
      </c>
      <c r="H101" s="180" t="n">
        <f aca="false">VLOOKUP(G101,'Company Power Prices'!$B$25:$C$259,2)</f>
        <v>178.8034081</v>
      </c>
      <c r="I101" s="180" t="n">
        <f aca="false">VLOOKUP(G101,'Super Peak Curve Simulation'!$B$4:$C$225,2)</f>
        <v>134.523583466347</v>
      </c>
      <c r="J101" s="259" t="n">
        <f aca="false">I101-H101</f>
        <v>-44.2798246336534</v>
      </c>
      <c r="L101" s="240" t="n">
        <v>39630</v>
      </c>
      <c r="M101" s="180" t="n">
        <f aca="false">IF($L$1=1,VLOOKUP(L101,'Super Peak Curve Simulation'!$B$7:$N$225,12),VLOOKUP(L101,'PJM Curve Simulation'!$B$9:$J$246,9))</f>
        <v>102.449996948242</v>
      </c>
      <c r="N101" s="180" t="n">
        <f aca="false">P101+Q101</f>
        <v>45.4030176193457</v>
      </c>
      <c r="P101" s="180" t="n">
        <f aca="false">IF($L$1=1,VLOOKUP(L101,'Fuel Curve'!$B$7:$H$246,7),VLOOKUP(L101,'Revenues &amp; Expenses'!$K$9:$S$246,9))</f>
        <v>42.8891467241379</v>
      </c>
      <c r="Q101" s="180" t="n">
        <f aca="false">'Revenues &amp; Expenses'!$AM$5*1000*'Revenues &amp; Expenses'!O109</f>
        <v>2.51387089520772</v>
      </c>
      <c r="S101" s="204" t="n">
        <f aca="false">IF(M101&gt;N101,1,0)</f>
        <v>1</v>
      </c>
      <c r="T101" s="204" t="n">
        <f aca="false">'Revenues &amp; Expenses'!$S$3</f>
        <v>310.66</v>
      </c>
      <c r="U101" s="212" t="n">
        <f aca="false">T101*'Revenues &amp; Expenses'!F109*4</f>
        <v>27338.08</v>
      </c>
      <c r="W101" s="212" t="n">
        <f aca="false">IF(S101&gt;0,(M101-N101)*U101,0)</f>
        <v>1559554.88465172</v>
      </c>
    </row>
    <row r="102" customFormat="false" ht="12.75" hidden="false" customHeight="false" outlineLevel="0" collapsed="false">
      <c r="B102" s="240" t="n">
        <v>39661</v>
      </c>
      <c r="C102" s="218" t="n">
        <f aca="false">VLOOKUP(B102,'Company Gas Prices'!$B$25:$C$259,2)</f>
        <v>3.771875</v>
      </c>
      <c r="D102" s="180" t="n">
        <f aca="false">VLOOKUP(B102,'Fuel Curve'!$B$7:$F$268,5)</f>
        <v>4.56793103448276</v>
      </c>
      <c r="E102" s="180" t="n">
        <f aca="false">D102-C102</f>
        <v>0.796056034482759</v>
      </c>
      <c r="G102" s="240" t="n">
        <v>39661</v>
      </c>
      <c r="H102" s="180" t="n">
        <f aca="false">VLOOKUP(G102,'Company Power Prices'!$B$25:$C$259,2)</f>
        <v>178.8034081</v>
      </c>
      <c r="I102" s="180" t="n">
        <f aca="false">VLOOKUP(G102,'Super Peak Curve Simulation'!$B$4:$C$225,2)</f>
        <v>109.785549511517</v>
      </c>
      <c r="J102" s="259" t="n">
        <f aca="false">I102-H102</f>
        <v>-69.0178585884833</v>
      </c>
      <c r="L102" s="240" t="n">
        <v>39661</v>
      </c>
      <c r="M102" s="180" t="n">
        <f aca="false">IF($L$1=1,VLOOKUP(L102,'Super Peak Curve Simulation'!$B$7:$N$225,12),VLOOKUP(L102,'PJM Curve Simulation'!$B$9:$J$246,9))</f>
        <v>89.4499969482422</v>
      </c>
      <c r="N102" s="180" t="n">
        <f aca="false">P102+Q102</f>
        <v>46.2756696725843</v>
      </c>
      <c r="P102" s="180" t="n">
        <f aca="false">IF($L$1=1,VLOOKUP(L102,'Fuel Curve'!$B$7:$H$246,7),VLOOKUP(L102,'Revenues &amp; Expenses'!$K$9:$S$246,9))</f>
        <v>43.7562113793104</v>
      </c>
      <c r="Q102" s="180" t="n">
        <f aca="false">'Revenues &amp; Expenses'!$AM$5*1000*'Revenues &amp; Expenses'!O110</f>
        <v>2.5194582932739</v>
      </c>
      <c r="S102" s="204" t="n">
        <f aca="false">IF(M102&gt;N102,1,0)</f>
        <v>1</v>
      </c>
      <c r="T102" s="204" t="n">
        <f aca="false">'Revenues &amp; Expenses'!$S$3</f>
        <v>310.66</v>
      </c>
      <c r="U102" s="212" t="n">
        <f aca="false">T102*'Revenues &amp; Expenses'!F110*4</f>
        <v>27338.08</v>
      </c>
      <c r="W102" s="212" t="n">
        <f aca="false">IF(S102&gt;0,(M102-N102)*U102,0)</f>
        <v>1180303.21300812</v>
      </c>
    </row>
    <row r="103" customFormat="false" ht="12.75" hidden="false" customHeight="false" outlineLevel="0" collapsed="false">
      <c r="B103" s="240" t="n">
        <v>39692</v>
      </c>
      <c r="C103" s="218" t="n">
        <f aca="false">VLOOKUP(B103,'Company Gas Prices'!$B$25:$C$259,2)</f>
        <v>3.81770833</v>
      </c>
      <c r="D103" s="180" t="n">
        <f aca="false">VLOOKUP(B103,'Fuel Curve'!$B$7:$F$268,5)</f>
        <v>4.66275862068966</v>
      </c>
      <c r="E103" s="180" t="n">
        <f aca="false">D103-C103</f>
        <v>0.845050290689656</v>
      </c>
      <c r="G103" s="240" t="n">
        <v>39692</v>
      </c>
      <c r="H103" s="180" t="n">
        <f aca="false">VLOOKUP(G103,'Company Power Prices'!$B$25:$C$259,2)</f>
        <v>59.03008888</v>
      </c>
      <c r="I103" s="180" t="n">
        <f aca="false">VLOOKUP(G103,'Super Peak Curve Simulation'!$B$4:$C$225,2)</f>
        <v>40.9184581280008</v>
      </c>
      <c r="J103" s="259" t="n">
        <f aca="false">I103-H103</f>
        <v>-18.1116307519992</v>
      </c>
      <c r="L103" s="240" t="n">
        <v>39692</v>
      </c>
      <c r="M103" s="180" t="n">
        <f aca="false">IF($L$1=1,VLOOKUP(L103,'Super Peak Curve Simulation'!$B$7:$N$225,12),VLOOKUP(L103,'PJM Curve Simulation'!$B$9:$J$246,9))</f>
        <v>35.4249984741211</v>
      </c>
      <c r="N103" s="180" t="n">
        <f aca="false">P103+Q103</f>
        <v>47.1896229376297</v>
      </c>
      <c r="P103" s="180" t="n">
        <f aca="false">IF($L$1=1,VLOOKUP(L103,'Fuel Curve'!$B$7:$H$246,7),VLOOKUP(L103,'Revenues &amp; Expenses'!$K$9:$S$246,9))</f>
        <v>44.6645648275862</v>
      </c>
      <c r="Q103" s="180" t="n">
        <f aca="false">'Revenues &amp; Expenses'!$AM$5*1000*'Revenues &amp; Expenses'!O111</f>
        <v>2.52505811004352</v>
      </c>
      <c r="S103" s="204" t="n">
        <f aca="false">IF(M103&gt;N103,1,0)</f>
        <v>0</v>
      </c>
      <c r="T103" s="204" t="n">
        <f aca="false">'Revenues &amp; Expenses'!$S$3</f>
        <v>310.66</v>
      </c>
      <c r="U103" s="212" t="n">
        <f aca="false">T103*'Revenues &amp; Expenses'!F111*4</f>
        <v>27338.08</v>
      </c>
      <c r="W103" s="212" t="n">
        <f aca="false">IF(S103&gt;0,(M103-N103)*U103,0)</f>
        <v>0</v>
      </c>
    </row>
    <row r="104" customFormat="false" ht="12.75" hidden="false" customHeight="false" outlineLevel="0" collapsed="false">
      <c r="B104" s="240" t="n">
        <v>39722</v>
      </c>
      <c r="C104" s="218" t="n">
        <f aca="false">VLOOKUP(B104,'Company Gas Prices'!$B$25:$C$259,2)</f>
        <v>3.778125</v>
      </c>
      <c r="D104" s="180" t="n">
        <f aca="false">VLOOKUP(B104,'Fuel Curve'!$B$7:$F$268,5)</f>
        <v>4.75534482758621</v>
      </c>
      <c r="E104" s="180" t="n">
        <f aca="false">D104-C104</f>
        <v>0.977219827586207</v>
      </c>
      <c r="G104" s="240" t="n">
        <v>39722</v>
      </c>
      <c r="H104" s="180" t="n">
        <f aca="false">VLOOKUP(G104,'Company Power Prices'!$B$25:$C$259,2)</f>
        <v>48.05146355</v>
      </c>
      <c r="I104" s="180" t="n">
        <f aca="false">VLOOKUP(G104,'Super Peak Curve Simulation'!$B$4:$C$225,2)</f>
        <v>34.155129823122</v>
      </c>
      <c r="J104" s="259" t="n">
        <f aca="false">I104-H104</f>
        <v>-13.896333726878</v>
      </c>
      <c r="L104" s="240" t="n">
        <v>39722</v>
      </c>
      <c r="M104" s="180" t="n">
        <f aca="false">IF($L$1=1,VLOOKUP(L104,'Super Peak Curve Simulation'!$B$7:$N$225,12),VLOOKUP(L104,'PJM Curve Simulation'!$B$9:$J$246,9))</f>
        <v>29.0750003814697</v>
      </c>
      <c r="N104" s="180" t="n">
        <f aca="false">P104+Q104</f>
        <v>48.082118476567</v>
      </c>
      <c r="P104" s="180" t="n">
        <f aca="false">IF($L$1=1,VLOOKUP(L104,'Fuel Curve'!$B$7:$H$246,7),VLOOKUP(L104,'Revenues &amp; Expenses'!$K$9:$S$246,9))</f>
        <v>45.5514481034483</v>
      </c>
      <c r="Q104" s="180" t="n">
        <f aca="false">'Revenues &amp; Expenses'!$AM$5*1000*'Revenues &amp; Expenses'!O112</f>
        <v>2.53067037311874</v>
      </c>
      <c r="S104" s="204" t="n">
        <f aca="false">IF(M104&gt;N104,1,0)</f>
        <v>0</v>
      </c>
      <c r="T104" s="204" t="n">
        <f aca="false">'Revenues &amp; Expenses'!$S$3</f>
        <v>310.66</v>
      </c>
      <c r="U104" s="212" t="n">
        <f aca="false">T104*'Revenues &amp; Expenses'!F112*4</f>
        <v>26095.44</v>
      </c>
      <c r="W104" s="212" t="n">
        <f aca="false">IF(S104&gt;0,(M104-N104)*U104,0)</f>
        <v>0</v>
      </c>
    </row>
    <row r="105" customFormat="false" ht="12.75" hidden="false" customHeight="false" outlineLevel="0" collapsed="false">
      <c r="B105" s="240" t="n">
        <v>39753</v>
      </c>
      <c r="C105" s="218" t="n">
        <f aca="false">VLOOKUP(B105,'Company Gas Prices'!$B$25:$C$259,2)</f>
        <v>3.778125</v>
      </c>
      <c r="D105" s="180" t="n">
        <f aca="false">VLOOKUP(B105,'Fuel Curve'!$B$7:$F$268,5)</f>
        <v>4.80465517241379</v>
      </c>
      <c r="E105" s="180" t="n">
        <f aca="false">D105-C105</f>
        <v>1.02653017241379</v>
      </c>
      <c r="G105" s="240" t="n">
        <v>39753</v>
      </c>
      <c r="H105" s="180" t="n">
        <f aca="false">VLOOKUP(G105,'Company Power Prices'!$B$25:$C$259,2)</f>
        <v>50.28623719</v>
      </c>
      <c r="I105" s="180" t="n">
        <f aca="false">VLOOKUP(G105,'Super Peak Curve Simulation'!$B$4:$C$225,2)</f>
        <v>34.2332405972672</v>
      </c>
      <c r="J105" s="259" t="n">
        <f aca="false">I105-H105</f>
        <v>-16.0529965927328</v>
      </c>
      <c r="L105" s="240" t="n">
        <v>39753</v>
      </c>
      <c r="M105" s="180" t="n">
        <f aca="false">IF($L$1=1,VLOOKUP(L105,'Super Peak Curve Simulation'!$B$7:$N$225,12),VLOOKUP(L105,'PJM Curve Simulation'!$B$9:$J$246,9))</f>
        <v>28.7474990844727</v>
      </c>
      <c r="N105" s="180" t="n">
        <f aca="false">P105+Q105</f>
        <v>48.5600870067148</v>
      </c>
      <c r="P105" s="180" t="n">
        <f aca="false">IF($L$1=1,VLOOKUP(L105,'Fuel Curve'!$B$7:$H$246,7),VLOOKUP(L105,'Revenues &amp; Expenses'!$K$9:$S$246,9))</f>
        <v>46.0237918965517</v>
      </c>
      <c r="Q105" s="180" t="n">
        <f aca="false">'Revenues &amp; Expenses'!$AM$5*1000*'Revenues &amp; Expenses'!O113</f>
        <v>2.53629511016306</v>
      </c>
      <c r="S105" s="204" t="n">
        <f aca="false">IF(M105&gt;N105,1,0)</f>
        <v>0</v>
      </c>
      <c r="T105" s="204" t="n">
        <f aca="false">'Revenues &amp; Expenses'!$S$3</f>
        <v>310.66</v>
      </c>
      <c r="U105" s="212" t="n">
        <f aca="false">T105*'Revenues &amp; Expenses'!F113*4</f>
        <v>27338.08</v>
      </c>
      <c r="W105" s="212" t="n">
        <f aca="false">IF(S105&gt;0,(M105-N105)*U105,0)</f>
        <v>0</v>
      </c>
    </row>
    <row r="106" customFormat="false" ht="12.75" hidden="false" customHeight="false" outlineLevel="0" collapsed="false">
      <c r="B106" s="240" t="n">
        <v>39783</v>
      </c>
      <c r="C106" s="218" t="n">
        <f aca="false">VLOOKUP(B106,'Company Gas Prices'!$B$25:$C$259,2)</f>
        <v>3.778125</v>
      </c>
      <c r="D106" s="180" t="n">
        <f aca="false">VLOOKUP(B106,'Fuel Curve'!$B$7:$F$268,5)</f>
        <v>4.84741379310345</v>
      </c>
      <c r="E106" s="180" t="n">
        <f aca="false">D106-C106</f>
        <v>1.06928879310345</v>
      </c>
      <c r="G106" s="240" t="n">
        <v>39783</v>
      </c>
      <c r="H106" s="180" t="n">
        <f aca="false">VLOOKUP(G106,'Company Power Prices'!$B$25:$C$259,2)</f>
        <v>50.28623719</v>
      </c>
      <c r="I106" s="180" t="n">
        <f aca="false">VLOOKUP(G106,'Super Peak Curve Simulation'!$B$4:$C$225,2)</f>
        <v>36.7818981939414</v>
      </c>
      <c r="J106" s="259" t="n">
        <f aca="false">I106-H106</f>
        <v>-13.5043389960586</v>
      </c>
      <c r="L106" s="240" t="n">
        <v>39783</v>
      </c>
      <c r="M106" s="180" t="n">
        <f aca="false">IF($L$1=1,VLOOKUP(L106,'Super Peak Curve Simulation'!$B$7:$N$225,12),VLOOKUP(L106,'PJM Curve Simulation'!$B$9:$J$246,9))</f>
        <v>30.4999996185303</v>
      </c>
      <c r="N106" s="180" t="n">
        <f aca="false">P106+Q106</f>
        <v>48.9753090730394</v>
      </c>
      <c r="P106" s="180" t="n">
        <f aca="false">IF($L$1=1,VLOOKUP(L106,'Fuel Curve'!$B$7:$H$246,7),VLOOKUP(L106,'Revenues &amp; Expenses'!$K$9:$S$246,9))</f>
        <v>46.4333767241379</v>
      </c>
      <c r="Q106" s="180" t="n">
        <f aca="false">'Revenues &amp; Expenses'!$AM$5*1000*'Revenues &amp; Expenses'!O114</f>
        <v>2.54193234890145</v>
      </c>
      <c r="S106" s="204" t="n">
        <f aca="false">IF(M106&gt;N106,1,0)</f>
        <v>0</v>
      </c>
      <c r="T106" s="204" t="n">
        <f aca="false">'Revenues &amp; Expenses'!$S$3</f>
        <v>310.66</v>
      </c>
      <c r="U106" s="212" t="n">
        <f aca="false">T106*'Revenues &amp; Expenses'!F114*4</f>
        <v>28580.72</v>
      </c>
      <c r="W106" s="212" t="n">
        <f aca="false">IF(S106&gt;0,(M106-N106)*U106,0)</f>
        <v>0</v>
      </c>
    </row>
    <row r="107" customFormat="false" ht="12.75" hidden="false" customHeight="false" outlineLevel="0" collapsed="false">
      <c r="B107" s="240" t="n">
        <v>39814</v>
      </c>
      <c r="C107" s="218" t="n">
        <f aca="false">VLOOKUP(B107,'Company Gas Prices'!$B$25:$C$259,2)</f>
        <v>3.83541667</v>
      </c>
      <c r="D107" s="180" t="n">
        <f aca="false">VLOOKUP(B107,'Fuel Curve'!$B$7:$F$268,5)</f>
        <v>4.79017241379311</v>
      </c>
      <c r="E107" s="180" t="n">
        <f aca="false">D107-C107</f>
        <v>0.954755743793105</v>
      </c>
      <c r="G107" s="240" t="n">
        <v>39814</v>
      </c>
      <c r="H107" s="180" t="n">
        <f aca="false">VLOOKUP(G107,'Company Power Prices'!$B$25:$C$259,2)</f>
        <v>47.80079544</v>
      </c>
      <c r="I107" s="180" t="n">
        <f aca="false">VLOOKUP(G107,'Super Peak Curve Simulation'!$B$4:$C$225,2)</f>
        <v>48.221011119424</v>
      </c>
      <c r="J107" s="259" t="n">
        <f aca="false">I107-H107</f>
        <v>0.420215679424032</v>
      </c>
      <c r="L107" s="240" t="n">
        <v>39814</v>
      </c>
      <c r="M107" s="180" t="n">
        <f aca="false">IF($L$1=1,VLOOKUP(L107,'Super Peak Curve Simulation'!$B$7:$N$225,12),VLOOKUP(L107,'PJM Curve Simulation'!$B$9:$J$246,9))</f>
        <v>39.3249984741211</v>
      </c>
      <c r="N107" s="180" t="n">
        <f aca="false">P107+Q107</f>
        <v>48.4326436688447</v>
      </c>
      <c r="P107" s="180" t="n">
        <f aca="false">IF($L$1=1,VLOOKUP(L107,'Fuel Curve'!$B$7:$H$246,7),VLOOKUP(L107,'Revenues &amp; Expenses'!$K$9:$S$246,9))</f>
        <v>45.8850615517242</v>
      </c>
      <c r="Q107" s="180" t="n">
        <f aca="false">'Revenues &amp; Expenses'!$AM$5*1000*'Revenues &amp; Expenses'!O115</f>
        <v>2.54758211712053</v>
      </c>
      <c r="S107" s="204" t="n">
        <f aca="false">IF(M107&gt;N107,1,0)</f>
        <v>0</v>
      </c>
      <c r="T107" s="204" t="n">
        <f aca="false">'Revenues &amp; Expenses'!$S$3</f>
        <v>310.66</v>
      </c>
      <c r="U107" s="212" t="n">
        <f aca="false">T107*'Revenues &amp; Expenses'!F115*4</f>
        <v>28580.72</v>
      </c>
      <c r="W107" s="212" t="n">
        <f aca="false">IF(S107&gt;0,(M107-N107)*U107,0)</f>
        <v>0</v>
      </c>
    </row>
    <row r="108" customFormat="false" ht="12.75" hidden="false" customHeight="false" outlineLevel="0" collapsed="false">
      <c r="B108" s="240" t="n">
        <v>39845</v>
      </c>
      <c r="C108" s="218" t="n">
        <f aca="false">VLOOKUP(B108,'Company Gas Prices'!$B$25:$C$259,2)</f>
        <v>3.83541667</v>
      </c>
      <c r="D108" s="180" t="n">
        <f aca="false">VLOOKUP(B108,'Fuel Curve'!$B$7:$F$268,5)</f>
        <v>4.69103448275862</v>
      </c>
      <c r="E108" s="180" t="n">
        <f aca="false">D108-C108</f>
        <v>0.855617812758622</v>
      </c>
      <c r="G108" s="240" t="n">
        <v>39845</v>
      </c>
      <c r="H108" s="180" t="n">
        <f aca="false">VLOOKUP(G108,'Company Power Prices'!$B$25:$C$259,2)</f>
        <v>41.75988855</v>
      </c>
      <c r="I108" s="180" t="n">
        <f aca="false">VLOOKUP(G108,'Super Peak Curve Simulation'!$B$4:$C$225,2)</f>
        <v>48.221011119424</v>
      </c>
      <c r="J108" s="259" t="n">
        <f aca="false">I108-H108</f>
        <v>6.46112256942404</v>
      </c>
      <c r="L108" s="240" t="n">
        <v>39845</v>
      </c>
      <c r="M108" s="180" t="n">
        <f aca="false">IF($L$1=1,VLOOKUP(L108,'Super Peak Curve Simulation'!$B$7:$N$225,12),VLOOKUP(L108,'PJM Curve Simulation'!$B$9:$J$246,9))</f>
        <v>39.3249984741211</v>
      </c>
      <c r="N108" s="180" t="n">
        <f aca="false">P108+Q108</f>
        <v>47.4886637530135</v>
      </c>
      <c r="P108" s="180" t="n">
        <f aca="false">IF($L$1=1,VLOOKUP(L108,'Fuel Curve'!$B$7:$H$246,7),VLOOKUP(L108,'Revenues &amp; Expenses'!$K$9:$S$246,9))</f>
        <v>44.9354193103448</v>
      </c>
      <c r="Q108" s="180" t="n">
        <f aca="false">'Revenues &amp; Expenses'!$AM$5*1000*'Revenues &amp; Expenses'!O116</f>
        <v>2.55324444266865</v>
      </c>
      <c r="S108" s="204" t="n">
        <f aca="false">IF(M108&gt;N108,1,0)</f>
        <v>0</v>
      </c>
      <c r="T108" s="204" t="n">
        <f aca="false">'Revenues &amp; Expenses'!$S$3</f>
        <v>310.66</v>
      </c>
      <c r="U108" s="212" t="n">
        <f aca="false">T108*'Revenues &amp; Expenses'!F116*4</f>
        <v>24852.8</v>
      </c>
      <c r="W108" s="212" t="n">
        <f aca="false">IF(S108&gt;0,(M108-N108)*U108,0)</f>
        <v>0</v>
      </c>
    </row>
    <row r="109" customFormat="false" ht="12.75" hidden="false" customHeight="false" outlineLevel="0" collapsed="false">
      <c r="B109" s="240" t="n">
        <v>39873</v>
      </c>
      <c r="C109" s="218" t="n">
        <f aca="false">VLOOKUP(B109,'Company Gas Prices'!$B$25:$C$259,2)</f>
        <v>3.83541667</v>
      </c>
      <c r="D109" s="180" t="n">
        <f aca="false">VLOOKUP(B109,'Fuel Curve'!$B$7:$F$268,5)</f>
        <v>4.59396551724138</v>
      </c>
      <c r="E109" s="180" t="n">
        <f aca="false">D109-C109</f>
        <v>0.75854884724138</v>
      </c>
      <c r="G109" s="240" t="n">
        <v>39873</v>
      </c>
      <c r="H109" s="180" t="n">
        <f aca="false">VLOOKUP(G109,'Company Power Prices'!$B$25:$C$259,2)</f>
        <v>41.75988855</v>
      </c>
      <c r="I109" s="180" t="n">
        <f aca="false">VLOOKUP(G109,'Super Peak Curve Simulation'!$B$4:$C$225,2)</f>
        <v>35.331337177906</v>
      </c>
      <c r="J109" s="259" t="n">
        <f aca="false">I109-H109</f>
        <v>-6.42855137209396</v>
      </c>
      <c r="L109" s="240" t="n">
        <v>39873</v>
      </c>
      <c r="M109" s="180" t="n">
        <f aca="false">IF($L$1=1,VLOOKUP(L109,'Super Peak Curve Simulation'!$B$7:$N$225,12),VLOOKUP(L109,'PJM Curve Simulation'!$B$9:$J$246,9))</f>
        <v>29.0500007629395</v>
      </c>
      <c r="N109" s="180" t="n">
        <f aca="false">P109+Q109</f>
        <v>46.5645150431113</v>
      </c>
      <c r="P109" s="180" t="n">
        <f aca="false">IF($L$1=1,VLOOKUP(L109,'Fuel Curve'!$B$7:$H$246,7),VLOOKUP(L109,'Revenues &amp; Expenses'!$K$9:$S$246,9))</f>
        <v>44.0055956896552</v>
      </c>
      <c r="Q109" s="180" t="n">
        <f aca="false">'Revenues &amp; Expenses'!$AM$5*1000*'Revenues &amp; Expenses'!O117</f>
        <v>2.5589193534561</v>
      </c>
      <c r="S109" s="204" t="n">
        <f aca="false">IF(M109&gt;N109,1,0)</f>
        <v>0</v>
      </c>
      <c r="T109" s="204" t="n">
        <f aca="false">'Revenues &amp; Expenses'!$S$3</f>
        <v>310.66</v>
      </c>
      <c r="U109" s="212" t="n">
        <f aca="false">T109*'Revenues &amp; Expenses'!F117*4</f>
        <v>27338.08</v>
      </c>
      <c r="W109" s="212" t="n">
        <f aca="false">IF(S109&gt;0,(M109-N109)*U109,0)</f>
        <v>0</v>
      </c>
    </row>
    <row r="110" customFormat="false" ht="12.75" hidden="false" customHeight="false" outlineLevel="0" collapsed="false">
      <c r="B110" s="240" t="n">
        <v>39904</v>
      </c>
      <c r="C110" s="218" t="n">
        <f aca="false">VLOOKUP(B110,'Company Gas Prices'!$B$25:$C$259,2)</f>
        <v>3.98020833</v>
      </c>
      <c r="D110" s="180" t="n">
        <f aca="false">VLOOKUP(B110,'Fuel Curve'!$B$7:$F$268,5)</f>
        <v>4.49396551724138</v>
      </c>
      <c r="E110" s="180" t="n">
        <f aca="false">D110-C110</f>
        <v>0.51375718724138</v>
      </c>
      <c r="G110" s="240" t="n">
        <v>39904</v>
      </c>
      <c r="H110" s="180" t="n">
        <f aca="false">VLOOKUP(G110,'Company Power Prices'!$B$25:$C$259,2)</f>
        <v>46.22596667</v>
      </c>
      <c r="I110" s="180" t="n">
        <f aca="false">VLOOKUP(G110,'Super Peak Curve Simulation'!$B$4:$C$225,2)</f>
        <v>32.6979938861392</v>
      </c>
      <c r="J110" s="259" t="n">
        <f aca="false">I110-H110</f>
        <v>-13.5279727838608</v>
      </c>
      <c r="L110" s="240" t="n">
        <v>39904</v>
      </c>
      <c r="M110" s="180" t="n">
        <f aca="false">IF($L$1=1,VLOOKUP(L110,'Super Peak Curve Simulation'!$B$7:$N$225,12),VLOOKUP(L110,'PJM Curve Simulation'!$B$9:$J$246,9))</f>
        <v>28.8250007629395</v>
      </c>
      <c r="N110" s="180" t="n">
        <f aca="false">P110+Q110</f>
        <v>45.6123025671103</v>
      </c>
      <c r="P110" s="180" t="n">
        <f aca="false">IF($L$1=1,VLOOKUP(L110,'Fuel Curve'!$B$7:$H$246,7),VLOOKUP(L110,'Revenues &amp; Expenses'!$K$9:$S$246,9))</f>
        <v>43.0476956896552</v>
      </c>
      <c r="Q110" s="180" t="n">
        <f aca="false">'Revenues &amp; Expenses'!$AM$5*1000*'Revenues &amp; Expenses'!O118</f>
        <v>2.56460687745515</v>
      </c>
      <c r="S110" s="204" t="n">
        <f aca="false">IF(M110&gt;N110,1,0)</f>
        <v>0</v>
      </c>
      <c r="T110" s="204" t="n">
        <f aca="false">'Revenues &amp; Expenses'!$S$3</f>
        <v>310.66</v>
      </c>
      <c r="U110" s="212" t="n">
        <f aca="false">T110*'Revenues &amp; Expenses'!F118*4</f>
        <v>26095.44</v>
      </c>
      <c r="W110" s="212" t="n">
        <f aca="false">IF(S110&gt;0,(M110-N110)*U110,0)</f>
        <v>0</v>
      </c>
    </row>
    <row r="111" customFormat="false" ht="12.75" hidden="false" customHeight="false" outlineLevel="0" collapsed="false">
      <c r="B111" s="240" t="n">
        <v>39934</v>
      </c>
      <c r="C111" s="218" t="n">
        <f aca="false">VLOOKUP(B111,'Company Gas Prices'!$B$25:$C$259,2)</f>
        <v>3.81770833</v>
      </c>
      <c r="D111" s="180" t="n">
        <f aca="false">VLOOKUP(B111,'Fuel Curve'!$B$7:$F$268,5)</f>
        <v>4.42672413793104</v>
      </c>
      <c r="E111" s="180" t="n">
        <f aca="false">D111-C111</f>
        <v>0.609015807931035</v>
      </c>
      <c r="G111" s="240" t="n">
        <v>39934</v>
      </c>
      <c r="H111" s="180" t="n">
        <f aca="false">VLOOKUP(G111,'Company Power Prices'!$B$25:$C$259,2)</f>
        <v>58.18528975</v>
      </c>
      <c r="I111" s="180" t="n">
        <f aca="false">VLOOKUP(G111,'Super Peak Curve Simulation'!$B$4:$C$225,2)</f>
        <v>39.6032860488663</v>
      </c>
      <c r="J111" s="259" t="n">
        <f aca="false">I111-H111</f>
        <v>-18.5820037011337</v>
      </c>
      <c r="L111" s="240" t="n">
        <v>39934</v>
      </c>
      <c r="M111" s="180" t="n">
        <f aca="false">IF($L$1=1,VLOOKUP(L111,'Super Peak Curve Simulation'!$B$7:$N$225,12),VLOOKUP(L111,'PJM Curve Simulation'!$B$9:$J$246,9))</f>
        <v>36.075</v>
      </c>
      <c r="N111" s="180" t="n">
        <f aca="false">P111+Q111</f>
        <v>44.9738975599417</v>
      </c>
      <c r="P111" s="180" t="n">
        <f aca="false">IF($L$1=1,VLOOKUP(L111,'Fuel Curve'!$B$7:$H$246,7),VLOOKUP(L111,'Revenues &amp; Expenses'!$K$9:$S$246,9))</f>
        <v>42.4035905172414</v>
      </c>
      <c r="Q111" s="180" t="n">
        <f aca="false">'Revenues &amp; Expenses'!$AM$5*1000*'Revenues &amp; Expenses'!O119</f>
        <v>2.57030704270027</v>
      </c>
      <c r="S111" s="204" t="n">
        <f aca="false">IF(M111&gt;N111,1,0)</f>
        <v>0</v>
      </c>
      <c r="T111" s="204" t="n">
        <f aca="false">'Revenues &amp; Expenses'!$S$3</f>
        <v>310.66</v>
      </c>
      <c r="U111" s="212" t="n">
        <f aca="false">T111*'Revenues &amp; Expenses'!F119*4</f>
        <v>28580.72</v>
      </c>
      <c r="W111" s="212" t="n">
        <f aca="false">IF(S111&gt;0,(M111-N111)*U111,0)</f>
        <v>0</v>
      </c>
    </row>
    <row r="112" customFormat="false" ht="12.75" hidden="false" customHeight="false" outlineLevel="0" collapsed="false">
      <c r="B112" s="240" t="n">
        <v>39965</v>
      </c>
      <c r="C112" s="218" t="n">
        <f aca="false">VLOOKUP(B112,'Company Gas Prices'!$B$25:$C$259,2)</f>
        <v>3.809375</v>
      </c>
      <c r="D112" s="180" t="n">
        <f aca="false">VLOOKUP(B112,'Fuel Curve'!$B$7:$F$268,5)</f>
        <v>4.42017241379311</v>
      </c>
      <c r="E112" s="180" t="n">
        <f aca="false">D112-C112</f>
        <v>0.610797413793105</v>
      </c>
      <c r="G112" s="240" t="n">
        <v>39965</v>
      </c>
      <c r="H112" s="180" t="n">
        <f aca="false">VLOOKUP(G112,'Company Power Prices'!$B$25:$C$259,2)</f>
        <v>107.2189119</v>
      </c>
      <c r="I112" s="180" t="n">
        <f aca="false">VLOOKUP(G112,'Super Peak Curve Simulation'!$B$4:$C$225,2)</f>
        <v>75.3957016779013</v>
      </c>
      <c r="J112" s="259" t="n">
        <f aca="false">I112-H112</f>
        <v>-31.8232102220987</v>
      </c>
      <c r="L112" s="240" t="n">
        <v>39965</v>
      </c>
      <c r="M112" s="180" t="n">
        <f aca="false">IF($L$1=1,VLOOKUP(L112,'Super Peak Curve Simulation'!$B$7:$N$225,12),VLOOKUP(L112,'PJM Curve Simulation'!$B$9:$J$246,9))</f>
        <v>61.0999984741211</v>
      </c>
      <c r="N112" s="180" t="n">
        <f aca="false">P112+Q112</f>
        <v>44.9168514290124</v>
      </c>
      <c r="P112" s="180" t="n">
        <f aca="false">IF($L$1=1,VLOOKUP(L112,'Fuel Curve'!$B$7:$H$246,7),VLOOKUP(L112,'Revenues &amp; Expenses'!$K$9:$S$246,9))</f>
        <v>42.3408315517242</v>
      </c>
      <c r="Q112" s="180" t="n">
        <f aca="false">'Revenues &amp; Expenses'!$AM$5*1000*'Revenues &amp; Expenses'!O120</f>
        <v>2.57601987728826</v>
      </c>
      <c r="S112" s="204" t="n">
        <f aca="false">IF(M112&gt;N112,1,0)</f>
        <v>1</v>
      </c>
      <c r="T112" s="204" t="n">
        <f aca="false">'Revenues &amp; Expenses'!$S$3</f>
        <v>310.66</v>
      </c>
      <c r="U112" s="212" t="n">
        <f aca="false">T112*'Revenues &amp; Expenses'!F120*4</f>
        <v>26095.44</v>
      </c>
      <c r="W112" s="212" t="n">
        <f aca="false">IF(S112&gt;0,(M112-N112)*U112,0)</f>
        <v>422306.342726811</v>
      </c>
    </row>
    <row r="113" customFormat="false" ht="12.75" hidden="false" customHeight="false" outlineLevel="0" collapsed="false">
      <c r="B113" s="240" t="n">
        <v>39995</v>
      </c>
      <c r="C113" s="218" t="n">
        <f aca="false">VLOOKUP(B113,'Company Gas Prices'!$B$25:$C$259,2)</f>
        <v>3.771875</v>
      </c>
      <c r="D113" s="180" t="n">
        <f aca="false">VLOOKUP(B113,'Fuel Curve'!$B$7:$F$268,5)</f>
        <v>4.47741379310345</v>
      </c>
      <c r="E113" s="180" t="n">
        <f aca="false">D113-C113</f>
        <v>0.705538793103449</v>
      </c>
      <c r="G113" s="240" t="n">
        <v>39995</v>
      </c>
      <c r="H113" s="180" t="n">
        <f aca="false">VLOOKUP(G113,'Company Power Prices'!$B$25:$C$259,2)</f>
        <v>170.3407149</v>
      </c>
      <c r="I113" s="180" t="n">
        <f aca="false">VLOOKUP(G113,'Super Peak Curve Simulation'!$B$4:$C$225,2)</f>
        <v>137.477981434286</v>
      </c>
      <c r="J113" s="259" t="n">
        <f aca="false">I113-H113</f>
        <v>-32.8627334657141</v>
      </c>
      <c r="L113" s="240" t="n">
        <v>39995</v>
      </c>
      <c r="M113" s="180" t="n">
        <f aca="false">IF($L$1=1,VLOOKUP(L113,'Super Peak Curve Simulation'!$B$7:$N$225,12),VLOOKUP(L113,'PJM Curve Simulation'!$B$9:$J$246,9))</f>
        <v>104.699996948242</v>
      </c>
      <c r="N113" s="180" t="n">
        <f aca="false">P113+Q113</f>
        <v>45.4708921335163</v>
      </c>
      <c r="P113" s="180" t="n">
        <f aca="false">IF($L$1=1,VLOOKUP(L113,'Fuel Curve'!$B$7:$H$246,7),VLOOKUP(L113,'Revenues &amp; Expenses'!$K$9:$S$246,9))</f>
        <v>42.8891467241379</v>
      </c>
      <c r="Q113" s="180" t="n">
        <f aca="false">'Revenues &amp; Expenses'!$AM$5*1000*'Revenues &amp; Expenses'!O121</f>
        <v>2.58174540937833</v>
      </c>
      <c r="S113" s="204" t="n">
        <f aca="false">IF(M113&gt;N113,1,0)</f>
        <v>1</v>
      </c>
      <c r="T113" s="204" t="n">
        <f aca="false">'Revenues &amp; Expenses'!$S$3</f>
        <v>310.66</v>
      </c>
      <c r="U113" s="212" t="n">
        <f aca="false">T113*'Revenues &amp; Expenses'!F121*4</f>
        <v>27338.08</v>
      </c>
      <c r="W113" s="212" t="n">
        <f aca="false">IF(S113&gt;0,(M113-N113)*U113,0)</f>
        <v>1619210.00575336</v>
      </c>
    </row>
    <row r="114" customFormat="false" ht="12.75" hidden="false" customHeight="false" outlineLevel="0" collapsed="false">
      <c r="B114" s="240" t="n">
        <v>40026</v>
      </c>
      <c r="C114" s="218" t="n">
        <f aca="false">VLOOKUP(B114,'Company Gas Prices'!$B$25:$C$259,2)</f>
        <v>3.771875</v>
      </c>
      <c r="D114" s="180" t="n">
        <f aca="false">VLOOKUP(B114,'Fuel Curve'!$B$7:$F$268,5)</f>
        <v>4.56793103448276</v>
      </c>
      <c r="E114" s="180" t="n">
        <f aca="false">D114-C114</f>
        <v>0.796056034482759</v>
      </c>
      <c r="G114" s="240" t="n">
        <v>40026</v>
      </c>
      <c r="H114" s="180" t="n">
        <f aca="false">VLOOKUP(G114,'Company Power Prices'!$B$25:$C$259,2)</f>
        <v>170.3407149</v>
      </c>
      <c r="I114" s="180" t="n">
        <f aca="false">VLOOKUP(G114,'Super Peak Curve Simulation'!$B$4:$C$225,2)</f>
        <v>112.547064266446</v>
      </c>
      <c r="J114" s="259" t="n">
        <f aca="false">I114-H114</f>
        <v>-57.7936506335544</v>
      </c>
      <c r="L114" s="240" t="n">
        <v>40026</v>
      </c>
      <c r="M114" s="180" t="n">
        <f aca="false">IF($L$1=1,VLOOKUP(L114,'Super Peak Curve Simulation'!$B$7:$N$225,12),VLOOKUP(L114,'PJM Curve Simulation'!$B$9:$J$246,9))</f>
        <v>91.6999969482422</v>
      </c>
      <c r="N114" s="180" t="n">
        <f aca="false">P114+Q114</f>
        <v>46.3436950465026</v>
      </c>
      <c r="P114" s="180" t="n">
        <f aca="false">IF($L$1=1,VLOOKUP(L114,'Fuel Curve'!$B$7:$H$246,7),VLOOKUP(L114,'Revenues &amp; Expenses'!$K$9:$S$246,9))</f>
        <v>43.7562113793104</v>
      </c>
      <c r="Q114" s="180" t="n">
        <f aca="false">'Revenues &amp; Expenses'!$AM$5*1000*'Revenues &amp; Expenses'!O122</f>
        <v>2.58748366719229</v>
      </c>
      <c r="S114" s="204" t="n">
        <f aca="false">IF(M114&gt;N114,1,0)</f>
        <v>1</v>
      </c>
      <c r="T114" s="204" t="n">
        <f aca="false">'Revenues &amp; Expenses'!$S$3</f>
        <v>310.66</v>
      </c>
      <c r="U114" s="212" t="n">
        <f aca="false">T114*'Revenues &amp; Expenses'!F122*4</f>
        <v>28580.72</v>
      </c>
      <c r="W114" s="212" t="n">
        <f aca="false">IF(S114&gt;0,(M114-N114)*U114,0)</f>
        <v>1296315.76488909</v>
      </c>
    </row>
    <row r="115" customFormat="false" ht="12.75" hidden="false" customHeight="false" outlineLevel="0" collapsed="false">
      <c r="B115" s="240" t="n">
        <v>40057</v>
      </c>
      <c r="C115" s="218" t="n">
        <f aca="false">VLOOKUP(B115,'Company Gas Prices'!$B$25:$C$259,2)</f>
        <v>3.81770833</v>
      </c>
      <c r="D115" s="180" t="n">
        <f aca="false">VLOOKUP(B115,'Fuel Curve'!$B$7:$F$268,5)</f>
        <v>4.66275862068966</v>
      </c>
      <c r="E115" s="180" t="n">
        <f aca="false">D115-C115</f>
        <v>0.845050290689656</v>
      </c>
      <c r="G115" s="240" t="n">
        <v>40057</v>
      </c>
      <c r="H115" s="180" t="n">
        <f aca="false">VLOOKUP(G115,'Company Power Prices'!$B$25:$C$259,2)</f>
        <v>58.18528975</v>
      </c>
      <c r="I115" s="180" t="n">
        <f aca="false">VLOOKUP(G115,'Super Peak Curve Simulation'!$B$4:$C$225,2)</f>
        <v>41.4959946119881</v>
      </c>
      <c r="J115" s="259" t="n">
        <f aca="false">I115-H115</f>
        <v>-16.6892951380119</v>
      </c>
      <c r="L115" s="240" t="n">
        <v>40057</v>
      </c>
      <c r="M115" s="180" t="n">
        <f aca="false">IF($L$1=1,VLOOKUP(L115,'Super Peak Curve Simulation'!$B$7:$N$225,12),VLOOKUP(L115,'PJM Curve Simulation'!$B$9:$J$246,9))</f>
        <v>35.9249984741211</v>
      </c>
      <c r="N115" s="180" t="n">
        <f aca="false">P115+Q115</f>
        <v>47.2577995066009</v>
      </c>
      <c r="P115" s="180" t="n">
        <f aca="false">IF($L$1=1,VLOOKUP(L115,'Fuel Curve'!$B$7:$H$246,7),VLOOKUP(L115,'Revenues &amp; Expenses'!$K$9:$S$246,9))</f>
        <v>44.6645648275862</v>
      </c>
      <c r="Q115" s="180" t="n">
        <f aca="false">'Revenues &amp; Expenses'!$AM$5*1000*'Revenues &amp; Expenses'!O123</f>
        <v>2.5932346790147</v>
      </c>
      <c r="S115" s="204" t="n">
        <f aca="false">IF(M115&gt;N115,1,0)</f>
        <v>0</v>
      </c>
      <c r="T115" s="204" t="n">
        <f aca="false">'Revenues &amp; Expenses'!$S$3</f>
        <v>310.66</v>
      </c>
      <c r="U115" s="212" t="n">
        <f aca="false">T115*'Revenues &amp; Expenses'!F123*4</f>
        <v>24852.8</v>
      </c>
      <c r="W115" s="212" t="n">
        <f aca="false">IF(S115&gt;0,(M115-N115)*U115,0)</f>
        <v>0</v>
      </c>
    </row>
    <row r="116" customFormat="false" ht="12.75" hidden="false" customHeight="false" outlineLevel="0" collapsed="false">
      <c r="B116" s="240" t="n">
        <v>40087</v>
      </c>
      <c r="C116" s="218" t="n">
        <f aca="false">VLOOKUP(B116,'Company Gas Prices'!$B$25:$C$259,2)</f>
        <v>3.778125</v>
      </c>
      <c r="D116" s="180" t="n">
        <f aca="false">VLOOKUP(B116,'Fuel Curve'!$B$7:$F$268,5)</f>
        <v>4.75534482758621</v>
      </c>
      <c r="E116" s="180" t="n">
        <f aca="false">D116-C116</f>
        <v>0.977219827586207</v>
      </c>
      <c r="G116" s="240" t="n">
        <v>40087</v>
      </c>
      <c r="H116" s="180" t="n">
        <f aca="false">VLOOKUP(G116,'Company Power Prices'!$B$25:$C$259,2)</f>
        <v>48.07464147</v>
      </c>
      <c r="I116" s="180" t="n">
        <f aca="false">VLOOKUP(G116,'Super Peak Curve Simulation'!$B$4:$C$225,2)</f>
        <v>34.742492323122</v>
      </c>
      <c r="J116" s="259" t="n">
        <f aca="false">I116-H116</f>
        <v>-13.332149146878</v>
      </c>
      <c r="L116" s="240" t="n">
        <v>40087</v>
      </c>
      <c r="M116" s="180" t="n">
        <f aca="false">IF($L$1=1,VLOOKUP(L116,'Super Peak Curve Simulation'!$B$7:$N$225,12),VLOOKUP(L116,'PJM Curve Simulation'!$B$9:$J$246,9))</f>
        <v>29.5750003814697</v>
      </c>
      <c r="N116" s="180" t="n">
        <f aca="false">P116+Q116</f>
        <v>48.1504465766412</v>
      </c>
      <c r="P116" s="180" t="n">
        <f aca="false">IF($L$1=1,VLOOKUP(L116,'Fuel Curve'!$B$7:$H$246,7),VLOOKUP(L116,'Revenues &amp; Expenses'!$K$9:$S$246,9))</f>
        <v>45.5514481034483</v>
      </c>
      <c r="Q116" s="180" t="n">
        <f aca="false">'Revenues &amp; Expenses'!$AM$5*1000*'Revenues &amp; Expenses'!O124</f>
        <v>2.59899847319295</v>
      </c>
      <c r="S116" s="204" t="n">
        <f aca="false">IF(M116&gt;N116,1,0)</f>
        <v>0</v>
      </c>
      <c r="T116" s="204" t="n">
        <f aca="false">'Revenues &amp; Expenses'!$S$3</f>
        <v>310.66</v>
      </c>
      <c r="U116" s="212" t="n">
        <f aca="false">T116*'Revenues &amp; Expenses'!F124*4</f>
        <v>28580.72</v>
      </c>
      <c r="W116" s="212" t="n">
        <f aca="false">IF(S116&gt;0,(M116-N116)*U116,0)</f>
        <v>0</v>
      </c>
    </row>
    <row r="117" customFormat="false" ht="12.75" hidden="false" customHeight="false" outlineLevel="0" collapsed="false">
      <c r="B117" s="240" t="n">
        <v>40118</v>
      </c>
      <c r="C117" s="218" t="n">
        <f aca="false">VLOOKUP(B117,'Company Gas Prices'!$B$25:$C$259,2)</f>
        <v>3.778125</v>
      </c>
      <c r="D117" s="180" t="n">
        <f aca="false">VLOOKUP(B117,'Fuel Curve'!$B$7:$F$268,5)</f>
        <v>4.80465517241379</v>
      </c>
      <c r="E117" s="180" t="n">
        <f aca="false">D117-C117</f>
        <v>1.02653017241379</v>
      </c>
      <c r="G117" s="240" t="n">
        <v>40118</v>
      </c>
      <c r="H117" s="180" t="n">
        <f aca="false">VLOOKUP(G117,'Company Power Prices'!$B$25:$C$259,2)</f>
        <v>50.29950214</v>
      </c>
      <c r="I117" s="180" t="n">
        <f aca="false">VLOOKUP(G117,'Super Peak Curve Simulation'!$B$4:$C$225,2)</f>
        <v>34.8286530972672</v>
      </c>
      <c r="J117" s="259" t="n">
        <f aca="false">I117-H117</f>
        <v>-15.4708490427328</v>
      </c>
      <c r="L117" s="240" t="n">
        <v>40118</v>
      </c>
      <c r="M117" s="180" t="n">
        <f aca="false">IF($L$1=1,VLOOKUP(L117,'Super Peak Curve Simulation'!$B$7:$N$225,12),VLOOKUP(L117,'PJM Curve Simulation'!$B$9:$J$246,9))</f>
        <v>29.2474990844727</v>
      </c>
      <c r="N117" s="180" t="n">
        <f aca="false">P117+Q117</f>
        <v>48.6285669746892</v>
      </c>
      <c r="P117" s="180" t="n">
        <f aca="false">IF($L$1=1,VLOOKUP(L117,'Fuel Curve'!$B$7:$H$246,7),VLOOKUP(L117,'Revenues &amp; Expenses'!$K$9:$S$246,9))</f>
        <v>46.0237918965517</v>
      </c>
      <c r="Q117" s="180" t="n">
        <f aca="false">'Revenues &amp; Expenses'!$AM$5*1000*'Revenues &amp; Expenses'!O125</f>
        <v>2.60477507813746</v>
      </c>
      <c r="S117" s="204" t="n">
        <f aca="false">IF(M117&gt;N117,1,0)</f>
        <v>0</v>
      </c>
      <c r="T117" s="204" t="n">
        <f aca="false">'Revenues &amp; Expenses'!$S$3</f>
        <v>310.66</v>
      </c>
      <c r="U117" s="212" t="n">
        <f aca="false">T117*'Revenues &amp; Expenses'!F125*4</f>
        <v>27338.08</v>
      </c>
      <c r="W117" s="212" t="n">
        <f aca="false">IF(S117&gt;0,(M117-N117)*U117,0)</f>
        <v>0</v>
      </c>
    </row>
    <row r="118" customFormat="false" ht="12.75" hidden="false" customHeight="false" outlineLevel="0" collapsed="false">
      <c r="B118" s="240" t="n">
        <v>40148</v>
      </c>
      <c r="C118" s="218" t="n">
        <f aca="false">VLOOKUP(B118,'Company Gas Prices'!$B$25:$C$259,2)</f>
        <v>3.778125</v>
      </c>
      <c r="D118" s="180" t="n">
        <f aca="false">VLOOKUP(B118,'Fuel Curve'!$B$7:$F$268,5)</f>
        <v>4.84741379310345</v>
      </c>
      <c r="E118" s="180" t="n">
        <f aca="false">D118-C118</f>
        <v>1.06928879310345</v>
      </c>
      <c r="G118" s="240" t="n">
        <v>40148</v>
      </c>
      <c r="H118" s="180" t="n">
        <f aca="false">VLOOKUP(G118,'Company Power Prices'!$B$25:$C$259,2)</f>
        <v>50.29950214</v>
      </c>
      <c r="I118" s="180" t="n">
        <f aca="false">VLOOKUP(G118,'Super Peak Curve Simulation'!$B$4:$C$225,2)</f>
        <v>37.3848801390886</v>
      </c>
      <c r="J118" s="259" t="n">
        <f aca="false">I118-H118</f>
        <v>-12.9146220009114</v>
      </c>
      <c r="L118" s="240" t="n">
        <v>40148</v>
      </c>
      <c r="M118" s="180" t="n">
        <f aca="false">IF($L$1=1,VLOOKUP(L118,'Super Peak Curve Simulation'!$B$7:$N$225,12),VLOOKUP(L118,'PJM Curve Simulation'!$B$9:$J$246,9))</f>
        <v>30.9999996185303</v>
      </c>
      <c r="N118" s="180" t="n">
        <f aca="false">P118+Q118</f>
        <v>49.0439412464597</v>
      </c>
      <c r="P118" s="180" t="n">
        <f aca="false">IF($L$1=1,VLOOKUP(L118,'Fuel Curve'!$B$7:$H$246,7),VLOOKUP(L118,'Revenues &amp; Expenses'!$K$9:$S$246,9))</f>
        <v>46.4333767241379</v>
      </c>
      <c r="Q118" s="180" t="n">
        <f aca="false">'Revenues &amp; Expenses'!$AM$5*1000*'Revenues &amp; Expenses'!O126</f>
        <v>2.61056452232179</v>
      </c>
      <c r="S118" s="204" t="n">
        <f aca="false">IF(M118&gt;N118,1,0)</f>
        <v>0</v>
      </c>
      <c r="T118" s="204" t="n">
        <f aca="false">'Revenues &amp; Expenses'!$S$3</f>
        <v>310.66</v>
      </c>
      <c r="U118" s="212" t="n">
        <f aca="false">T118*'Revenues &amp; Expenses'!F126*4</f>
        <v>26095.44</v>
      </c>
      <c r="W118" s="212" t="n">
        <f aca="false">IF(S118&gt;0,(M118-N118)*U118,0)</f>
        <v>0</v>
      </c>
    </row>
    <row r="119" customFormat="false" ht="12.75" hidden="false" customHeight="false" outlineLevel="0" collapsed="false">
      <c r="B119" s="240" t="n">
        <v>40179</v>
      </c>
      <c r="C119" s="218" t="n">
        <f aca="false">VLOOKUP(B119,'Company Gas Prices'!$B$25:$C$259,2)</f>
        <v>3.83541667</v>
      </c>
      <c r="D119" s="180" t="n">
        <f aca="false">VLOOKUP(B119,'Fuel Curve'!$B$7:$F$268,5)</f>
        <v>4.79017241379311</v>
      </c>
      <c r="E119" s="180" t="n">
        <f aca="false">D119-C119</f>
        <v>0.954755743793105</v>
      </c>
      <c r="G119" s="240" t="n">
        <v>40179</v>
      </c>
      <c r="H119" s="180" t="n">
        <f aca="false">VLOOKUP(G119,'Company Power Prices'!$B$25:$C$259,2)</f>
        <v>47.72765945</v>
      </c>
      <c r="I119" s="180" t="n">
        <f aca="false">VLOOKUP(G119,'Super Peak Curve Simulation'!$B$4:$C$225,2)</f>
        <v>48.8341199940646</v>
      </c>
      <c r="J119" s="259" t="n">
        <f aca="false">I119-H119</f>
        <v>1.10646054406465</v>
      </c>
      <c r="L119" s="240" t="n">
        <v>40179</v>
      </c>
      <c r="M119" s="180" t="n">
        <f aca="false">IF($L$1=1,VLOOKUP(L119,'Super Peak Curve Simulation'!$B$7:$N$225,12),VLOOKUP(L119,'PJM Curve Simulation'!$B$9:$J$246,9))</f>
        <v>39.8249984741211</v>
      </c>
      <c r="N119" s="180" t="n">
        <f aca="false">P119+Q119</f>
        <v>48.5014283860069</v>
      </c>
      <c r="P119" s="180" t="n">
        <f aca="false">IF($L$1=1,VLOOKUP(L119,'Fuel Curve'!$B$7:$H$246,7),VLOOKUP(L119,'Revenues &amp; Expenses'!$K$9:$S$246,9))</f>
        <v>45.8850615517242</v>
      </c>
      <c r="Q119" s="180" t="n">
        <f aca="false">'Revenues &amp; Expenses'!$AM$5*1000*'Revenues &amp; Expenses'!O127</f>
        <v>2.61636683428278</v>
      </c>
      <c r="S119" s="204" t="n">
        <f aca="false">IF(M119&gt;N119,1,0)</f>
        <v>0</v>
      </c>
      <c r="T119" s="204" t="n">
        <f aca="false">'Revenues &amp; Expenses'!$S$3</f>
        <v>310.66</v>
      </c>
      <c r="U119" s="212" t="n">
        <f aca="false">T119*'Revenues &amp; Expenses'!F127*4</f>
        <v>28580.72</v>
      </c>
      <c r="W119" s="212" t="n">
        <f aca="false">IF(S119&gt;0,(M119-N119)*U119,0)</f>
        <v>0</v>
      </c>
    </row>
    <row r="120" customFormat="false" ht="12.75" hidden="false" customHeight="false" outlineLevel="0" collapsed="false">
      <c r="B120" s="240" t="n">
        <v>40210</v>
      </c>
      <c r="C120" s="218" t="n">
        <f aca="false">VLOOKUP(B120,'Company Gas Prices'!$B$25:$C$259,2)</f>
        <v>3.83541667</v>
      </c>
      <c r="D120" s="180" t="n">
        <f aca="false">VLOOKUP(B120,'Fuel Curve'!$B$7:$F$268,5)</f>
        <v>4.69103448275862</v>
      </c>
      <c r="E120" s="180" t="n">
        <f aca="false">D120-C120</f>
        <v>0.855617812758622</v>
      </c>
      <c r="G120" s="240" t="n">
        <v>40210</v>
      </c>
      <c r="H120" s="180" t="n">
        <f aca="false">VLOOKUP(G120,'Company Power Prices'!$B$25:$C$259,2)</f>
        <v>41.83490537</v>
      </c>
      <c r="I120" s="180" t="n">
        <f aca="false">VLOOKUP(G120,'Super Peak Curve Simulation'!$B$4:$C$225,2)</f>
        <v>48.8341199940646</v>
      </c>
      <c r="J120" s="259" t="n">
        <f aca="false">I120-H120</f>
        <v>6.99921462406464</v>
      </c>
      <c r="L120" s="240" t="n">
        <v>40210</v>
      </c>
      <c r="M120" s="180" t="n">
        <f aca="false">IF($L$1=1,VLOOKUP(L120,'Super Peak Curve Simulation'!$B$7:$N$225,12),VLOOKUP(L120,'PJM Curve Simulation'!$B$9:$J$246,9))</f>
        <v>39.8249984741211</v>
      </c>
      <c r="N120" s="180" t="n">
        <f aca="false">P120+Q120</f>
        <v>47.5576013529655</v>
      </c>
      <c r="P120" s="180" t="n">
        <f aca="false">IF($L$1=1,VLOOKUP(L120,'Fuel Curve'!$B$7:$H$246,7),VLOOKUP(L120,'Revenues &amp; Expenses'!$K$9:$S$246,9))</f>
        <v>44.9354193103448</v>
      </c>
      <c r="Q120" s="180" t="n">
        <f aca="false">'Revenues &amp; Expenses'!$AM$5*1000*'Revenues &amp; Expenses'!O128</f>
        <v>2.62218204262071</v>
      </c>
      <c r="S120" s="204" t="n">
        <f aca="false">IF(M120&gt;N120,1,0)</f>
        <v>0</v>
      </c>
      <c r="T120" s="204" t="n">
        <f aca="false">'Revenues &amp; Expenses'!$S$3</f>
        <v>310.66</v>
      </c>
      <c r="U120" s="212" t="n">
        <f aca="false">T120*'Revenues &amp; Expenses'!F128*4</f>
        <v>24852.8</v>
      </c>
      <c r="W120" s="212" t="n">
        <f aca="false">IF(S120&gt;0,(M120-N120)*U120,0)</f>
        <v>0</v>
      </c>
    </row>
    <row r="121" customFormat="false" ht="12.75" hidden="false" customHeight="false" outlineLevel="0" collapsed="false">
      <c r="B121" s="240" t="n">
        <v>40238</v>
      </c>
      <c r="C121" s="218" t="n">
        <f aca="false">VLOOKUP(B121,'Company Gas Prices'!$B$25:$C$259,2)</f>
        <v>3.83541667</v>
      </c>
      <c r="D121" s="180" t="n">
        <f aca="false">VLOOKUP(B121,'Fuel Curve'!$B$7:$F$268,5)</f>
        <v>4.59396551724138</v>
      </c>
      <c r="E121" s="180" t="n">
        <f aca="false">D121-C121</f>
        <v>0.75854884724138</v>
      </c>
      <c r="G121" s="240" t="n">
        <v>40238</v>
      </c>
      <c r="H121" s="180" t="n">
        <f aca="false">VLOOKUP(G121,'Company Power Prices'!$B$25:$C$259,2)</f>
        <v>41.83490537</v>
      </c>
      <c r="I121" s="180" t="n">
        <f aca="false">VLOOKUP(G121,'Super Peak Curve Simulation'!$B$4:$C$225,2)</f>
        <v>35.939449677906</v>
      </c>
      <c r="J121" s="259" t="n">
        <f aca="false">I121-H121</f>
        <v>-5.89545569209396</v>
      </c>
      <c r="L121" s="240" t="n">
        <v>40238</v>
      </c>
      <c r="M121" s="180" t="n">
        <f aca="false">IF($L$1=1,VLOOKUP(L121,'Super Peak Curve Simulation'!$B$7:$N$225,12),VLOOKUP(L121,'PJM Curve Simulation'!$B$9:$J$246,9))</f>
        <v>29.5500007629395</v>
      </c>
      <c r="N121" s="180" t="n">
        <f aca="false">P121+Q121</f>
        <v>46.6336058656546</v>
      </c>
      <c r="P121" s="180" t="n">
        <f aca="false">IF($L$1=1,VLOOKUP(L121,'Fuel Curve'!$B$7:$H$246,7),VLOOKUP(L121,'Revenues &amp; Expenses'!$K$9:$S$246,9))</f>
        <v>44.0055956896552</v>
      </c>
      <c r="Q121" s="180" t="n">
        <f aca="false">'Revenues &amp; Expenses'!$AM$5*1000*'Revenues &amp; Expenses'!O129</f>
        <v>2.62801017599941</v>
      </c>
      <c r="S121" s="204" t="n">
        <f aca="false">IF(M121&gt;N121,1,0)</f>
        <v>0</v>
      </c>
      <c r="T121" s="204" t="n">
        <f aca="false">'Revenues &amp; Expenses'!$S$3</f>
        <v>310.66</v>
      </c>
      <c r="U121" s="212" t="n">
        <f aca="false">T121*'Revenues &amp; Expenses'!F129*4</f>
        <v>26095.44</v>
      </c>
      <c r="W121" s="212" t="n">
        <f aca="false">IF(S121&gt;0,(M121-N121)*U121,0)</f>
        <v>0</v>
      </c>
    </row>
    <row r="122" customFormat="false" ht="12.75" hidden="false" customHeight="false" outlineLevel="0" collapsed="false">
      <c r="B122" s="240" t="n">
        <v>40269</v>
      </c>
      <c r="C122" s="218" t="n">
        <f aca="false">VLOOKUP(B122,'Company Gas Prices'!$B$25:$C$259,2)</f>
        <v>3.98020833</v>
      </c>
      <c r="D122" s="180" t="n">
        <f aca="false">VLOOKUP(B122,'Fuel Curve'!$B$7:$F$268,5)</f>
        <v>4.49396551724138</v>
      </c>
      <c r="E122" s="180" t="n">
        <f aca="false">D122-C122</f>
        <v>0.51375718724138</v>
      </c>
      <c r="G122" s="240" t="n">
        <v>40269</v>
      </c>
      <c r="H122" s="180" t="n">
        <f aca="false">VLOOKUP(G122,'Company Power Prices'!$B$25:$C$259,2)</f>
        <v>46.24548628</v>
      </c>
      <c r="I122" s="180" t="n">
        <f aca="false">VLOOKUP(G122,'Super Peak Curve Simulation'!$B$4:$C$225,2)</f>
        <v>33.2651750313376</v>
      </c>
      <c r="J122" s="259" t="n">
        <f aca="false">I122-H122</f>
        <v>-12.9803112486624</v>
      </c>
      <c r="L122" s="240" t="n">
        <v>40269</v>
      </c>
      <c r="M122" s="180" t="n">
        <f aca="false">IF($L$1=1,VLOOKUP(L122,'Super Peak Curve Simulation'!$B$7:$N$225,12),VLOOKUP(L122,'PJM Curve Simulation'!$B$9:$J$246,9))</f>
        <v>29.3250007629395</v>
      </c>
      <c r="N122" s="180" t="n">
        <f aca="false">P122+Q122</f>
        <v>45.6815469528016</v>
      </c>
      <c r="P122" s="180" t="n">
        <f aca="false">IF($L$1=1,VLOOKUP(L122,'Fuel Curve'!$B$7:$H$246,7),VLOOKUP(L122,'Revenues &amp; Expenses'!$K$9:$S$246,9))</f>
        <v>43.0476956896552</v>
      </c>
      <c r="Q122" s="180" t="n">
        <f aca="false">'Revenues &amp; Expenses'!$AM$5*1000*'Revenues &amp; Expenses'!O130</f>
        <v>2.63385126314643</v>
      </c>
      <c r="S122" s="204" t="n">
        <f aca="false">IF(M122&gt;N122,1,0)</f>
        <v>0</v>
      </c>
      <c r="T122" s="204" t="n">
        <f aca="false">'Revenues &amp; Expenses'!$S$3</f>
        <v>310.66</v>
      </c>
      <c r="U122" s="212" t="n">
        <f aca="false">T122*'Revenues &amp; Expenses'!F130*4</f>
        <v>27338.08</v>
      </c>
      <c r="W122" s="212" t="n">
        <f aca="false">IF(S122&gt;0,(M122-N122)*U122,0)</f>
        <v>0</v>
      </c>
    </row>
    <row r="123" customFormat="false" ht="12.75" hidden="false" customHeight="false" outlineLevel="0" collapsed="false">
      <c r="B123" s="240" t="n">
        <v>40299</v>
      </c>
      <c r="C123" s="218" t="n">
        <f aca="false">VLOOKUP(B123,'Company Gas Prices'!$B$25:$C$259,2)</f>
        <v>3.81770833</v>
      </c>
      <c r="D123" s="180" t="n">
        <f aca="false">VLOOKUP(B123,'Fuel Curve'!$B$7:$F$268,5)</f>
        <v>4.42672413793104</v>
      </c>
      <c r="E123" s="180" t="n">
        <f aca="false">D123-C123</f>
        <v>0.609015807931035</v>
      </c>
      <c r="G123" s="240" t="n">
        <v>40299</v>
      </c>
      <c r="H123" s="180" t="n">
        <f aca="false">VLOOKUP(G123,'Company Power Prices'!$B$25:$C$259,2)</f>
        <v>58.18610721</v>
      </c>
      <c r="I123" s="180" t="n">
        <f aca="false">VLOOKUP(G123,'Super Peak Curve Simulation'!$B$4:$C$225,2)</f>
        <v>40.9755412827147</v>
      </c>
      <c r="J123" s="259" t="n">
        <f aca="false">I123-H123</f>
        <v>-17.2105659272853</v>
      </c>
      <c r="L123" s="240" t="n">
        <v>40299</v>
      </c>
      <c r="M123" s="180" t="n">
        <f aca="false">IF($L$1=1,VLOOKUP(L123,'Super Peak Curve Simulation'!$B$7:$N$225,12),VLOOKUP(L123,'PJM Curve Simulation'!$B$9:$J$246,9))</f>
        <v>37.325</v>
      </c>
      <c r="N123" s="180" t="n">
        <f aca="false">P123+Q123</f>
        <v>45.0432958500946</v>
      </c>
      <c r="P123" s="180" t="n">
        <f aca="false">IF($L$1=1,VLOOKUP(L123,'Fuel Curve'!$B$7:$H$246,7),VLOOKUP(L123,'Revenues &amp; Expenses'!$K$9:$S$246,9))</f>
        <v>42.4035905172414</v>
      </c>
      <c r="Q123" s="180" t="n">
        <f aca="false">'Revenues &amp; Expenses'!$AM$5*1000*'Revenues &amp; Expenses'!O131</f>
        <v>2.63970533285318</v>
      </c>
      <c r="S123" s="204" t="n">
        <f aca="false">IF(M123&gt;N123,1,0)</f>
        <v>0</v>
      </c>
      <c r="T123" s="204" t="n">
        <f aca="false">'Revenues &amp; Expenses'!$S$3</f>
        <v>310.66</v>
      </c>
      <c r="U123" s="212" t="n">
        <f aca="false">T123*'Revenues &amp; Expenses'!F131*4</f>
        <v>28580.72</v>
      </c>
      <c r="W123" s="212" t="n">
        <f aca="false">IF(S123&gt;0,(M123-N123)*U123,0)</f>
        <v>0</v>
      </c>
    </row>
    <row r="124" customFormat="false" ht="12.75" hidden="false" customHeight="false" outlineLevel="0" collapsed="false">
      <c r="B124" s="240" t="n">
        <v>40330</v>
      </c>
      <c r="C124" s="218" t="n">
        <f aca="false">VLOOKUP(B124,'Company Gas Prices'!$B$25:$C$259,2)</f>
        <v>3.809375</v>
      </c>
      <c r="D124" s="180" t="n">
        <f aca="false">VLOOKUP(B124,'Fuel Curve'!$B$7:$F$268,5)</f>
        <v>4.42017241379311</v>
      </c>
      <c r="E124" s="180" t="n">
        <f aca="false">D124-C124</f>
        <v>0.610797413793105</v>
      </c>
      <c r="G124" s="240" t="n">
        <v>40330</v>
      </c>
      <c r="H124" s="180" t="n">
        <f aca="false">VLOOKUP(G124,'Company Power Prices'!$B$25:$C$259,2)</f>
        <v>107.1349637</v>
      </c>
      <c r="I124" s="180" t="n">
        <f aca="false">VLOOKUP(G124,'Super Peak Curve Simulation'!$B$4:$C$225,2)</f>
        <v>76.9381669716982</v>
      </c>
      <c r="J124" s="259" t="n">
        <f aca="false">I124-H124</f>
        <v>-30.1967967283018</v>
      </c>
      <c r="L124" s="240" t="n">
        <v>40330</v>
      </c>
      <c r="M124" s="180" t="n">
        <f aca="false">IF($L$1=1,VLOOKUP(L124,'Super Peak Curve Simulation'!$B$7:$N$225,12),VLOOKUP(L124,'PJM Curve Simulation'!$B$9:$J$246,9))</f>
        <v>62.3499984741211</v>
      </c>
      <c r="N124" s="180" t="n">
        <f aca="false">P124+Q124</f>
        <v>44.9864039656992</v>
      </c>
      <c r="P124" s="180" t="n">
        <f aca="false">IF($L$1=1,VLOOKUP(L124,'Fuel Curve'!$B$7:$H$246,7),VLOOKUP(L124,'Revenues &amp; Expenses'!$K$9:$S$246,9))</f>
        <v>42.3408315517242</v>
      </c>
      <c r="Q124" s="180" t="n">
        <f aca="false">'Revenues &amp; Expenses'!$AM$5*1000*'Revenues &amp; Expenses'!O132</f>
        <v>2.64557241397504</v>
      </c>
      <c r="S124" s="204" t="n">
        <f aca="false">IF(M124&gt;N124,1,0)</f>
        <v>1</v>
      </c>
      <c r="T124" s="204" t="n">
        <f aca="false">'Revenues &amp; Expenses'!$S$3</f>
        <v>310.66</v>
      </c>
      <c r="U124" s="212" t="n">
        <f aca="false">T124*'Revenues &amp; Expenses'!F132*4</f>
        <v>24852.8</v>
      </c>
      <c r="W124" s="212" t="n">
        <f aca="false">IF(S124&gt;0,(M124-N124)*U124,0)</f>
        <v>431533.941598908</v>
      </c>
    </row>
    <row r="125" customFormat="false" ht="12.75" hidden="false" customHeight="false" outlineLevel="0" collapsed="false">
      <c r="B125" s="240" t="n">
        <v>40360</v>
      </c>
      <c r="C125" s="218" t="n">
        <f aca="false">VLOOKUP(B125,'Company Gas Prices'!$B$25:$C$259,2)</f>
        <v>3.771875</v>
      </c>
      <c r="D125" s="180" t="n">
        <f aca="false">VLOOKUP(B125,'Fuel Curve'!$B$7:$F$268,5)</f>
        <v>4.47741379310345</v>
      </c>
      <c r="E125" s="180" t="n">
        <f aca="false">D125-C125</f>
        <v>0.705538793103449</v>
      </c>
      <c r="G125" s="240" t="n">
        <v>40360</v>
      </c>
      <c r="H125" s="180" t="n">
        <f aca="false">VLOOKUP(G125,'Company Power Prices'!$B$25:$C$259,2)</f>
        <v>170.0454989</v>
      </c>
      <c r="I125" s="180" t="n">
        <f aca="false">VLOOKUP(G125,'Super Peak Curve Simulation'!$B$4:$C$225,2)</f>
        <v>140.432379402225</v>
      </c>
      <c r="J125" s="259" t="n">
        <f aca="false">I125-H125</f>
        <v>-29.6131194977747</v>
      </c>
      <c r="L125" s="240" t="n">
        <v>40360</v>
      </c>
      <c r="M125" s="180" t="n">
        <f aca="false">IF($L$1=1,VLOOKUP(L125,'Super Peak Curve Simulation'!$B$7:$N$225,12),VLOOKUP(L125,'PJM Curve Simulation'!$B$9:$J$246,9))</f>
        <v>106.949996948242</v>
      </c>
      <c r="N125" s="180" t="n">
        <f aca="false">P125+Q125</f>
        <v>45.5405992595695</v>
      </c>
      <c r="P125" s="180" t="n">
        <f aca="false">IF($L$1=1,VLOOKUP(L125,'Fuel Curve'!$B$7:$H$246,7),VLOOKUP(L125,'Revenues &amp; Expenses'!$K$9:$S$246,9))</f>
        <v>42.8891467241379</v>
      </c>
      <c r="Q125" s="180" t="n">
        <f aca="false">'Revenues &amp; Expenses'!$AM$5*1000*'Revenues &amp; Expenses'!O133</f>
        <v>2.65145253543154</v>
      </c>
      <c r="S125" s="204" t="n">
        <f aca="false">IF(M125&gt;N125,1,0)</f>
        <v>1</v>
      </c>
      <c r="T125" s="204" t="n">
        <f aca="false">'Revenues &amp; Expenses'!$S$3</f>
        <v>310.66</v>
      </c>
      <c r="U125" s="212" t="n">
        <f aca="false">T125*'Revenues &amp; Expenses'!F133*4</f>
        <v>28580.72</v>
      </c>
      <c r="W125" s="212" t="n">
        <f aca="false">IF(S125&gt;0,(M125-N125)*U125,0)</f>
        <v>1755124.8007086</v>
      </c>
    </row>
    <row r="126" customFormat="false" ht="12.75" hidden="false" customHeight="false" outlineLevel="0" collapsed="false">
      <c r="B126" s="240" t="n">
        <v>40391</v>
      </c>
      <c r="C126" s="218" t="n">
        <f aca="false">VLOOKUP(B126,'Company Gas Prices'!$B$25:$C$259,2)</f>
        <v>3.771875</v>
      </c>
      <c r="D126" s="180" t="n">
        <f aca="false">VLOOKUP(B126,'Fuel Curve'!$B$7:$F$268,5)</f>
        <v>4.56793103448276</v>
      </c>
      <c r="E126" s="180" t="n">
        <f aca="false">D126-C126</f>
        <v>0.796056034482759</v>
      </c>
      <c r="G126" s="240" t="n">
        <v>40391</v>
      </c>
      <c r="H126" s="180" t="n">
        <f aca="false">VLOOKUP(G126,'Company Power Prices'!$B$25:$C$259,2)</f>
        <v>170.0454989</v>
      </c>
      <c r="I126" s="180" t="n">
        <f aca="false">VLOOKUP(G126,'Super Peak Curve Simulation'!$B$4:$C$225,2)</f>
        <v>115.308579021374</v>
      </c>
      <c r="J126" s="259" t="n">
        <f aca="false">I126-H126</f>
        <v>-54.7369198786256</v>
      </c>
      <c r="L126" s="240" t="n">
        <v>40391</v>
      </c>
      <c r="M126" s="180" t="n">
        <f aca="false">IF($L$1=1,VLOOKUP(L126,'Super Peak Curve Simulation'!$B$7:$N$225,12),VLOOKUP(L126,'PJM Curve Simulation'!$B$9:$J$246,9))</f>
        <v>93.9499969482422</v>
      </c>
      <c r="N126" s="180" t="n">
        <f aca="false">P126+Q126</f>
        <v>46.4135571055168</v>
      </c>
      <c r="P126" s="180" t="n">
        <f aca="false">IF($L$1=1,VLOOKUP(L126,'Fuel Curve'!$B$7:$H$246,7),VLOOKUP(L126,'Revenues &amp; Expenses'!$K$9:$S$246,9))</f>
        <v>43.7562113793104</v>
      </c>
      <c r="Q126" s="180" t="n">
        <f aca="false">'Revenues &amp; Expenses'!$AM$5*1000*'Revenues &amp; Expenses'!O134</f>
        <v>2.65734572620648</v>
      </c>
      <c r="S126" s="204" t="n">
        <f aca="false">IF(M126&gt;N126,1,0)</f>
        <v>1</v>
      </c>
      <c r="T126" s="204" t="n">
        <f aca="false">'Revenues &amp; Expenses'!$S$3</f>
        <v>310.66</v>
      </c>
      <c r="U126" s="212" t="n">
        <f aca="false">T126*'Revenues &amp; Expenses'!F134*4</f>
        <v>27338.08</v>
      </c>
      <c r="W126" s="212" t="n">
        <f aca="false">IF(S126&gt;0,(M126-N126)*U126,0)</f>
        <v>1299554.99533561</v>
      </c>
    </row>
    <row r="127" customFormat="false" ht="12.75" hidden="false" customHeight="false" outlineLevel="0" collapsed="false">
      <c r="B127" s="240" t="n">
        <v>40422</v>
      </c>
      <c r="C127" s="218" t="n">
        <f aca="false">VLOOKUP(B127,'Company Gas Prices'!$B$25:$C$259,2)</f>
        <v>3.81770833</v>
      </c>
      <c r="D127" s="180" t="n">
        <f aca="false">VLOOKUP(B127,'Fuel Curve'!$B$7:$F$268,5)</f>
        <v>4.66275862068966</v>
      </c>
      <c r="E127" s="180" t="n">
        <f aca="false">D127-C127</f>
        <v>0.845050290689656</v>
      </c>
      <c r="G127" s="240" t="n">
        <v>40422</v>
      </c>
      <c r="H127" s="180" t="n">
        <f aca="false">VLOOKUP(G127,'Company Power Prices'!$B$25:$C$259,2)</f>
        <v>58.18610721</v>
      </c>
      <c r="I127" s="180" t="n">
        <f aca="false">VLOOKUP(G127,'Super Peak Curve Simulation'!$B$4:$C$225,2)</f>
        <v>42.0735310959755</v>
      </c>
      <c r="J127" s="259" t="n">
        <f aca="false">I127-H127</f>
        <v>-16.1125761140245</v>
      </c>
      <c r="L127" s="240" t="n">
        <v>40422</v>
      </c>
      <c r="M127" s="180" t="n">
        <f aca="false">IF($L$1=1,VLOOKUP(L127,'Super Peak Curve Simulation'!$B$7:$N$225,12),VLOOKUP(L127,'PJM Curve Simulation'!$B$9:$J$246,9))</f>
        <v>36.4249984741211</v>
      </c>
      <c r="N127" s="180" t="n">
        <f aca="false">P127+Q127</f>
        <v>47.3278168429343</v>
      </c>
      <c r="P127" s="180" t="n">
        <f aca="false">IF($L$1=1,VLOOKUP(L127,'Fuel Curve'!$B$7:$H$246,7),VLOOKUP(L127,'Revenues &amp; Expenses'!$K$9:$S$246,9))</f>
        <v>44.6645648275862</v>
      </c>
      <c r="Q127" s="180" t="n">
        <f aca="false">'Revenues &amp; Expenses'!$AM$5*1000*'Revenues &amp; Expenses'!O135</f>
        <v>2.66325201534809</v>
      </c>
      <c r="S127" s="204" t="n">
        <f aca="false">IF(M127&gt;N127,1,0)</f>
        <v>0</v>
      </c>
      <c r="T127" s="204" t="n">
        <f aca="false">'Revenues &amp; Expenses'!$S$3</f>
        <v>310.66</v>
      </c>
      <c r="U127" s="212" t="n">
        <f aca="false">T127*'Revenues &amp; Expenses'!F135*4</f>
        <v>26095.44</v>
      </c>
      <c r="W127" s="212" t="n">
        <f aca="false">IF(S127&gt;0,(M127-N127)*U127,0)</f>
        <v>0</v>
      </c>
    </row>
    <row r="128" customFormat="false" ht="12.75" hidden="false" customHeight="false" outlineLevel="0" collapsed="false">
      <c r="B128" s="240" t="n">
        <v>40452</v>
      </c>
      <c r="C128" s="218" t="n">
        <f aca="false">VLOOKUP(B128,'Company Gas Prices'!$B$25:$C$259,2)</f>
        <v>3.778125</v>
      </c>
      <c r="D128" s="180" t="n">
        <f aca="false">VLOOKUP(B128,'Fuel Curve'!$B$7:$F$268,5)</f>
        <v>4.75534482758621</v>
      </c>
      <c r="E128" s="180" t="n">
        <f aca="false">D128-C128</f>
        <v>0.977219827586207</v>
      </c>
      <c r="G128" s="240" t="n">
        <v>40452</v>
      </c>
      <c r="H128" s="180" t="n">
        <f aca="false">VLOOKUP(G128,'Company Power Prices'!$B$25:$C$259,2)</f>
        <v>48.12568278</v>
      </c>
      <c r="I128" s="180" t="n">
        <f aca="false">VLOOKUP(G128,'Super Peak Curve Simulation'!$B$4:$C$225,2)</f>
        <v>35.329854823122</v>
      </c>
      <c r="J128" s="259" t="n">
        <f aca="false">I128-H128</f>
        <v>-12.795827956878</v>
      </c>
      <c r="L128" s="240" t="n">
        <v>40452</v>
      </c>
      <c r="M128" s="180" t="n">
        <f aca="false">IF($L$1=1,VLOOKUP(L128,'Super Peak Curve Simulation'!$B$7:$N$225,12),VLOOKUP(L128,'PJM Curve Simulation'!$B$9:$J$246,9))</f>
        <v>30.0750003814697</v>
      </c>
      <c r="N128" s="180" t="n">
        <f aca="false">P128+Q128</f>
        <v>48.2206195354174</v>
      </c>
      <c r="P128" s="180" t="n">
        <f aca="false">IF($L$1=1,VLOOKUP(L128,'Fuel Curve'!$B$7:$H$246,7),VLOOKUP(L128,'Revenues &amp; Expenses'!$K$9:$S$246,9))</f>
        <v>45.5514481034483</v>
      </c>
      <c r="Q128" s="180" t="n">
        <f aca="false">'Revenues &amp; Expenses'!$AM$5*1000*'Revenues &amp; Expenses'!O136</f>
        <v>2.66917143196916</v>
      </c>
      <c r="S128" s="204" t="n">
        <f aca="false">IF(M128&gt;N128,1,0)</f>
        <v>0</v>
      </c>
      <c r="T128" s="204" t="n">
        <f aca="false">'Revenues &amp; Expenses'!$S$3</f>
        <v>310.66</v>
      </c>
      <c r="U128" s="212" t="n">
        <f aca="false">T128*'Revenues &amp; Expenses'!F136*4</f>
        <v>28580.72</v>
      </c>
      <c r="W128" s="212" t="n">
        <f aca="false">IF(S128&gt;0,(M128-N128)*U128,0)</f>
        <v>0</v>
      </c>
    </row>
    <row r="129" customFormat="false" ht="12.75" hidden="false" customHeight="false" outlineLevel="0" collapsed="false">
      <c r="B129" s="240" t="n">
        <v>40483</v>
      </c>
      <c r="C129" s="218" t="n">
        <f aca="false">VLOOKUP(B129,'Company Gas Prices'!$B$25:$C$259,2)</f>
        <v>3.778125</v>
      </c>
      <c r="D129" s="180" t="n">
        <f aca="false">VLOOKUP(B129,'Fuel Curve'!$B$7:$F$268,5)</f>
        <v>4.80465517241379</v>
      </c>
      <c r="E129" s="180" t="n">
        <f aca="false">D129-C129</f>
        <v>1.02653017241379</v>
      </c>
      <c r="G129" s="240" t="n">
        <v>40483</v>
      </c>
      <c r="H129" s="180" t="n">
        <f aca="false">VLOOKUP(G129,'Company Power Prices'!$B$25:$C$259,2)</f>
        <v>50.2925288</v>
      </c>
      <c r="I129" s="180" t="n">
        <f aca="false">VLOOKUP(G129,'Super Peak Curve Simulation'!$B$4:$C$225,2)</f>
        <v>35.4240655972672</v>
      </c>
      <c r="J129" s="259" t="n">
        <f aca="false">I129-H129</f>
        <v>-14.8684632027328</v>
      </c>
      <c r="L129" s="240" t="n">
        <v>40483</v>
      </c>
      <c r="M129" s="180" t="n">
        <f aca="false">IF($L$1=1,VLOOKUP(L129,'Super Peak Curve Simulation'!$B$7:$N$225,12),VLOOKUP(L129,'PJM Curve Simulation'!$B$9:$J$246,9))</f>
        <v>29.7474990844727</v>
      </c>
      <c r="N129" s="180" t="n">
        <f aca="false">P129+Q129</f>
        <v>48.6988959017989</v>
      </c>
      <c r="P129" s="180" t="n">
        <f aca="false">IF($L$1=1,VLOOKUP(L129,'Fuel Curve'!$B$7:$H$246,7),VLOOKUP(L129,'Revenues &amp; Expenses'!$K$9:$S$246,9))</f>
        <v>46.0237918965517</v>
      </c>
      <c r="Q129" s="180" t="n">
        <f aca="false">'Revenues &amp; Expenses'!$AM$5*1000*'Revenues &amp; Expenses'!O137</f>
        <v>2.67510400524717</v>
      </c>
      <c r="S129" s="204" t="n">
        <f aca="false">IF(M129&gt;N129,1,0)</f>
        <v>0</v>
      </c>
      <c r="T129" s="204" t="n">
        <f aca="false">'Revenues &amp; Expenses'!$S$3</f>
        <v>310.66</v>
      </c>
      <c r="U129" s="212" t="n">
        <f aca="false">T129*'Revenues &amp; Expenses'!F137*4</f>
        <v>26095.44</v>
      </c>
      <c r="W129" s="212" t="n">
        <f aca="false">IF(S129&gt;0,(M129-N129)*U129,0)</f>
        <v>0</v>
      </c>
    </row>
    <row r="130" customFormat="false" ht="12.75" hidden="false" customHeight="false" outlineLevel="0" collapsed="false">
      <c r="B130" s="240" t="n">
        <v>40513</v>
      </c>
      <c r="C130" s="218" t="n">
        <f aca="false">VLOOKUP(B130,'Company Gas Prices'!$B$25:$C$259,2)</f>
        <v>3.778125</v>
      </c>
      <c r="D130" s="180" t="n">
        <f aca="false">VLOOKUP(B130,'Fuel Curve'!$B$7:$F$268,5)</f>
        <v>4.84741379310345</v>
      </c>
      <c r="E130" s="180" t="n">
        <f aca="false">D130-C130</f>
        <v>1.06928879310345</v>
      </c>
      <c r="G130" s="240" t="n">
        <v>40513</v>
      </c>
      <c r="H130" s="180" t="n">
        <f aca="false">VLOOKUP(G130,'Company Power Prices'!$B$25:$C$259,2)</f>
        <v>50.2925288</v>
      </c>
      <c r="I130" s="180" t="n">
        <f aca="false">VLOOKUP(G130,'Super Peak Curve Simulation'!$B$4:$C$225,2)</f>
        <v>37.9878620842358</v>
      </c>
      <c r="J130" s="259" t="n">
        <f aca="false">I130-H130</f>
        <v>-12.3046667157642</v>
      </c>
      <c r="L130" s="240" t="n">
        <v>40513</v>
      </c>
      <c r="M130" s="180" t="n">
        <f aca="false">IF($L$1=1,VLOOKUP(L130,'Super Peak Curve Simulation'!$B$7:$N$225,12),VLOOKUP(L130,'PJM Curve Simulation'!$B$9:$J$246,9))</f>
        <v>31.4999996185303</v>
      </c>
      <c r="N130" s="180" t="n">
        <f aca="false">P130+Q130</f>
        <v>49.1144264885624</v>
      </c>
      <c r="P130" s="180" t="n">
        <f aca="false">IF($L$1=1,VLOOKUP(L130,'Fuel Curve'!$B$7:$H$246,7),VLOOKUP(L130,'Revenues &amp; Expenses'!$K$9:$S$246,9))</f>
        <v>46.4333767241379</v>
      </c>
      <c r="Q130" s="180" t="n">
        <f aca="false">'Revenues &amp; Expenses'!$AM$5*1000*'Revenues &amp; Expenses'!O138</f>
        <v>2.68104976442448</v>
      </c>
      <c r="S130" s="204" t="n">
        <f aca="false">IF(M130&gt;N130,1,0)</f>
        <v>0</v>
      </c>
      <c r="T130" s="204" t="n">
        <f aca="false">'Revenues &amp; Expenses'!$S$3</f>
        <v>310.66</v>
      </c>
      <c r="U130" s="212" t="n">
        <f aca="false">T130*'Revenues &amp; Expenses'!F138*4</f>
        <v>27338.08</v>
      </c>
      <c r="W130" s="212" t="n">
        <f aca="false">IF(S130&gt;0,(M130-N130)*U130,0)</f>
        <v>0</v>
      </c>
    </row>
    <row r="131" customFormat="false" ht="12.75" hidden="false" customHeight="false" outlineLevel="0" collapsed="false">
      <c r="B131" s="240" t="n">
        <v>40544</v>
      </c>
      <c r="C131" s="218" t="n">
        <f aca="false">VLOOKUP(B131,'Company Gas Prices'!$B$25:$C$259,2)</f>
        <v>3.83541667</v>
      </c>
      <c r="D131" s="180" t="n">
        <f aca="false">VLOOKUP(B131,'Fuel Curve'!$B$7:$F$268,5)</f>
        <v>4.79017241379311</v>
      </c>
      <c r="E131" s="180" t="n">
        <f aca="false">D131-C131</f>
        <v>0.954755743793105</v>
      </c>
      <c r="G131" s="240" t="n">
        <v>40544</v>
      </c>
      <c r="H131" s="180" t="n">
        <f aca="false">VLOOKUP(G131,'Company Power Prices'!$B$25:$C$259,2)</f>
        <v>47.62705285</v>
      </c>
      <c r="I131" s="180" t="n">
        <f aca="false">VLOOKUP(G131,'Super Peak Curve Simulation'!$B$4:$C$225,2)</f>
        <v>49.1406744313849</v>
      </c>
      <c r="J131" s="259" t="n">
        <f aca="false">I131-H131</f>
        <v>1.51362158138495</v>
      </c>
      <c r="L131" s="240" t="n">
        <v>40544</v>
      </c>
      <c r="M131" s="180" t="n">
        <f aca="false">IF($L$1=1,VLOOKUP(L131,'Super Peak Curve Simulation'!$B$7:$N$225,12),VLOOKUP(L131,'PJM Curve Simulation'!$B$9:$J$246,9))</f>
        <v>40.0749984741211</v>
      </c>
      <c r="N131" s="180" t="n">
        <f aca="false">P131+Q131</f>
        <v>48.5720702905326</v>
      </c>
      <c r="P131" s="180" t="n">
        <f aca="false">IF($L$1=1,VLOOKUP(L131,'Fuel Curve'!$B$7:$H$246,7),VLOOKUP(L131,'Revenues &amp; Expenses'!$K$9:$S$246,9))</f>
        <v>45.8850615517242</v>
      </c>
      <c r="Q131" s="180" t="n">
        <f aca="false">'Revenues &amp; Expenses'!$AM$5*1000*'Revenues &amp; Expenses'!O139</f>
        <v>2.68700873880842</v>
      </c>
      <c r="S131" s="204" t="n">
        <f aca="false">IF(M131&gt;N131,1,0)</f>
        <v>0</v>
      </c>
      <c r="T131" s="204" t="n">
        <f aca="false">'Revenues &amp; Expenses'!$S$3</f>
        <v>310.66</v>
      </c>
      <c r="U131" s="212" t="n">
        <f aca="false">T131*'Revenues &amp; Expenses'!F139*4</f>
        <v>28580.72</v>
      </c>
      <c r="W131" s="212" t="n">
        <f aca="false">IF(S131&gt;0,(M131-N131)*U131,0)</f>
        <v>0</v>
      </c>
    </row>
    <row r="132" customFormat="false" ht="12.75" hidden="false" customHeight="false" outlineLevel="0" collapsed="false">
      <c r="B132" s="240" t="n">
        <v>40575</v>
      </c>
      <c r="C132" s="218" t="n">
        <f aca="false">VLOOKUP(B132,'Company Gas Prices'!$B$25:$C$259,2)</f>
        <v>3.83541667</v>
      </c>
      <c r="D132" s="180" t="n">
        <f aca="false">VLOOKUP(B132,'Fuel Curve'!$B$7:$F$268,5)</f>
        <v>4.69103448275862</v>
      </c>
      <c r="E132" s="180" t="n">
        <f aca="false">D132-C132</f>
        <v>0.855617812758622</v>
      </c>
      <c r="G132" s="240" t="n">
        <v>40575</v>
      </c>
      <c r="H132" s="180" t="n">
        <f aca="false">VLOOKUP(G132,'Company Power Prices'!$B$25:$C$259,2)</f>
        <v>41.87551191</v>
      </c>
      <c r="I132" s="180" t="n">
        <f aca="false">VLOOKUP(G132,'Super Peak Curve Simulation'!$B$4:$C$225,2)</f>
        <v>49.1406744313849</v>
      </c>
      <c r="J132" s="259" t="n">
        <f aca="false">I132-H132</f>
        <v>7.26516252138494</v>
      </c>
      <c r="L132" s="240" t="n">
        <v>40575</v>
      </c>
      <c r="M132" s="180" t="n">
        <f aca="false">IF($L$1=1,VLOOKUP(L132,'Super Peak Curve Simulation'!$B$7:$N$225,12),VLOOKUP(L132,'PJM Curve Simulation'!$B$9:$J$246,9))</f>
        <v>40.0749984741211</v>
      </c>
      <c r="N132" s="180" t="n">
        <f aca="false">P132+Q132</f>
        <v>47.6284002681163</v>
      </c>
      <c r="P132" s="180" t="n">
        <f aca="false">IF($L$1=1,VLOOKUP(L132,'Fuel Curve'!$B$7:$H$246,7),VLOOKUP(L132,'Revenues &amp; Expenses'!$K$9:$S$246,9))</f>
        <v>44.9354193103448</v>
      </c>
      <c r="Q132" s="180" t="n">
        <f aca="false">'Revenues &amp; Expenses'!$AM$5*1000*'Revenues &amp; Expenses'!O140</f>
        <v>2.69298095777147</v>
      </c>
      <c r="S132" s="204" t="n">
        <f aca="false">IF(M132&gt;N132,1,0)</f>
        <v>0</v>
      </c>
      <c r="T132" s="204" t="n">
        <f aca="false">'Revenues &amp; Expenses'!$S$3</f>
        <v>310.66</v>
      </c>
      <c r="U132" s="212" t="n">
        <f aca="false">T132*'Revenues &amp; Expenses'!F140*4</f>
        <v>24852.8</v>
      </c>
      <c r="W132" s="212" t="n">
        <f aca="false">IF(S132&gt;0,(M132-N132)*U132,0)</f>
        <v>0</v>
      </c>
    </row>
    <row r="133" customFormat="false" ht="12.75" hidden="false" customHeight="false" outlineLevel="0" collapsed="false">
      <c r="B133" s="240" t="n">
        <v>40603</v>
      </c>
      <c r="C133" s="218" t="n">
        <f aca="false">VLOOKUP(B133,'Company Gas Prices'!$B$25:$C$259,2)</f>
        <v>3.83541667</v>
      </c>
      <c r="D133" s="180" t="n">
        <f aca="false">VLOOKUP(B133,'Fuel Curve'!$B$7:$F$268,5)</f>
        <v>4.59396551724138</v>
      </c>
      <c r="E133" s="180" t="n">
        <f aca="false">D133-C133</f>
        <v>0.75854884724138</v>
      </c>
      <c r="G133" s="240" t="n">
        <v>40603</v>
      </c>
      <c r="H133" s="180" t="n">
        <f aca="false">VLOOKUP(G133,'Company Power Prices'!$B$25:$C$259,2)</f>
        <v>41.87551191</v>
      </c>
      <c r="I133" s="180" t="n">
        <f aca="false">VLOOKUP(G133,'Super Peak Curve Simulation'!$B$4:$C$225,2)</f>
        <v>36.243505927906</v>
      </c>
      <c r="J133" s="259" t="n">
        <f aca="false">I133-H133</f>
        <v>-5.63200598209397</v>
      </c>
      <c r="L133" s="240" t="n">
        <v>40603</v>
      </c>
      <c r="M133" s="180" t="n">
        <f aca="false">IF($L$1=1,VLOOKUP(L133,'Super Peak Curve Simulation'!$B$7:$N$225,12),VLOOKUP(L133,'PJM Curve Simulation'!$B$9:$J$246,9))</f>
        <v>29.8000007629395</v>
      </c>
      <c r="N133" s="180" t="n">
        <f aca="false">P133+Q133</f>
        <v>46.7045621404066</v>
      </c>
      <c r="P133" s="180" t="n">
        <f aca="false">IF($L$1=1,VLOOKUP(L133,'Fuel Curve'!$B$7:$H$246,7),VLOOKUP(L133,'Revenues &amp; Expenses'!$K$9:$S$246,9))</f>
        <v>44.0055956896552</v>
      </c>
      <c r="Q133" s="180" t="n">
        <f aca="false">'Revenues &amp; Expenses'!$AM$5*1000*'Revenues &amp; Expenses'!O141</f>
        <v>2.69896645075139</v>
      </c>
      <c r="S133" s="204" t="n">
        <f aca="false">IF(M133&gt;N133,1,0)</f>
        <v>0</v>
      </c>
      <c r="T133" s="204" t="n">
        <f aca="false">'Revenues &amp; Expenses'!$S$3</f>
        <v>310.66</v>
      </c>
      <c r="U133" s="212" t="n">
        <f aca="false">T133*'Revenues &amp; Expenses'!F141*4</f>
        <v>26095.44</v>
      </c>
      <c r="W133" s="212" t="n">
        <f aca="false">IF(S133&gt;0,(M133-N133)*U133,0)</f>
        <v>0</v>
      </c>
    </row>
    <row r="134" customFormat="false" ht="12.75" hidden="false" customHeight="false" outlineLevel="0" collapsed="false">
      <c r="B134" s="240" t="n">
        <v>40634</v>
      </c>
      <c r="C134" s="218" t="n">
        <f aca="false">VLOOKUP(B134,'Company Gas Prices'!$B$25:$C$259,2)</f>
        <v>3.98020833</v>
      </c>
      <c r="D134" s="180" t="n">
        <f aca="false">VLOOKUP(B134,'Fuel Curve'!$B$7:$F$268,5)</f>
        <v>4.49396551724138</v>
      </c>
      <c r="E134" s="180" t="n">
        <f aca="false">D134-C134</f>
        <v>0.51375718724138</v>
      </c>
      <c r="G134" s="240" t="n">
        <v>40634</v>
      </c>
      <c r="H134" s="180" t="n">
        <f aca="false">VLOOKUP(G134,'Company Power Prices'!$B$25:$C$259,2)</f>
        <v>46.28657328</v>
      </c>
      <c r="I134" s="180" t="n">
        <f aca="false">VLOOKUP(G134,'Super Peak Curve Simulation'!$B$4:$C$225,2)</f>
        <v>33.5487656039369</v>
      </c>
      <c r="J134" s="259" t="n">
        <f aca="false">I134-H134</f>
        <v>-12.7378076760631</v>
      </c>
      <c r="L134" s="240" t="n">
        <v>40634</v>
      </c>
      <c r="M134" s="180" t="n">
        <f aca="false">IF($L$1=1,VLOOKUP(L134,'Super Peak Curve Simulation'!$B$7:$N$225,12),VLOOKUP(L134,'PJM Curve Simulation'!$B$9:$J$246,9))</f>
        <v>29.5750007629395</v>
      </c>
      <c r="N134" s="180" t="n">
        <f aca="false">P134+Q134</f>
        <v>45.7526609369066</v>
      </c>
      <c r="P134" s="180" t="n">
        <f aca="false">IF($L$1=1,VLOOKUP(L134,'Fuel Curve'!$B$7:$H$246,7),VLOOKUP(L134,'Revenues &amp; Expenses'!$K$9:$S$246,9))</f>
        <v>43.0476956896552</v>
      </c>
      <c r="Q134" s="180" t="n">
        <f aca="false">'Revenues &amp; Expenses'!$AM$5*1000*'Revenues &amp; Expenses'!O142</f>
        <v>2.70496524725139</v>
      </c>
      <c r="S134" s="204" t="n">
        <f aca="false">IF(M134&gt;N134,1,0)</f>
        <v>0</v>
      </c>
      <c r="T134" s="204" t="n">
        <f aca="false">'Revenues &amp; Expenses'!$S$3</f>
        <v>310.66</v>
      </c>
      <c r="U134" s="212" t="n">
        <f aca="false">T134*'Revenues &amp; Expenses'!F142*4</f>
        <v>27338.08</v>
      </c>
      <c r="W134" s="212" t="n">
        <f aca="false">IF(S134&gt;0,(M134-N134)*U134,0)</f>
        <v>0</v>
      </c>
    </row>
    <row r="135" customFormat="false" ht="12.75" hidden="false" customHeight="false" outlineLevel="0" collapsed="false">
      <c r="B135" s="240" t="n">
        <v>40664</v>
      </c>
      <c r="C135" s="218" t="n">
        <f aca="false">VLOOKUP(B135,'Company Gas Prices'!$B$25:$C$259,2)</f>
        <v>3.81770833</v>
      </c>
      <c r="D135" s="180" t="n">
        <f aca="false">VLOOKUP(B135,'Fuel Curve'!$B$7:$F$268,5)</f>
        <v>4.42672413793104</v>
      </c>
      <c r="E135" s="180" t="n">
        <f aca="false">D135-C135</f>
        <v>0.609015807931035</v>
      </c>
      <c r="G135" s="240" t="n">
        <v>40664</v>
      </c>
      <c r="H135" s="180" t="n">
        <f aca="false">VLOOKUP(G135,'Company Power Prices'!$B$25:$C$259,2)</f>
        <v>57.01879661</v>
      </c>
      <c r="I135" s="180" t="n">
        <f aca="false">VLOOKUP(G135,'Super Peak Curve Simulation'!$B$4:$C$225,2)</f>
        <v>41.2499923294844</v>
      </c>
      <c r="J135" s="259" t="n">
        <f aca="false">I135-H135</f>
        <v>-15.7688042805156</v>
      </c>
      <c r="L135" s="240" t="n">
        <v>40664</v>
      </c>
      <c r="M135" s="180" t="n">
        <f aca="false">IF($L$1=1,VLOOKUP(L135,'Super Peak Curve Simulation'!$B$7:$N$225,12),VLOOKUP(L135,'PJM Curve Simulation'!$B$9:$J$246,9))</f>
        <v>37.575</v>
      </c>
      <c r="N135" s="180" t="n">
        <f aca="false">P135+Q135</f>
        <v>45.1145678940816</v>
      </c>
      <c r="P135" s="180" t="n">
        <f aca="false">IF($L$1=1,VLOOKUP(L135,'Fuel Curve'!$B$7:$H$246,7),VLOOKUP(L135,'Revenues &amp; Expenses'!$K$9:$S$246,9))</f>
        <v>42.4035905172414</v>
      </c>
      <c r="Q135" s="180" t="n">
        <f aca="false">'Revenues &amp; Expenses'!$AM$5*1000*'Revenues &amp; Expenses'!O143</f>
        <v>2.71097737684022</v>
      </c>
      <c r="S135" s="204" t="n">
        <f aca="false">IF(M135&gt;N135,1,0)</f>
        <v>0</v>
      </c>
      <c r="T135" s="204" t="n">
        <f aca="false">'Revenues &amp; Expenses'!$S$3</f>
        <v>310.66</v>
      </c>
      <c r="U135" s="212" t="n">
        <f aca="false">T135*'Revenues &amp; Expenses'!F143*4</f>
        <v>27338.08</v>
      </c>
      <c r="W135" s="212" t="n">
        <f aca="false">IF(S135&gt;0,(M135-N135)*U135,0)</f>
        <v>0</v>
      </c>
    </row>
    <row r="136" customFormat="false" ht="12.75" hidden="false" customHeight="false" outlineLevel="0" collapsed="false">
      <c r="B136" s="240" t="n">
        <v>40695</v>
      </c>
      <c r="C136" s="218" t="n">
        <f aca="false">VLOOKUP(B136,'Company Gas Prices'!$B$25:$C$259,2)</f>
        <v>3.809375</v>
      </c>
      <c r="D136" s="180" t="n">
        <f aca="false">VLOOKUP(B136,'Fuel Curve'!$B$7:$F$268,5)</f>
        <v>4.42017241379311</v>
      </c>
      <c r="E136" s="180" t="n">
        <f aca="false">D136-C136</f>
        <v>0.610797413793105</v>
      </c>
      <c r="G136" s="240" t="n">
        <v>40695</v>
      </c>
      <c r="H136" s="180" t="n">
        <f aca="false">VLOOKUP(G136,'Company Power Prices'!$B$25:$C$259,2)</f>
        <v>104.3683817</v>
      </c>
      <c r="I136" s="180" t="n">
        <f aca="false">VLOOKUP(G136,'Super Peak Curve Simulation'!$B$4:$C$225,2)</f>
        <v>77.8636461479764</v>
      </c>
      <c r="J136" s="259" t="n">
        <f aca="false">I136-H136</f>
        <v>-26.5047355520236</v>
      </c>
      <c r="L136" s="240" t="n">
        <v>40695</v>
      </c>
      <c r="M136" s="180" t="n">
        <f aca="false">IF($L$1=1,VLOOKUP(L136,'Super Peak Curve Simulation'!$B$7:$N$225,12),VLOOKUP(L136,'PJM Curve Simulation'!$B$9:$J$246,9))</f>
        <v>63.0999984741211</v>
      </c>
      <c r="N136" s="180" t="n">
        <f aca="false">P136+Q136</f>
        <v>45.0578344208765</v>
      </c>
      <c r="P136" s="180" t="n">
        <f aca="false">IF($L$1=1,VLOOKUP(L136,'Fuel Curve'!$B$7:$H$246,7),VLOOKUP(L136,'Revenues &amp; Expenses'!$K$9:$S$246,9))</f>
        <v>42.3408315517242</v>
      </c>
      <c r="Q136" s="180" t="n">
        <f aca="false">'Revenues &amp; Expenses'!$AM$5*1000*'Revenues &amp; Expenses'!O144</f>
        <v>2.71700286915237</v>
      </c>
      <c r="S136" s="204" t="n">
        <f aca="false">IF(M136&gt;N136,1,0)</f>
        <v>1</v>
      </c>
      <c r="T136" s="204" t="n">
        <f aca="false">'Revenues &amp; Expenses'!$S$3</f>
        <v>310.66</v>
      </c>
      <c r="U136" s="212" t="n">
        <f aca="false">T136*'Revenues &amp; Expenses'!F144*4</f>
        <v>26095.44</v>
      </c>
      <c r="W136" s="212" t="n">
        <f aca="false">IF(S136&gt;0,(M136-N136)*U136,0)</f>
        <v>470818.209521601</v>
      </c>
    </row>
    <row r="137" customFormat="false" ht="12.75" hidden="false" customHeight="false" outlineLevel="0" collapsed="false">
      <c r="B137" s="240" t="n">
        <v>40725</v>
      </c>
      <c r="C137" s="218" t="n">
        <f aca="false">VLOOKUP(B137,'Company Gas Prices'!$B$25:$C$259,2)</f>
        <v>3.771875</v>
      </c>
      <c r="D137" s="180" t="n">
        <f aca="false">VLOOKUP(B137,'Fuel Curve'!$B$7:$F$268,5)</f>
        <v>4.47741379310345</v>
      </c>
      <c r="E137" s="180" t="n">
        <f aca="false">D137-C137</f>
        <v>0.705538793103449</v>
      </c>
      <c r="G137" s="240" t="n">
        <v>40725</v>
      </c>
      <c r="H137" s="180" t="n">
        <f aca="false">VLOOKUP(G137,'Company Power Prices'!$B$25:$C$259,2)</f>
        <v>163.524851</v>
      </c>
      <c r="I137" s="180" t="n">
        <f aca="false">VLOOKUP(G137,'Super Peak Curve Simulation'!$B$4:$C$225,2)</f>
        <v>143.386777370165</v>
      </c>
      <c r="J137" s="259" t="n">
        <f aca="false">I137-H137</f>
        <v>-20.1380736298354</v>
      </c>
      <c r="L137" s="240" t="n">
        <v>40725</v>
      </c>
      <c r="M137" s="180" t="n">
        <f aca="false">IF($L$1=1,VLOOKUP(L137,'Super Peak Curve Simulation'!$B$7:$N$225,12),VLOOKUP(L137,'PJM Curve Simulation'!$B$9:$J$246,9))</f>
        <v>109.199996948242</v>
      </c>
      <c r="N137" s="180" t="n">
        <f aca="false">P137+Q137</f>
        <v>45.6121884780261</v>
      </c>
      <c r="P137" s="180" t="n">
        <f aca="false">IF($L$1=1,VLOOKUP(L137,'Fuel Curve'!$B$7:$H$246,7),VLOOKUP(L137,'Revenues &amp; Expenses'!$K$9:$S$246,9))</f>
        <v>42.8891467241379</v>
      </c>
      <c r="Q137" s="180" t="n">
        <f aca="false">'Revenues &amp; Expenses'!$AM$5*1000*'Revenues &amp; Expenses'!O145</f>
        <v>2.72304175388819</v>
      </c>
      <c r="S137" s="204" t="n">
        <f aca="false">IF(M137&gt;N137,1,0)</f>
        <v>1</v>
      </c>
      <c r="T137" s="204" t="n">
        <f aca="false">'Revenues &amp; Expenses'!$S$3</f>
        <v>310.66</v>
      </c>
      <c r="U137" s="212" t="n">
        <f aca="false">T137*'Revenues &amp; Expenses'!F145*4</f>
        <v>28580.72</v>
      </c>
      <c r="W137" s="212" t="n">
        <f aca="false">IF(S137&gt;0,(M137-N137)*U137,0)</f>
        <v>1817385.34930087</v>
      </c>
    </row>
    <row r="138" customFormat="false" ht="12.75" hidden="false" customHeight="false" outlineLevel="0" collapsed="false">
      <c r="B138" s="240" t="n">
        <v>40756</v>
      </c>
      <c r="C138" s="218" t="n">
        <f aca="false">VLOOKUP(B138,'Company Gas Prices'!$B$25:$C$259,2)</f>
        <v>3.771875</v>
      </c>
      <c r="D138" s="180" t="n">
        <f aca="false">VLOOKUP(B138,'Fuel Curve'!$B$7:$F$268,5)</f>
        <v>4.56793103448276</v>
      </c>
      <c r="E138" s="180" t="n">
        <f aca="false">D138-C138</f>
        <v>0.796056034482759</v>
      </c>
      <c r="G138" s="240" t="n">
        <v>40756</v>
      </c>
      <c r="H138" s="180" t="n">
        <f aca="false">VLOOKUP(G138,'Company Power Prices'!$B$25:$C$259,2)</f>
        <v>163.524851</v>
      </c>
      <c r="I138" s="180" t="n">
        <f aca="false">VLOOKUP(G138,'Super Peak Curve Simulation'!$B$4:$C$225,2)</f>
        <v>118.070093776303</v>
      </c>
      <c r="J138" s="259" t="n">
        <f aca="false">I138-H138</f>
        <v>-45.4547572236967</v>
      </c>
      <c r="L138" s="240" t="n">
        <v>40756</v>
      </c>
      <c r="M138" s="180" t="n">
        <f aca="false">IF($L$1=1,VLOOKUP(L138,'Super Peak Curve Simulation'!$B$7:$N$225,12),VLOOKUP(L138,'PJM Curve Simulation'!$B$9:$J$246,9))</f>
        <v>96.1999969482422</v>
      </c>
      <c r="N138" s="180" t="n">
        <f aca="false">P138+Q138</f>
        <v>46.4853054401244</v>
      </c>
      <c r="P138" s="180" t="n">
        <f aca="false">IF($L$1=1,VLOOKUP(L138,'Fuel Curve'!$B$7:$H$246,7),VLOOKUP(L138,'Revenues &amp; Expenses'!$K$9:$S$246,9))</f>
        <v>43.7562113793104</v>
      </c>
      <c r="Q138" s="180" t="n">
        <f aca="false">'Revenues &amp; Expenses'!$AM$5*1000*'Revenues &amp; Expenses'!O146</f>
        <v>2.72909406081406</v>
      </c>
      <c r="S138" s="204" t="n">
        <f aca="false">IF(M138&gt;N138,1,0)</f>
        <v>1</v>
      </c>
      <c r="T138" s="204" t="n">
        <f aca="false">'Revenues &amp; Expenses'!$S$3</f>
        <v>310.66</v>
      </c>
      <c r="U138" s="212" t="n">
        <f aca="false">T138*'Revenues &amp; Expenses'!F146*4</f>
        <v>26095.44</v>
      </c>
      <c r="W138" s="212" t="n">
        <f aca="false">IF(S138&gt;0,(M138-N138)*U138,0)</f>
        <v>1297326.7493686</v>
      </c>
    </row>
    <row r="139" customFormat="false" ht="12.75" hidden="false" customHeight="false" outlineLevel="0" collapsed="false">
      <c r="B139" s="240" t="n">
        <v>40787</v>
      </c>
      <c r="C139" s="218" t="n">
        <f aca="false">VLOOKUP(B139,'Company Gas Prices'!$B$25:$C$259,2)</f>
        <v>3.81770833</v>
      </c>
      <c r="D139" s="180" t="n">
        <f aca="false">VLOOKUP(B139,'Fuel Curve'!$B$7:$F$268,5)</f>
        <v>4.66275862068966</v>
      </c>
      <c r="E139" s="180" t="n">
        <f aca="false">D139-C139</f>
        <v>0.845050290689656</v>
      </c>
      <c r="G139" s="240" t="n">
        <v>40787</v>
      </c>
      <c r="H139" s="180" t="n">
        <f aca="false">VLOOKUP(G139,'Company Power Prices'!$B$25:$C$259,2)</f>
        <v>57.01879661</v>
      </c>
      <c r="I139" s="180" t="n">
        <f aca="false">VLOOKUP(G139,'Super Peak Curve Simulation'!$B$4:$C$225,2)</f>
        <v>42.6510675799628</v>
      </c>
      <c r="J139" s="259" t="n">
        <f aca="false">I139-H139</f>
        <v>-14.3677290300372</v>
      </c>
      <c r="L139" s="240" t="n">
        <v>40787</v>
      </c>
      <c r="M139" s="180" t="n">
        <f aca="false">IF($L$1=1,VLOOKUP(L139,'Super Peak Curve Simulation'!$B$7:$N$225,12),VLOOKUP(L139,'PJM Curve Simulation'!$B$9:$J$246,9))</f>
        <v>36.9249984741211</v>
      </c>
      <c r="N139" s="180" t="n">
        <f aca="false">P139+Q139</f>
        <v>47.3997246473487</v>
      </c>
      <c r="P139" s="180" t="n">
        <f aca="false">IF($L$1=1,VLOOKUP(L139,'Fuel Curve'!$B$7:$H$246,7),VLOOKUP(L139,'Revenues &amp; Expenses'!$K$9:$S$246,9))</f>
        <v>44.6645648275862</v>
      </c>
      <c r="Q139" s="180" t="n">
        <f aca="false">'Revenues &amp; Expenses'!$AM$5*1000*'Revenues &amp; Expenses'!O147</f>
        <v>2.73515981976249</v>
      </c>
      <c r="S139" s="204" t="n">
        <f aca="false">IF(M139&gt;N139,1,0)</f>
        <v>0</v>
      </c>
      <c r="T139" s="204" t="n">
        <f aca="false">'Revenues &amp; Expenses'!$S$3</f>
        <v>310.66</v>
      </c>
      <c r="U139" s="212" t="n">
        <f aca="false">T139*'Revenues &amp; Expenses'!F147*4</f>
        <v>27338.08</v>
      </c>
      <c r="W139" s="212" t="n">
        <f aca="false">IF(S139&gt;0,(M139-N139)*U139,0)</f>
        <v>0</v>
      </c>
    </row>
    <row r="140" customFormat="false" ht="12.75" hidden="false" customHeight="false" outlineLevel="0" collapsed="false">
      <c r="B140" s="240" t="n">
        <v>40817</v>
      </c>
      <c r="C140" s="218" t="n">
        <f aca="false">VLOOKUP(B140,'Company Gas Prices'!$B$25:$C$259,2)</f>
        <v>3.778125</v>
      </c>
      <c r="D140" s="180" t="n">
        <f aca="false">VLOOKUP(B140,'Fuel Curve'!$B$7:$F$268,5)</f>
        <v>4.75534482758621</v>
      </c>
      <c r="E140" s="180" t="n">
        <f aca="false">D140-C140</f>
        <v>0.977219827586207</v>
      </c>
      <c r="G140" s="240" t="n">
        <v>40817</v>
      </c>
      <c r="H140" s="180" t="n">
        <f aca="false">VLOOKUP(G140,'Company Power Prices'!$B$25:$C$259,2)</f>
        <v>48.206388</v>
      </c>
      <c r="I140" s="180" t="n">
        <f aca="false">VLOOKUP(G140,'Super Peak Curve Simulation'!$B$4:$C$225,2)</f>
        <v>35.623536073122</v>
      </c>
      <c r="J140" s="259" t="n">
        <f aca="false">I140-H140</f>
        <v>-12.582851926878</v>
      </c>
      <c r="L140" s="240" t="n">
        <v>40817</v>
      </c>
      <c r="M140" s="180" t="n">
        <f aca="false">IF($L$1=1,VLOOKUP(L140,'Super Peak Curve Simulation'!$B$7:$N$225,12),VLOOKUP(L140,'PJM Curve Simulation'!$B$9:$J$246,9))</f>
        <v>30.3250003814697</v>
      </c>
      <c r="N140" s="180" t="n">
        <f aca="false">P140+Q140</f>
        <v>48.2926871640806</v>
      </c>
      <c r="P140" s="180" t="n">
        <f aca="false">IF($L$1=1,VLOOKUP(L140,'Fuel Curve'!$B$7:$H$246,7),VLOOKUP(L140,'Revenues &amp; Expenses'!$K$9:$S$246,9))</f>
        <v>45.5514481034483</v>
      </c>
      <c r="Q140" s="180" t="n">
        <f aca="false">'Revenues &amp; Expenses'!$AM$5*1000*'Revenues &amp; Expenses'!O148</f>
        <v>2.74123906063232</v>
      </c>
      <c r="S140" s="204" t="n">
        <f aca="false">IF(M140&gt;N140,1,0)</f>
        <v>0</v>
      </c>
      <c r="T140" s="204" t="n">
        <f aca="false">'Revenues &amp; Expenses'!$S$3</f>
        <v>310.66</v>
      </c>
      <c r="U140" s="212" t="n">
        <f aca="false">T140*'Revenues &amp; Expenses'!F148*4</f>
        <v>28580.72</v>
      </c>
      <c r="W140" s="212" t="n">
        <f aca="false">IF(S140&gt;0,(M140-N140)*U140,0)</f>
        <v>0</v>
      </c>
    </row>
    <row r="141" customFormat="false" ht="12.75" hidden="false" customHeight="false" outlineLevel="0" collapsed="false">
      <c r="B141" s="240" t="n">
        <v>40848</v>
      </c>
      <c r="C141" s="218" t="n">
        <f aca="false">VLOOKUP(B141,'Company Gas Prices'!$B$25:$C$259,2)</f>
        <v>3.778125</v>
      </c>
      <c r="D141" s="180" t="n">
        <f aca="false">VLOOKUP(B141,'Fuel Curve'!$B$7:$F$268,5)</f>
        <v>4.80465517241379</v>
      </c>
      <c r="E141" s="180" t="n">
        <f aca="false">D141-C141</f>
        <v>1.02653017241379</v>
      </c>
      <c r="G141" s="240" t="n">
        <v>40848</v>
      </c>
      <c r="H141" s="180" t="n">
        <f aca="false">VLOOKUP(G141,'Company Power Prices'!$B$25:$C$259,2)</f>
        <v>50.32686254</v>
      </c>
      <c r="I141" s="180" t="n">
        <f aca="false">VLOOKUP(G141,'Super Peak Curve Simulation'!$B$4:$C$225,2)</f>
        <v>35.7217718472672</v>
      </c>
      <c r="J141" s="259" t="n">
        <f aca="false">I141-H141</f>
        <v>-14.6050906927328</v>
      </c>
      <c r="L141" s="240" t="n">
        <v>40848</v>
      </c>
      <c r="M141" s="180" t="n">
        <f aca="false">IF($L$1=1,VLOOKUP(L141,'Super Peak Curve Simulation'!$B$7:$N$225,12),VLOOKUP(L141,'PJM Curve Simulation'!$B$9:$J$246,9))</f>
        <v>29.9974990844727</v>
      </c>
      <c r="N141" s="180" t="n">
        <f aca="false">P141+Q141</f>
        <v>48.7711237099406</v>
      </c>
      <c r="P141" s="180" t="n">
        <f aca="false">IF($L$1=1,VLOOKUP(L141,'Fuel Curve'!$B$7:$H$246,7),VLOOKUP(L141,'Revenues &amp; Expenses'!$K$9:$S$246,9))</f>
        <v>46.0237918965517</v>
      </c>
      <c r="Q141" s="180" t="n">
        <f aca="false">'Revenues &amp; Expenses'!$AM$5*1000*'Revenues &amp; Expenses'!O149</f>
        <v>2.74733181338884</v>
      </c>
      <c r="S141" s="204" t="n">
        <f aca="false">IF(M141&gt;N141,1,0)</f>
        <v>0</v>
      </c>
      <c r="T141" s="204" t="n">
        <f aca="false">'Revenues &amp; Expenses'!$S$3</f>
        <v>310.66</v>
      </c>
      <c r="U141" s="212" t="n">
        <f aca="false">T141*'Revenues &amp; Expenses'!F149*4</f>
        <v>24852.8</v>
      </c>
      <c r="W141" s="212" t="n">
        <f aca="false">IF(S141&gt;0,(M141-N141)*U141,0)</f>
        <v>0</v>
      </c>
    </row>
    <row r="142" customFormat="false" ht="12.75" hidden="false" customHeight="false" outlineLevel="0" collapsed="false">
      <c r="B142" s="240" t="n">
        <v>40878</v>
      </c>
      <c r="C142" s="218" t="n">
        <f aca="false">VLOOKUP(B142,'Company Gas Prices'!$B$25:$C$259,2)</f>
        <v>3.778125</v>
      </c>
      <c r="D142" s="180" t="n">
        <f aca="false">VLOOKUP(B142,'Fuel Curve'!$B$7:$F$268,5)</f>
        <v>4.84741379310345</v>
      </c>
      <c r="E142" s="180" t="n">
        <f aca="false">D142-C142</f>
        <v>1.06928879310345</v>
      </c>
      <c r="G142" s="240" t="n">
        <v>40878</v>
      </c>
      <c r="H142" s="180" t="n">
        <f aca="false">VLOOKUP(G142,'Company Power Prices'!$B$25:$C$259,2)</f>
        <v>50.32686254</v>
      </c>
      <c r="I142" s="180" t="n">
        <f aca="false">VLOOKUP(G142,'Super Peak Curve Simulation'!$B$4:$C$225,2)</f>
        <v>38.2893530568094</v>
      </c>
      <c r="J142" s="259" t="n">
        <f aca="false">I142-H142</f>
        <v>-12.0375094831906</v>
      </c>
      <c r="L142" s="240" t="n">
        <v>40878</v>
      </c>
      <c r="M142" s="180" t="n">
        <f aca="false">IF($L$1=1,VLOOKUP(L142,'Super Peak Curve Simulation'!$B$7:$N$225,12),VLOOKUP(L142,'PJM Curve Simulation'!$B$9:$J$246,9))</f>
        <v>31.7499996185303</v>
      </c>
      <c r="N142" s="180" t="n">
        <f aca="false">P142+Q142</f>
        <v>49.1868148322019</v>
      </c>
      <c r="P142" s="180" t="n">
        <f aca="false">IF($L$1=1,VLOOKUP(L142,'Fuel Curve'!$B$7:$H$246,7),VLOOKUP(L142,'Revenues &amp; Expenses'!$K$9:$S$246,9))</f>
        <v>46.4333767241379</v>
      </c>
      <c r="Q142" s="180" t="n">
        <f aca="false">'Revenues &amp; Expenses'!$AM$5*1000*'Revenues &amp; Expenses'!O150</f>
        <v>2.75343810806394</v>
      </c>
      <c r="S142" s="204" t="n">
        <f aca="false">IF(M142&gt;N142,1,0)</f>
        <v>0</v>
      </c>
      <c r="T142" s="204" t="n">
        <f aca="false">'Revenues &amp; Expenses'!$S$3</f>
        <v>310.66</v>
      </c>
      <c r="U142" s="212" t="n">
        <f aca="false">T142*'Revenues &amp; Expenses'!F150*4</f>
        <v>28580.72</v>
      </c>
      <c r="W142" s="212" t="n">
        <f aca="false">IF(S142&gt;0,(M142-N142)*U142,0)</f>
        <v>0</v>
      </c>
    </row>
    <row r="143" customFormat="false" ht="12.75" hidden="false" customHeight="false" outlineLevel="0" collapsed="false">
      <c r="B143" s="240" t="n">
        <v>40909</v>
      </c>
      <c r="C143" s="218" t="n">
        <f aca="false">VLOOKUP(B143,'Company Gas Prices'!$B$25:$C$259,2)</f>
        <v>3.83541667</v>
      </c>
      <c r="D143" s="180" t="n">
        <f aca="false">VLOOKUP(B143,'Fuel Curve'!$B$7:$F$268,5)</f>
        <v>4.79017241379311</v>
      </c>
      <c r="E143" s="180" t="n">
        <f aca="false">D143-C143</f>
        <v>0.954755743793105</v>
      </c>
      <c r="G143" s="240" t="n">
        <v>40909</v>
      </c>
      <c r="H143" s="180" t="n">
        <f aca="false">VLOOKUP(G143,'Company Power Prices'!$B$25:$C$259,2)</f>
        <v>47.54301127</v>
      </c>
      <c r="I143" s="180" t="n">
        <f aca="false">VLOOKUP(G143,'Super Peak Curve Simulation'!$B$4:$C$225,2)</f>
        <v>49.4472288687053</v>
      </c>
      <c r="J143" s="259" t="n">
        <f aca="false">I143-H143</f>
        <v>1.90421759870525</v>
      </c>
      <c r="L143" s="240" t="n">
        <v>40909</v>
      </c>
      <c r="M143" s="180" t="n">
        <f aca="false">IF($L$1=1,VLOOKUP(L143,'Super Peak Curve Simulation'!$B$7:$N$225,12),VLOOKUP(L143,'PJM Curve Simulation'!$B$9:$J$246,9))</f>
        <v>40.3249984741211</v>
      </c>
      <c r="N143" s="180" t="n">
        <f aca="false">P143+Q143</f>
        <v>48.6446195264804</v>
      </c>
      <c r="P143" s="180" t="n">
        <f aca="false">IF($L$1=1,VLOOKUP(L143,'Fuel Curve'!$B$7:$H$246,7),VLOOKUP(L143,'Revenues &amp; Expenses'!$K$9:$S$246,9))</f>
        <v>45.8850615517242</v>
      </c>
      <c r="Q143" s="180" t="n">
        <f aca="false">'Revenues &amp; Expenses'!$AM$5*1000*'Revenues &amp; Expenses'!O151</f>
        <v>2.75955797475624</v>
      </c>
      <c r="S143" s="204" t="n">
        <f aca="false">IF(M143&gt;N143,1,0)</f>
        <v>0</v>
      </c>
      <c r="T143" s="204" t="n">
        <f aca="false">'Revenues &amp; Expenses'!$S$3</f>
        <v>310.66</v>
      </c>
      <c r="U143" s="212" t="n">
        <f aca="false">T143*'Revenues &amp; Expenses'!F151*4</f>
        <v>27338.08</v>
      </c>
      <c r="W143" s="212" t="n">
        <f aca="false">IF(S143&gt;0,(M143-N143)*U143,0)</f>
        <v>0</v>
      </c>
    </row>
    <row r="144" customFormat="false" ht="12.75" hidden="false" customHeight="false" outlineLevel="0" collapsed="false">
      <c r="B144" s="240" t="n">
        <v>40940</v>
      </c>
      <c r="C144" s="218" t="n">
        <f aca="false">VLOOKUP(B144,'Company Gas Prices'!$B$25:$C$259,2)</f>
        <v>3.83541667</v>
      </c>
      <c r="D144" s="180" t="n">
        <f aca="false">VLOOKUP(B144,'Fuel Curve'!$B$7:$F$268,5)</f>
        <v>4.69103448275862</v>
      </c>
      <c r="E144" s="180" t="n">
        <f aca="false">D144-C144</f>
        <v>0.855617812758622</v>
      </c>
      <c r="G144" s="240" t="n">
        <v>40940</v>
      </c>
      <c r="H144" s="180" t="n">
        <f aca="false">VLOOKUP(G144,'Company Power Prices'!$B$25:$C$259,2)</f>
        <v>41.83522617</v>
      </c>
      <c r="I144" s="180" t="n">
        <f aca="false">VLOOKUP(G144,'Super Peak Curve Simulation'!$B$4:$C$225,2)</f>
        <v>49.4472288687053</v>
      </c>
      <c r="J144" s="259" t="n">
        <f aca="false">I144-H144</f>
        <v>7.61200269870525</v>
      </c>
      <c r="L144" s="240" t="n">
        <v>40940</v>
      </c>
      <c r="M144" s="180" t="n">
        <f aca="false">IF($L$1=1,VLOOKUP(L144,'Super Peak Curve Simulation'!$B$7:$N$225,12),VLOOKUP(L144,'PJM Curve Simulation'!$B$9:$J$246,9))</f>
        <v>40.3249984741211</v>
      </c>
      <c r="N144" s="180" t="n">
        <f aca="false">P144+Q144</f>
        <v>47.7011107539761</v>
      </c>
      <c r="P144" s="180" t="n">
        <f aca="false">IF($L$1=1,VLOOKUP(L144,'Fuel Curve'!$B$7:$H$246,7),VLOOKUP(L144,'Revenues &amp; Expenses'!$K$9:$S$246,9))</f>
        <v>44.9354193103448</v>
      </c>
      <c r="Q144" s="180" t="n">
        <f aca="false">'Revenues &amp; Expenses'!$AM$5*1000*'Revenues &amp; Expenses'!O152</f>
        <v>2.7656914436313</v>
      </c>
      <c r="S144" s="204" t="n">
        <f aca="false">IF(M144&gt;N144,1,0)</f>
        <v>0</v>
      </c>
      <c r="T144" s="204" t="n">
        <f aca="false">'Revenues &amp; Expenses'!$S$3</f>
        <v>310.66</v>
      </c>
      <c r="U144" s="212" t="n">
        <f aca="false">T144*'Revenues &amp; Expenses'!F152*4</f>
        <v>24852.8</v>
      </c>
      <c r="W144" s="212" t="n">
        <f aca="false">IF(S144&gt;0,(M144-N144)*U144,0)</f>
        <v>0</v>
      </c>
    </row>
    <row r="145" customFormat="false" ht="12.75" hidden="false" customHeight="false" outlineLevel="0" collapsed="false">
      <c r="B145" s="240" t="n">
        <v>40969</v>
      </c>
      <c r="C145" s="218" t="n">
        <f aca="false">VLOOKUP(B145,'Company Gas Prices'!$B$25:$C$259,2)</f>
        <v>3.83541667</v>
      </c>
      <c r="D145" s="180" t="n">
        <f aca="false">VLOOKUP(B145,'Fuel Curve'!$B$7:$F$268,5)</f>
        <v>4.59396551724138</v>
      </c>
      <c r="E145" s="180" t="n">
        <f aca="false">D145-C145</f>
        <v>0.75854884724138</v>
      </c>
      <c r="G145" s="240" t="n">
        <v>40969</v>
      </c>
      <c r="H145" s="180" t="n">
        <f aca="false">VLOOKUP(G145,'Company Power Prices'!$B$25:$C$259,2)</f>
        <v>41.83522617</v>
      </c>
      <c r="I145" s="180" t="n">
        <f aca="false">VLOOKUP(G145,'Super Peak Curve Simulation'!$B$4:$C$225,2)</f>
        <v>36.547562177906</v>
      </c>
      <c r="J145" s="259" t="n">
        <f aca="false">I145-H145</f>
        <v>-5.28766399209396</v>
      </c>
      <c r="L145" s="240" t="n">
        <v>40969</v>
      </c>
      <c r="M145" s="180" t="n">
        <f aca="false">IF($L$1=1,VLOOKUP(L145,'Super Peak Curve Simulation'!$B$7:$N$225,12),VLOOKUP(L145,'PJM Curve Simulation'!$B$9:$J$246,9))</f>
        <v>30.0500007629395</v>
      </c>
      <c r="N145" s="180" t="n">
        <f aca="false">P145+Q145</f>
        <v>46.7774342345769</v>
      </c>
      <c r="P145" s="180" t="n">
        <f aca="false">IF($L$1=1,VLOOKUP(L145,'Fuel Curve'!$B$7:$H$246,7),VLOOKUP(L145,'Revenues &amp; Expenses'!$K$9:$S$246,9))</f>
        <v>44.0055956896552</v>
      </c>
      <c r="Q145" s="180" t="n">
        <f aca="false">'Revenues &amp; Expenses'!$AM$5*1000*'Revenues &amp; Expenses'!O153</f>
        <v>2.77183854492168</v>
      </c>
      <c r="S145" s="204" t="n">
        <f aca="false">IF(M145&gt;N145,1,0)</f>
        <v>0</v>
      </c>
      <c r="T145" s="204" t="n">
        <f aca="false">'Revenues &amp; Expenses'!$S$3</f>
        <v>310.66</v>
      </c>
      <c r="U145" s="212" t="n">
        <f aca="false">T145*'Revenues &amp; Expenses'!F153*4</f>
        <v>28580.72</v>
      </c>
      <c r="W145" s="212" t="n">
        <f aca="false">IF(S145&gt;0,(M145-N145)*U145,0)</f>
        <v>0</v>
      </c>
    </row>
    <row r="146" customFormat="false" ht="12.75" hidden="false" customHeight="false" outlineLevel="0" collapsed="false">
      <c r="B146" s="240" t="n">
        <v>41000</v>
      </c>
      <c r="C146" s="218" t="n">
        <f aca="false">VLOOKUP(B146,'Company Gas Prices'!$B$25:$C$259,2)</f>
        <v>3.98020833</v>
      </c>
      <c r="D146" s="180" t="n">
        <f aca="false">VLOOKUP(B146,'Fuel Curve'!$B$7:$F$268,5)</f>
        <v>4.49396551724138</v>
      </c>
      <c r="E146" s="180" t="n">
        <f aca="false">D146-C146</f>
        <v>0.51375718724138</v>
      </c>
      <c r="G146" s="240" t="n">
        <v>41000</v>
      </c>
      <c r="H146" s="180" t="n">
        <f aca="false">VLOOKUP(G146,'Company Power Prices'!$B$25:$C$259,2)</f>
        <v>46.31470998</v>
      </c>
      <c r="I146" s="180" t="n">
        <f aca="false">VLOOKUP(G146,'Super Peak Curve Simulation'!$B$4:$C$225,2)</f>
        <v>33.8323561765361</v>
      </c>
      <c r="J146" s="259" t="n">
        <f aca="false">I146-H146</f>
        <v>-12.4823538034639</v>
      </c>
      <c r="L146" s="240" t="n">
        <v>41000</v>
      </c>
      <c r="M146" s="180" t="n">
        <f aca="false">IF($L$1=1,VLOOKUP(L146,'Super Peak Curve Simulation'!$B$7:$N$225,12),VLOOKUP(L146,'PJM Curve Simulation'!$B$9:$J$246,9))</f>
        <v>29.8250007629395</v>
      </c>
      <c r="N146" s="180" t="n">
        <f aca="false">P146+Q146</f>
        <v>45.8256949985824</v>
      </c>
      <c r="P146" s="180" t="n">
        <f aca="false">IF($L$1=1,VLOOKUP(L146,'Fuel Curve'!$B$7:$H$246,7),VLOOKUP(L146,'Revenues &amp; Expenses'!$K$9:$S$246,9))</f>
        <v>43.0476956896552</v>
      </c>
      <c r="Q146" s="180" t="n">
        <f aca="false">'Revenues &amp; Expenses'!$AM$5*1000*'Revenues &amp; Expenses'!O154</f>
        <v>2.77799930892718</v>
      </c>
      <c r="S146" s="204" t="n">
        <f aca="false">IF(M146&gt;N146,1,0)</f>
        <v>0</v>
      </c>
      <c r="T146" s="204" t="n">
        <f aca="false">'Revenues &amp; Expenses'!$S$3</f>
        <v>310.66</v>
      </c>
      <c r="U146" s="212" t="n">
        <f aca="false">T146*'Revenues &amp; Expenses'!F154*4</f>
        <v>27338.08</v>
      </c>
      <c r="W146" s="212" t="n">
        <f aca="false">IF(S146&gt;0,(M146-N146)*U146,0)</f>
        <v>0</v>
      </c>
    </row>
    <row r="147" customFormat="false" ht="12.75" hidden="false" customHeight="false" outlineLevel="0" collapsed="false">
      <c r="B147" s="240" t="n">
        <v>41030</v>
      </c>
      <c r="C147" s="218" t="n">
        <f aca="false">VLOOKUP(B147,'Company Gas Prices'!$B$25:$C$259,2)</f>
        <v>3.81770833</v>
      </c>
      <c r="D147" s="180" t="n">
        <f aca="false">VLOOKUP(B147,'Fuel Curve'!$B$7:$F$268,5)</f>
        <v>4.42672413793104</v>
      </c>
      <c r="E147" s="180" t="n">
        <f aca="false">D147-C147</f>
        <v>0.609015807931035</v>
      </c>
      <c r="G147" s="240" t="n">
        <v>41030</v>
      </c>
      <c r="H147" s="180" t="n">
        <f aca="false">VLOOKUP(G147,'Company Power Prices'!$B$25:$C$259,2)</f>
        <v>56.01939042</v>
      </c>
      <c r="I147" s="180" t="n">
        <f aca="false">VLOOKUP(G147,'Super Peak Curve Simulation'!$B$4:$C$225,2)</f>
        <v>41.5244433762541</v>
      </c>
      <c r="J147" s="259" t="n">
        <f aca="false">I147-H147</f>
        <v>-14.4949470437459</v>
      </c>
      <c r="L147" s="240" t="n">
        <v>41030</v>
      </c>
      <c r="M147" s="180" t="n">
        <f aca="false">IF($L$1=1,VLOOKUP(L147,'Super Peak Curve Simulation'!$B$7:$N$225,12),VLOOKUP(L147,'PJM Curve Simulation'!$B$9:$J$246,9))</f>
        <v>37.825</v>
      </c>
      <c r="N147" s="180" t="n">
        <f aca="false">P147+Q147</f>
        <v>45.1877642832563</v>
      </c>
      <c r="P147" s="180" t="n">
        <f aca="false">IF($L$1=1,VLOOKUP(L147,'Fuel Curve'!$B$7:$H$246,7),VLOOKUP(L147,'Revenues &amp; Expenses'!$K$9:$S$246,9))</f>
        <v>42.4035905172414</v>
      </c>
      <c r="Q147" s="180" t="n">
        <f aca="false">'Revenues &amp; Expenses'!$AM$5*1000*'Revenues &amp; Expenses'!O155</f>
        <v>2.7841737660149</v>
      </c>
      <c r="S147" s="204" t="n">
        <f aca="false">IF(M147&gt;N147,1,0)</f>
        <v>0</v>
      </c>
      <c r="T147" s="204" t="n">
        <f aca="false">'Revenues &amp; Expenses'!$S$3</f>
        <v>310.66</v>
      </c>
      <c r="U147" s="212" t="n">
        <f aca="false">T147*'Revenues &amp; Expenses'!F155*4</f>
        <v>26095.44</v>
      </c>
      <c r="W147" s="212" t="n">
        <f aca="false">IF(S147&gt;0,(M147-N147)*U147,0)</f>
        <v>0</v>
      </c>
    </row>
    <row r="148" customFormat="false" ht="12.75" hidden="false" customHeight="false" outlineLevel="0" collapsed="false">
      <c r="B148" s="240" t="n">
        <v>41061</v>
      </c>
      <c r="C148" s="218" t="n">
        <f aca="false">VLOOKUP(B148,'Company Gas Prices'!$B$25:$C$259,2)</f>
        <v>3.809375</v>
      </c>
      <c r="D148" s="180" t="n">
        <f aca="false">VLOOKUP(B148,'Fuel Curve'!$B$7:$F$268,5)</f>
        <v>4.42017241379311</v>
      </c>
      <c r="E148" s="180" t="n">
        <f aca="false">D148-C148</f>
        <v>0.610797413793105</v>
      </c>
      <c r="G148" s="240" t="n">
        <v>41061</v>
      </c>
      <c r="H148" s="180" t="n">
        <f aca="false">VLOOKUP(G148,'Company Power Prices'!$B$25:$C$259,2)</f>
        <v>101.0272828</v>
      </c>
      <c r="I148" s="180" t="n">
        <f aca="false">VLOOKUP(G148,'Super Peak Curve Simulation'!$B$4:$C$225,2)</f>
        <v>78.7891253242545</v>
      </c>
      <c r="J148" s="259" t="n">
        <f aca="false">I148-H148</f>
        <v>-22.2381574757455</v>
      </c>
      <c r="L148" s="240" t="n">
        <v>41061</v>
      </c>
      <c r="M148" s="180" t="n">
        <f aca="false">IF($L$1=1,VLOOKUP(L148,'Super Peak Curve Simulation'!$B$7:$N$225,12),VLOOKUP(L148,'PJM Curve Simulation'!$B$9:$J$246,9))</f>
        <v>63.8499984741211</v>
      </c>
      <c r="N148" s="180" t="n">
        <f aca="false">P148+Q148</f>
        <v>45.1311934983436</v>
      </c>
      <c r="P148" s="180" t="n">
        <f aca="false">IF($L$1=1,VLOOKUP(L148,'Fuel Curve'!$B$7:$H$246,7),VLOOKUP(L148,'Revenues &amp; Expenses'!$K$9:$S$246,9))</f>
        <v>42.3408315517242</v>
      </c>
      <c r="Q148" s="180" t="n">
        <f aca="false">'Revenues &amp; Expenses'!$AM$5*1000*'Revenues &amp; Expenses'!O156</f>
        <v>2.79036194661948</v>
      </c>
      <c r="S148" s="204" t="n">
        <f aca="false">IF(M148&gt;N148,1,0)</f>
        <v>1</v>
      </c>
      <c r="T148" s="204" t="n">
        <f aca="false">'Revenues &amp; Expenses'!$S$3</f>
        <v>310.66</v>
      </c>
      <c r="U148" s="212" t="n">
        <f aca="false">T148*'Revenues &amp; Expenses'!F156*4</f>
        <v>27338.08</v>
      </c>
      <c r="W148" s="212" t="n">
        <f aca="false">IF(S148&gt;0,(M148-N148)*U148,0)</f>
        <v>511736.187932203</v>
      </c>
    </row>
    <row r="149" customFormat="false" ht="12.75" hidden="false" customHeight="false" outlineLevel="0" collapsed="false">
      <c r="B149" s="240" t="n">
        <v>41091</v>
      </c>
      <c r="C149" s="218" t="n">
        <f aca="false">VLOOKUP(B149,'Company Gas Prices'!$B$25:$C$259,2)</f>
        <v>3.771875</v>
      </c>
      <c r="D149" s="180" t="n">
        <f aca="false">VLOOKUP(B149,'Fuel Curve'!$B$7:$F$268,5)</f>
        <v>4.47741379310345</v>
      </c>
      <c r="E149" s="180" t="n">
        <f aca="false">D149-C149</f>
        <v>0.705538793103449</v>
      </c>
      <c r="G149" s="240" t="n">
        <v>41091</v>
      </c>
      <c r="H149" s="180" t="n">
        <f aca="false">VLOOKUP(G149,'Company Power Prices'!$B$25:$C$259,2)</f>
        <v>155.5157721</v>
      </c>
      <c r="I149" s="180" t="n">
        <f aca="false">VLOOKUP(G149,'Super Peak Curve Simulation'!$B$4:$C$225,2)</f>
        <v>146.341175338104</v>
      </c>
      <c r="J149" s="259" t="n">
        <f aca="false">I149-H149</f>
        <v>-9.174596761896</v>
      </c>
      <c r="L149" s="240" t="n">
        <v>41091</v>
      </c>
      <c r="M149" s="180" t="n">
        <f aca="false">IF($L$1=1,VLOOKUP(L149,'Super Peak Curve Simulation'!$B$7:$N$225,12),VLOOKUP(L149,'PJM Curve Simulation'!$B$9:$J$246,9))</f>
        <v>111.449996948242</v>
      </c>
      <c r="N149" s="180" t="n">
        <f aca="false">P149+Q149</f>
        <v>45.6857106053811</v>
      </c>
      <c r="P149" s="180" t="n">
        <f aca="false">IF($L$1=1,VLOOKUP(L149,'Fuel Curve'!$B$7:$H$246,7),VLOOKUP(L149,'Revenues &amp; Expenses'!$K$9:$S$246,9))</f>
        <v>42.8891467241379</v>
      </c>
      <c r="Q149" s="180" t="n">
        <f aca="false">'Revenues &amp; Expenses'!$AM$5*1000*'Revenues &amp; Expenses'!O157</f>
        <v>2.79656388124317</v>
      </c>
      <c r="S149" s="204" t="n">
        <f aca="false">IF(M149&gt;N149,1,0)</f>
        <v>1</v>
      </c>
      <c r="T149" s="204" t="n">
        <f aca="false">'Revenues &amp; Expenses'!$S$3</f>
        <v>310.66</v>
      </c>
      <c r="U149" s="212" t="n">
        <f aca="false">T149*'Revenues &amp; Expenses'!F157*4</f>
        <v>27338.08</v>
      </c>
      <c r="W149" s="212" t="n">
        <f aca="false">IF(S149&gt;0,(M149-N149)*U149,0)</f>
        <v>1797869.32118404</v>
      </c>
    </row>
    <row r="150" customFormat="false" ht="12.75" hidden="false" customHeight="false" outlineLevel="0" collapsed="false">
      <c r="B150" s="240" t="n">
        <v>41122</v>
      </c>
      <c r="C150" s="218" t="n">
        <f aca="false">VLOOKUP(B150,'Company Gas Prices'!$B$25:$C$259,2)</f>
        <v>3.771875</v>
      </c>
      <c r="D150" s="180" t="n">
        <f aca="false">VLOOKUP(B150,'Fuel Curve'!$B$7:$F$268,5)</f>
        <v>4.56793103448276</v>
      </c>
      <c r="E150" s="180" t="n">
        <f aca="false">D150-C150</f>
        <v>0.796056034482759</v>
      </c>
      <c r="G150" s="240" t="n">
        <v>41122</v>
      </c>
      <c r="H150" s="180" t="n">
        <f aca="false">VLOOKUP(G150,'Company Power Prices'!$B$25:$C$259,2)</f>
        <v>155.5157721</v>
      </c>
      <c r="I150" s="180" t="n">
        <f aca="false">VLOOKUP(G150,'Super Peak Curve Simulation'!$B$4:$C$225,2)</f>
        <v>120.831608531232</v>
      </c>
      <c r="J150" s="259" t="n">
        <f aca="false">I150-H150</f>
        <v>-34.6841635687678</v>
      </c>
      <c r="L150" s="240" t="n">
        <v>41122</v>
      </c>
      <c r="M150" s="180" t="n">
        <f aca="false">IF($L$1=1,VLOOKUP(L150,'Super Peak Curve Simulation'!$B$7:$N$225,12),VLOOKUP(L150,'PJM Curve Simulation'!$B$9:$J$246,9))</f>
        <v>98.4499969482422</v>
      </c>
      <c r="N150" s="180" t="n">
        <f aca="false">P150+Q150</f>
        <v>46.5589909797664</v>
      </c>
      <c r="P150" s="180" t="n">
        <f aca="false">IF($L$1=1,VLOOKUP(L150,'Fuel Curve'!$B$7:$H$246,7),VLOOKUP(L150,'Revenues &amp; Expenses'!$K$9:$S$246,9))</f>
        <v>43.7562113793104</v>
      </c>
      <c r="Q150" s="180" t="n">
        <f aca="false">'Revenues &amp; Expenses'!$AM$5*1000*'Revenues &amp; Expenses'!O158</f>
        <v>2.80277960045604</v>
      </c>
      <c r="S150" s="204" t="n">
        <f aca="false">IF(M150&gt;N150,1,0)</f>
        <v>1</v>
      </c>
      <c r="T150" s="204" t="n">
        <f aca="false">'Revenues &amp; Expenses'!$S$3</f>
        <v>310.66</v>
      </c>
      <c r="U150" s="212" t="n">
        <f aca="false">T150*'Revenues &amp; Expenses'!F158*4</f>
        <v>27338.08</v>
      </c>
      <c r="W150" s="212" t="n">
        <f aca="false">IF(S150&gt;0,(M150-N150)*U150,0)</f>
        <v>1418600.47244667</v>
      </c>
    </row>
    <row r="151" customFormat="false" ht="12.75" hidden="false" customHeight="false" outlineLevel="0" collapsed="false">
      <c r="B151" s="240" t="n">
        <v>41153</v>
      </c>
      <c r="C151" s="218" t="n">
        <f aca="false">VLOOKUP(B151,'Company Gas Prices'!$B$25:$C$259,2)</f>
        <v>3.81770833</v>
      </c>
      <c r="D151" s="180" t="n">
        <f aca="false">VLOOKUP(B151,'Fuel Curve'!$B$7:$F$268,5)</f>
        <v>4.66275862068966</v>
      </c>
      <c r="E151" s="180" t="n">
        <f aca="false">D151-C151</f>
        <v>0.845050290689656</v>
      </c>
      <c r="G151" s="240" t="n">
        <v>41153</v>
      </c>
      <c r="H151" s="180" t="n">
        <f aca="false">VLOOKUP(G151,'Company Power Prices'!$B$25:$C$259,2)</f>
        <v>56.01939042</v>
      </c>
      <c r="I151" s="180" t="n">
        <f aca="false">VLOOKUP(G151,'Super Peak Curve Simulation'!$B$4:$C$225,2)</f>
        <v>43.2286040639501</v>
      </c>
      <c r="J151" s="259" t="n">
        <f aca="false">I151-H151</f>
        <v>-12.7907863560499</v>
      </c>
      <c r="L151" s="240" t="n">
        <v>41153</v>
      </c>
      <c r="M151" s="180" t="n">
        <f aca="false">IF($L$1=1,VLOOKUP(L151,'Super Peak Curve Simulation'!$B$7:$N$225,12),VLOOKUP(L151,'PJM Curve Simulation'!$B$9:$J$246,9))</f>
        <v>37.4249984741211</v>
      </c>
      <c r="N151" s="180" t="n">
        <f aca="false">P151+Q151</f>
        <v>47.4735739624823</v>
      </c>
      <c r="P151" s="180" t="n">
        <f aca="false">IF($L$1=1,VLOOKUP(L151,'Fuel Curve'!$B$7:$H$246,7),VLOOKUP(L151,'Revenues &amp; Expenses'!$K$9:$S$246,9))</f>
        <v>44.6645648275862</v>
      </c>
      <c r="Q151" s="180" t="n">
        <f aca="false">'Revenues &amp; Expenses'!$AM$5*1000*'Revenues &amp; Expenses'!O159</f>
        <v>2.80900913489608</v>
      </c>
      <c r="S151" s="204" t="n">
        <f aca="false">IF(M151&gt;N151,1,0)</f>
        <v>0</v>
      </c>
      <c r="T151" s="204" t="n">
        <f aca="false">'Revenues &amp; Expenses'!$S$3</f>
        <v>310.66</v>
      </c>
      <c r="U151" s="212" t="n">
        <f aca="false">T151*'Revenues &amp; Expenses'!F159*4</f>
        <v>27338.08</v>
      </c>
      <c r="W151" s="212" t="n">
        <f aca="false">IF(S151&gt;0,(M151-N151)*U151,0)</f>
        <v>0</v>
      </c>
    </row>
    <row r="152" customFormat="false" ht="12.75" hidden="false" customHeight="false" outlineLevel="0" collapsed="false">
      <c r="B152" s="240" t="n">
        <v>41183</v>
      </c>
      <c r="C152" s="218" t="n">
        <f aca="false">VLOOKUP(B152,'Company Gas Prices'!$B$25:$C$259,2)</f>
        <v>3.778125</v>
      </c>
      <c r="D152" s="180" t="n">
        <f aca="false">VLOOKUP(B152,'Fuel Curve'!$B$7:$F$268,5)</f>
        <v>4.75534482758621</v>
      </c>
      <c r="E152" s="180" t="n">
        <f aca="false">D152-C152</f>
        <v>0.977219827586207</v>
      </c>
      <c r="G152" s="240" t="n">
        <v>41183</v>
      </c>
      <c r="H152" s="180" t="n">
        <f aca="false">VLOOKUP(G152,'Company Power Prices'!$B$25:$C$259,2)</f>
        <v>48.1723551</v>
      </c>
      <c r="I152" s="180" t="n">
        <f aca="false">VLOOKUP(G152,'Super Peak Curve Simulation'!$B$4:$C$225,2)</f>
        <v>35.917217323122</v>
      </c>
      <c r="J152" s="259" t="n">
        <f aca="false">I152-H152</f>
        <v>-12.255137776878</v>
      </c>
      <c r="L152" s="240" t="n">
        <v>41183</v>
      </c>
      <c r="M152" s="180" t="n">
        <f aca="false">IF($L$1=1,VLOOKUP(L152,'Super Peak Curve Simulation'!$B$7:$N$225,12),VLOOKUP(L152,'PJM Curve Simulation'!$B$9:$J$246,9))</f>
        <v>30.5750003814697</v>
      </c>
      <c r="N152" s="180" t="n">
        <f aca="false">P152+Q152</f>
        <v>48.3667006187177</v>
      </c>
      <c r="P152" s="180" t="n">
        <f aca="false">IF($L$1=1,VLOOKUP(L152,'Fuel Curve'!$B$7:$H$246,7),VLOOKUP(L152,'Revenues &amp; Expenses'!$K$9:$S$246,9))</f>
        <v>45.5514481034483</v>
      </c>
      <c r="Q152" s="180" t="n">
        <f aca="false">'Revenues &amp; Expenses'!$AM$5*1000*'Revenues &amp; Expenses'!O160</f>
        <v>2.8152525152694</v>
      </c>
      <c r="S152" s="204" t="n">
        <f aca="false">IF(M152&gt;N152,1,0)</f>
        <v>0</v>
      </c>
      <c r="T152" s="204" t="n">
        <f aca="false">'Revenues &amp; Expenses'!$S$3</f>
        <v>310.66</v>
      </c>
      <c r="U152" s="212" t="n">
        <f aca="false">T152*'Revenues &amp; Expenses'!F160*4</f>
        <v>26095.44</v>
      </c>
      <c r="W152" s="212" t="n">
        <f aca="false">IF(S152&gt;0,(M152-N152)*U152,0)</f>
        <v>0</v>
      </c>
    </row>
    <row r="153" customFormat="false" ht="12.75" hidden="false" customHeight="false" outlineLevel="0" collapsed="false">
      <c r="B153" s="240" t="n">
        <v>41214</v>
      </c>
      <c r="C153" s="218" t="n">
        <f aca="false">VLOOKUP(B153,'Company Gas Prices'!$B$25:$C$259,2)</f>
        <v>3.778125</v>
      </c>
      <c r="D153" s="180" t="n">
        <f aca="false">VLOOKUP(B153,'Fuel Curve'!$B$7:$F$268,5)</f>
        <v>4.80465517241379</v>
      </c>
      <c r="E153" s="180" t="n">
        <f aca="false">D153-C153</f>
        <v>1.02653017241379</v>
      </c>
      <c r="G153" s="240" t="n">
        <v>41214</v>
      </c>
      <c r="H153" s="180" t="n">
        <f aca="false">VLOOKUP(G153,'Company Power Prices'!$B$25:$C$259,2)</f>
        <v>50.32033665</v>
      </c>
      <c r="I153" s="180" t="n">
        <f aca="false">VLOOKUP(G153,'Super Peak Curve Simulation'!$B$4:$C$225,2)</f>
        <v>36.0194780972672</v>
      </c>
      <c r="J153" s="259" t="n">
        <f aca="false">I153-H153</f>
        <v>-14.3008585527328</v>
      </c>
      <c r="L153" s="240" t="n">
        <v>41214</v>
      </c>
      <c r="M153" s="180" t="n">
        <f aca="false">IF($L$1=1,VLOOKUP(L153,'Super Peak Curve Simulation'!$B$7:$N$225,12),VLOOKUP(L153,'PJM Curve Simulation'!$B$9:$J$246,9))</f>
        <v>30.2474990844727</v>
      </c>
      <c r="N153" s="180" t="n">
        <f aca="false">P153+Q153</f>
        <v>48.8453016689021</v>
      </c>
      <c r="P153" s="180" t="n">
        <f aca="false">IF($L$1=1,VLOOKUP(L153,'Fuel Curve'!$B$7:$H$246,7),VLOOKUP(L153,'Revenues &amp; Expenses'!$K$9:$S$246,9))</f>
        <v>46.0237918965517</v>
      </c>
      <c r="Q153" s="180" t="n">
        <f aca="false">'Revenues &amp; Expenses'!$AM$5*1000*'Revenues &amp; Expenses'!O161</f>
        <v>2.82150977235034</v>
      </c>
      <c r="S153" s="204" t="n">
        <f aca="false">IF(M153&gt;N153,1,0)</f>
        <v>0</v>
      </c>
      <c r="T153" s="204" t="n">
        <f aca="false">'Revenues &amp; Expenses'!$S$3</f>
        <v>310.66</v>
      </c>
      <c r="U153" s="212" t="n">
        <f aca="false">T153*'Revenues &amp; Expenses'!F161*4</f>
        <v>27338.08</v>
      </c>
      <c r="W153" s="212" t="n">
        <f aca="false">IF(S153&gt;0,(M153-N153)*U153,0)</f>
        <v>0</v>
      </c>
    </row>
    <row r="154" customFormat="false" ht="12.75" hidden="false" customHeight="false" outlineLevel="0" collapsed="false">
      <c r="B154" s="240" t="n">
        <v>41244</v>
      </c>
      <c r="C154" s="218" t="n">
        <f aca="false">VLOOKUP(B154,'Company Gas Prices'!$B$25:$C$259,2)</f>
        <v>3.778125</v>
      </c>
      <c r="D154" s="180" t="n">
        <f aca="false">VLOOKUP(B154,'Fuel Curve'!$B$7:$F$268,5)</f>
        <v>4.84741379310345</v>
      </c>
      <c r="E154" s="180" t="n">
        <f aca="false">D154-C154</f>
        <v>1.06928879310345</v>
      </c>
      <c r="G154" s="240" t="n">
        <v>41244</v>
      </c>
      <c r="H154" s="180" t="n">
        <f aca="false">VLOOKUP(G154,'Company Power Prices'!$B$25:$C$259,2)</f>
        <v>50.32033665</v>
      </c>
      <c r="I154" s="180" t="n">
        <f aca="false">VLOOKUP(G154,'Super Peak Curve Simulation'!$B$4:$C$225,2)</f>
        <v>38.590844029383</v>
      </c>
      <c r="J154" s="259" t="n">
        <f aca="false">I154-H154</f>
        <v>-11.729492620617</v>
      </c>
      <c r="L154" s="240" t="n">
        <v>41244</v>
      </c>
      <c r="M154" s="180" t="n">
        <f aca="false">IF($L$1=1,VLOOKUP(L154,'Super Peak Curve Simulation'!$B$7:$N$225,12),VLOOKUP(L154,'PJM Curve Simulation'!$B$9:$J$246,9))</f>
        <v>31.9999996185303</v>
      </c>
      <c r="N154" s="180" t="n">
        <f aca="false">P154+Q154</f>
        <v>49.2611576611196</v>
      </c>
      <c r="P154" s="180" t="n">
        <f aca="false">IF($L$1=1,VLOOKUP(L154,'Fuel Curve'!$B$7:$H$246,7),VLOOKUP(L154,'Revenues &amp; Expenses'!$K$9:$S$246,9))</f>
        <v>46.4333767241379</v>
      </c>
      <c r="Q154" s="180" t="n">
        <f aca="false">'Revenues &amp; Expenses'!$AM$5*1000*'Revenues &amp; Expenses'!O162</f>
        <v>2.82778093698166</v>
      </c>
      <c r="S154" s="204" t="n">
        <f aca="false">IF(M154&gt;N154,1,0)</f>
        <v>0</v>
      </c>
      <c r="T154" s="204" t="n">
        <f aca="false">'Revenues &amp; Expenses'!$S$3</f>
        <v>310.66</v>
      </c>
      <c r="U154" s="212" t="n">
        <f aca="false">T154*'Revenues &amp; Expenses'!F162*4</f>
        <v>28580.72</v>
      </c>
      <c r="W154" s="212" t="n">
        <f aca="false">IF(S154&gt;0,(M154-N154)*U154,0)</f>
        <v>0</v>
      </c>
    </row>
    <row r="155" customFormat="false" ht="12.75" hidden="false" customHeight="false" outlineLevel="0" collapsed="false">
      <c r="B155" s="240" t="n">
        <v>41275</v>
      </c>
      <c r="C155" s="218" t="n">
        <f aca="false">VLOOKUP(B155,'Company Gas Prices'!$B$25:$C$259,2)</f>
        <v>3.83541667</v>
      </c>
      <c r="D155" s="180" t="n">
        <f aca="false">VLOOKUP(B155,'Fuel Curve'!$B$7:$F$268,5)</f>
        <v>4.79017241379311</v>
      </c>
      <c r="E155" s="180" t="n">
        <f aca="false">D155-C155</f>
        <v>0.954755743793105</v>
      </c>
      <c r="G155" s="240" t="n">
        <v>41275</v>
      </c>
      <c r="H155" s="180" t="n">
        <f aca="false">VLOOKUP(G155,'Company Power Prices'!$B$25:$C$259,2)</f>
        <v>47.51406309</v>
      </c>
      <c r="I155" s="180" t="n">
        <f aca="false">VLOOKUP(G155,'Super Peak Curve Simulation'!$B$4:$C$225,2)</f>
        <v>49.7537833060256</v>
      </c>
      <c r="J155" s="259" t="n">
        <f aca="false">I155-H155</f>
        <v>2.23972021602555</v>
      </c>
      <c r="L155" s="240" t="n">
        <v>41275</v>
      </c>
      <c r="M155" s="180" t="n">
        <f aca="false">IF($L$1=1,VLOOKUP(L155,'Super Peak Curve Simulation'!$B$7:$N$225,12),VLOOKUP(L155,'PJM Curve Simulation'!$B$9:$J$246,9))</f>
        <v>40.5749984741211</v>
      </c>
      <c r="N155" s="180" t="n">
        <f aca="false">P155+Q155</f>
        <v>48.7191275917988</v>
      </c>
      <c r="P155" s="180" t="n">
        <f aca="false">IF($L$1=1,VLOOKUP(L155,'Fuel Curve'!$B$7:$H$246,7),VLOOKUP(L155,'Revenues &amp; Expenses'!$K$9:$S$246,9))</f>
        <v>45.8850615517242</v>
      </c>
      <c r="Q155" s="180" t="n">
        <f aca="false">'Revenues &amp; Expenses'!$AM$5*1000*'Revenues &amp; Expenses'!O163</f>
        <v>2.83406604007466</v>
      </c>
      <c r="S155" s="204" t="n">
        <f aca="false">IF(M155&gt;N155,1,0)</f>
        <v>0</v>
      </c>
      <c r="T155" s="204" t="n">
        <f aca="false">'Revenues &amp; Expenses'!$S$3</f>
        <v>310.66</v>
      </c>
      <c r="U155" s="212" t="n">
        <f aca="false">T155*'Revenues &amp; Expenses'!F163*4</f>
        <v>28580.72</v>
      </c>
      <c r="W155" s="212" t="n">
        <f aca="false">IF(S155&gt;0,(M155-N155)*U155,0)</f>
        <v>0</v>
      </c>
    </row>
    <row r="156" customFormat="false" ht="12.75" hidden="false" customHeight="false" outlineLevel="0" collapsed="false">
      <c r="B156" s="240" t="n">
        <v>41306</v>
      </c>
      <c r="C156" s="218" t="n">
        <f aca="false">VLOOKUP(B156,'Company Gas Prices'!$B$25:$C$259,2)</f>
        <v>3.83541667</v>
      </c>
      <c r="D156" s="180" t="n">
        <f aca="false">VLOOKUP(B156,'Fuel Curve'!$B$7:$F$268,5)</f>
        <v>4.69103448275862</v>
      </c>
      <c r="E156" s="180" t="n">
        <f aca="false">D156-C156</f>
        <v>0.855617812758622</v>
      </c>
      <c r="G156" s="240" t="n">
        <v>41306</v>
      </c>
      <c r="H156" s="180" t="n">
        <f aca="false">VLOOKUP(G156,'Company Power Prices'!$B$25:$C$259,2)</f>
        <v>41.85796283</v>
      </c>
      <c r="I156" s="180" t="n">
        <f aca="false">VLOOKUP(G156,'Super Peak Curve Simulation'!$B$4:$C$225,2)</f>
        <v>49.7537833060256</v>
      </c>
      <c r="J156" s="259" t="n">
        <f aca="false">I156-H156</f>
        <v>7.89582047602556</v>
      </c>
      <c r="L156" s="240" t="n">
        <v>41306</v>
      </c>
      <c r="M156" s="180" t="n">
        <f aca="false">IF($L$1=1,VLOOKUP(L156,'Super Peak Curve Simulation'!$B$7:$N$225,12),VLOOKUP(L156,'PJM Curve Simulation'!$B$9:$J$246,9))</f>
        <v>40.5749984741211</v>
      </c>
      <c r="N156" s="180" t="n">
        <f aca="false">P156+Q156</f>
        <v>47.7757844229542</v>
      </c>
      <c r="P156" s="180" t="n">
        <f aca="false">IF($L$1=1,VLOOKUP(L156,'Fuel Curve'!$B$7:$H$246,7),VLOOKUP(L156,'Revenues &amp; Expenses'!$K$9:$S$246,9))</f>
        <v>44.9354193103448</v>
      </c>
      <c r="Q156" s="180" t="n">
        <f aca="false">'Revenues &amp; Expenses'!$AM$5*1000*'Revenues &amp; Expenses'!O164</f>
        <v>2.84036511260934</v>
      </c>
      <c r="S156" s="204" t="n">
        <f aca="false">IF(M156&gt;N156,1,0)</f>
        <v>0</v>
      </c>
      <c r="T156" s="204" t="n">
        <f aca="false">'Revenues &amp; Expenses'!$S$3</f>
        <v>310.66</v>
      </c>
      <c r="U156" s="212" t="n">
        <f aca="false">T156*'Revenues &amp; Expenses'!F164*4</f>
        <v>24852.8</v>
      </c>
      <c r="W156" s="212" t="n">
        <f aca="false">IF(S156&gt;0,(M156-N156)*U156,0)</f>
        <v>0</v>
      </c>
    </row>
    <row r="157" customFormat="false" ht="12.75" hidden="false" customHeight="false" outlineLevel="0" collapsed="false">
      <c r="B157" s="240" t="n">
        <v>41334</v>
      </c>
      <c r="C157" s="218" t="n">
        <f aca="false">VLOOKUP(B157,'Company Gas Prices'!$B$25:$C$259,2)</f>
        <v>3.83541667</v>
      </c>
      <c r="D157" s="180" t="n">
        <f aca="false">VLOOKUP(B157,'Fuel Curve'!$B$7:$F$268,5)</f>
        <v>4.59396551724138</v>
      </c>
      <c r="E157" s="180" t="n">
        <f aca="false">D157-C157</f>
        <v>0.75854884724138</v>
      </c>
      <c r="G157" s="240" t="n">
        <v>41334</v>
      </c>
      <c r="H157" s="180" t="n">
        <f aca="false">VLOOKUP(G157,'Company Power Prices'!$B$25:$C$259,2)</f>
        <v>41.85796283</v>
      </c>
      <c r="I157" s="180" t="n">
        <f aca="false">VLOOKUP(G157,'Super Peak Curve Simulation'!$B$4:$C$225,2)</f>
        <v>36.851618427906</v>
      </c>
      <c r="J157" s="259" t="n">
        <f aca="false">I157-H157</f>
        <v>-5.00634440209396</v>
      </c>
      <c r="L157" s="240" t="n">
        <v>41334</v>
      </c>
      <c r="M157" s="180" t="n">
        <f aca="false">IF($L$1=1,VLOOKUP(L157,'Super Peak Curve Simulation'!$B$7:$N$225,12),VLOOKUP(L157,'PJM Curve Simulation'!$B$9:$J$246,9))</f>
        <v>30.3000007629395</v>
      </c>
      <c r="N157" s="180" t="n">
        <f aca="false">P157+Q157</f>
        <v>46.8522738752898</v>
      </c>
      <c r="P157" s="180" t="n">
        <f aca="false">IF($L$1=1,VLOOKUP(L157,'Fuel Curve'!$B$7:$H$246,7),VLOOKUP(L157,'Revenues &amp; Expenses'!$K$9:$S$246,9))</f>
        <v>44.0055956896552</v>
      </c>
      <c r="Q157" s="180" t="n">
        <f aca="false">'Revenues &amp; Expenses'!$AM$5*1000*'Revenues &amp; Expenses'!O165</f>
        <v>2.84667818563457</v>
      </c>
      <c r="S157" s="204" t="n">
        <f aca="false">IF(M157&gt;N157,1,0)</f>
        <v>0</v>
      </c>
      <c r="T157" s="204" t="n">
        <f aca="false">'Revenues &amp; Expenses'!$S$3</f>
        <v>310.66</v>
      </c>
      <c r="U157" s="212" t="n">
        <f aca="false">T157*'Revenues &amp; Expenses'!F165*4</f>
        <v>27338.08</v>
      </c>
      <c r="W157" s="212" t="n">
        <f aca="false">IF(S157&gt;0,(M157-N157)*U157,0)</f>
        <v>0</v>
      </c>
    </row>
    <row r="158" customFormat="false" ht="12.75" hidden="false" customHeight="false" outlineLevel="0" collapsed="false">
      <c r="B158" s="240" t="n">
        <v>41365</v>
      </c>
      <c r="C158" s="218" t="n">
        <f aca="false">VLOOKUP(B158,'Company Gas Prices'!$B$25:$C$259,2)</f>
        <v>3.98020833</v>
      </c>
      <c r="D158" s="180" t="n">
        <f aca="false">VLOOKUP(B158,'Fuel Curve'!$B$7:$F$268,5)</f>
        <v>4.49396551724138</v>
      </c>
      <c r="E158" s="180" t="n">
        <f aca="false">D158-C158</f>
        <v>0.51375718724138</v>
      </c>
      <c r="G158" s="240" t="n">
        <v>41365</v>
      </c>
      <c r="H158" s="180" t="n">
        <f aca="false">VLOOKUP(G158,'Company Power Prices'!$B$25:$C$259,2)</f>
        <v>46.34745426</v>
      </c>
      <c r="I158" s="180" t="n">
        <f aca="false">VLOOKUP(G158,'Super Peak Curve Simulation'!$B$4:$C$225,2)</f>
        <v>34.1159467491353</v>
      </c>
      <c r="J158" s="259" t="n">
        <f aca="false">I158-H158</f>
        <v>-12.2315075108647</v>
      </c>
      <c r="L158" s="240" t="n">
        <v>41365</v>
      </c>
      <c r="M158" s="180" t="n">
        <f aca="false">IF($L$1=1,VLOOKUP(L158,'Super Peak Curve Simulation'!$B$7:$N$225,12),VLOOKUP(L158,'PJM Curve Simulation'!$B$9:$J$246,9))</f>
        <v>30.0750007629395</v>
      </c>
      <c r="N158" s="180" t="n">
        <f aca="false">P158+Q158</f>
        <v>45.9007009799234</v>
      </c>
      <c r="P158" s="180" t="n">
        <f aca="false">IF($L$1=1,VLOOKUP(L158,'Fuel Curve'!$B$7:$H$246,7),VLOOKUP(L158,'Revenues &amp; Expenses'!$K$9:$S$246,9))</f>
        <v>43.0476956896552</v>
      </c>
      <c r="Q158" s="180" t="n">
        <f aca="false">'Revenues &amp; Expenses'!$AM$5*1000*'Revenues &amp; Expenses'!O166</f>
        <v>2.85300529026821</v>
      </c>
      <c r="S158" s="204" t="n">
        <f aca="false">IF(M158&gt;N158,1,0)</f>
        <v>0</v>
      </c>
      <c r="T158" s="204" t="n">
        <f aca="false">'Revenues &amp; Expenses'!$S$3</f>
        <v>310.66</v>
      </c>
      <c r="U158" s="212" t="n">
        <f aca="false">T158*'Revenues &amp; Expenses'!F166*4</f>
        <v>26095.44</v>
      </c>
      <c r="W158" s="212" t="n">
        <f aca="false">IF(S158&gt;0,(M158-N158)*U158,0)</f>
        <v>0</v>
      </c>
    </row>
    <row r="159" customFormat="false" ht="12.75" hidden="false" customHeight="false" outlineLevel="0" collapsed="false">
      <c r="B159" s="240" t="n">
        <v>41395</v>
      </c>
      <c r="C159" s="218" t="n">
        <f aca="false">VLOOKUP(B159,'Company Gas Prices'!$B$25:$C$259,2)</f>
        <v>3.81770833</v>
      </c>
      <c r="D159" s="180" t="n">
        <f aca="false">VLOOKUP(B159,'Fuel Curve'!$B$7:$F$268,5)</f>
        <v>4.42672413793104</v>
      </c>
      <c r="E159" s="180" t="n">
        <f aca="false">D159-C159</f>
        <v>0.609015807931035</v>
      </c>
      <c r="G159" s="240" t="n">
        <v>41395</v>
      </c>
      <c r="H159" s="180" t="n">
        <f aca="false">VLOOKUP(G159,'Company Power Prices'!$B$25:$C$259,2)</f>
        <v>54.78527328</v>
      </c>
      <c r="I159" s="180" t="n">
        <f aca="false">VLOOKUP(G159,'Super Peak Curve Simulation'!$B$4:$C$225,2)</f>
        <v>41.7988944230238</v>
      </c>
      <c r="J159" s="259" t="n">
        <f aca="false">I159-H159</f>
        <v>-12.9863788569762</v>
      </c>
      <c r="L159" s="240" t="n">
        <v>41395</v>
      </c>
      <c r="M159" s="180" t="n">
        <f aca="false">IF($L$1=1,VLOOKUP(L159,'Super Peak Curve Simulation'!$B$7:$N$225,12),VLOOKUP(L159,'PJM Curve Simulation'!$B$9:$J$246,9))</f>
        <v>38.075</v>
      </c>
      <c r="N159" s="180" t="n">
        <f aca="false">P159+Q159</f>
        <v>45.2629369749387</v>
      </c>
      <c r="P159" s="180" t="n">
        <f aca="false">IF($L$1=1,VLOOKUP(L159,'Fuel Curve'!$B$7:$H$246,7),VLOOKUP(L159,'Revenues &amp; Expenses'!$K$9:$S$246,9))</f>
        <v>42.4035905172414</v>
      </c>
      <c r="Q159" s="180" t="n">
        <f aca="false">'Revenues &amp; Expenses'!$AM$5*1000*'Revenues &amp; Expenses'!O167</f>
        <v>2.8593464576973</v>
      </c>
      <c r="S159" s="204" t="n">
        <f aca="false">IF(M159&gt;N159,1,0)</f>
        <v>0</v>
      </c>
      <c r="T159" s="204" t="n">
        <f aca="false">'Revenues &amp; Expenses'!$S$3</f>
        <v>310.66</v>
      </c>
      <c r="U159" s="212" t="n">
        <f aca="false">T159*'Revenues &amp; Expenses'!F167*4</f>
        <v>28580.72</v>
      </c>
      <c r="W159" s="212" t="n">
        <f aca="false">IF(S159&gt;0,(M159-N159)*U159,0)</f>
        <v>0</v>
      </c>
    </row>
    <row r="160" customFormat="false" ht="12.75" hidden="false" customHeight="false" outlineLevel="0" collapsed="false">
      <c r="B160" s="240" t="n">
        <v>41426</v>
      </c>
      <c r="C160" s="218" t="n">
        <f aca="false">VLOOKUP(B160,'Company Gas Prices'!$B$25:$C$259,2)</f>
        <v>3.809375</v>
      </c>
      <c r="D160" s="180" t="n">
        <f aca="false">VLOOKUP(B160,'Fuel Curve'!$B$7:$F$268,5)</f>
        <v>4.42017241379311</v>
      </c>
      <c r="E160" s="180" t="n">
        <f aca="false">D160-C160</f>
        <v>0.610797413793105</v>
      </c>
      <c r="G160" s="240" t="n">
        <v>41426</v>
      </c>
      <c r="H160" s="180" t="n">
        <f aca="false">VLOOKUP(G160,'Company Power Prices'!$B$25:$C$259,2)</f>
        <v>97.5558604</v>
      </c>
      <c r="I160" s="180" t="n">
        <f aca="false">VLOOKUP(G160,'Super Peak Curve Simulation'!$B$4:$C$225,2)</f>
        <v>79.7146045005327</v>
      </c>
      <c r="J160" s="259" t="n">
        <f aca="false">I160-H160</f>
        <v>-17.8412558994673</v>
      </c>
      <c r="L160" s="240" t="n">
        <v>41426</v>
      </c>
      <c r="M160" s="180" t="n">
        <f aca="false">IF($L$1=1,VLOOKUP(L160,'Super Peak Curve Simulation'!$B$7:$N$225,12),VLOOKUP(L160,'PJM Curve Simulation'!$B$9:$J$246,9))</f>
        <v>64.5999984741211</v>
      </c>
      <c r="N160" s="180" t="n">
        <f aca="false">P160+Q160</f>
        <v>45.2065332709024</v>
      </c>
      <c r="P160" s="180" t="n">
        <f aca="false">IF($L$1=1,VLOOKUP(L160,'Fuel Curve'!$B$7:$H$246,7),VLOOKUP(L160,'Revenues &amp; Expenses'!$K$9:$S$246,9))</f>
        <v>42.3408315517242</v>
      </c>
      <c r="Q160" s="180" t="n">
        <f aca="false">'Revenues &amp; Expenses'!$AM$5*1000*'Revenues &amp; Expenses'!O168</f>
        <v>2.86570171917821</v>
      </c>
      <c r="S160" s="204" t="n">
        <f aca="false">IF(M160&gt;N160,1,0)</f>
        <v>1</v>
      </c>
      <c r="T160" s="204" t="n">
        <f aca="false">'Revenues &amp; Expenses'!$S$3</f>
        <v>310.66</v>
      </c>
      <c r="U160" s="212" t="n">
        <f aca="false">T160*'Revenues &amp; Expenses'!F168*4</f>
        <v>26095.44</v>
      </c>
      <c r="W160" s="212" t="n">
        <f aca="false">IF(S160&gt;0,(M160-N160)*U160,0)</f>
        <v>506081.007602682</v>
      </c>
    </row>
    <row r="161" customFormat="false" ht="12.75" hidden="false" customHeight="false" outlineLevel="0" collapsed="false">
      <c r="B161" s="240" t="n">
        <v>41456</v>
      </c>
      <c r="C161" s="218" t="n">
        <f aca="false">VLOOKUP(B161,'Company Gas Prices'!$B$25:$C$259,2)</f>
        <v>3.771875</v>
      </c>
      <c r="D161" s="180" t="n">
        <f aca="false">VLOOKUP(B161,'Fuel Curve'!$B$7:$F$268,5)</f>
        <v>4.47741379310345</v>
      </c>
      <c r="E161" s="180" t="n">
        <f aca="false">D161-C161</f>
        <v>0.705538793103449</v>
      </c>
      <c r="G161" s="240" t="n">
        <v>41456</v>
      </c>
      <c r="H161" s="180" t="n">
        <f aca="false">VLOOKUP(G161,'Company Power Prices'!$B$25:$C$259,2)</f>
        <v>145.9959256</v>
      </c>
      <c r="I161" s="180" t="n">
        <f aca="false">VLOOKUP(G161,'Super Peak Curve Simulation'!$B$4:$C$225,2)</f>
        <v>149.295573306043</v>
      </c>
      <c r="J161" s="259" t="n">
        <f aca="false">I161-H161</f>
        <v>3.29964770604337</v>
      </c>
      <c r="L161" s="240" t="n">
        <v>41456</v>
      </c>
      <c r="M161" s="180" t="n">
        <f aca="false">IF($L$1=1,VLOOKUP(L161,'Super Peak Curve Simulation'!$B$7:$N$225,12),VLOOKUP(L161,'PJM Curve Simulation'!$B$9:$J$246,9))</f>
        <v>113.699996948242</v>
      </c>
      <c r="N161" s="180" t="n">
        <f aca="false">P161+Q161</f>
        <v>45.7612178301747</v>
      </c>
      <c r="P161" s="180" t="n">
        <f aca="false">IF($L$1=1,VLOOKUP(L161,'Fuel Curve'!$B$7:$H$246,7),VLOOKUP(L161,'Revenues &amp; Expenses'!$K$9:$S$246,9))</f>
        <v>42.8891467241379</v>
      </c>
      <c r="Q161" s="180" t="n">
        <f aca="false">'Revenues &amp; Expenses'!$AM$5*1000*'Revenues &amp; Expenses'!O169</f>
        <v>2.87207110603674</v>
      </c>
      <c r="S161" s="204" t="n">
        <f aca="false">IF(M161&gt;N161,1,0)</f>
        <v>1</v>
      </c>
      <c r="T161" s="204" t="n">
        <f aca="false">'Revenues &amp; Expenses'!$S$3</f>
        <v>310.66</v>
      </c>
      <c r="U161" s="212" t="n">
        <f aca="false">T161*'Revenues &amp; Expenses'!F169*4</f>
        <v>27338.08</v>
      </c>
      <c r="W161" s="212" t="n">
        <f aca="false">IF(S161&gt;0,(M161-N161)*U161,0)</f>
        <v>1857315.77863206</v>
      </c>
    </row>
    <row r="162" customFormat="false" ht="12.75" hidden="false" customHeight="false" outlineLevel="0" collapsed="false">
      <c r="B162" s="240" t="n">
        <v>41487</v>
      </c>
      <c r="C162" s="218" t="n">
        <f aca="false">VLOOKUP(B162,'Company Gas Prices'!$B$25:$C$259,2)</f>
        <v>3.771875</v>
      </c>
      <c r="D162" s="180" t="n">
        <f aca="false">VLOOKUP(B162,'Fuel Curve'!$B$7:$F$268,5)</f>
        <v>4.56793103448276</v>
      </c>
      <c r="E162" s="180" t="n">
        <f aca="false">D162-C162</f>
        <v>0.796056034482759</v>
      </c>
      <c r="G162" s="240" t="n">
        <v>41487</v>
      </c>
      <c r="H162" s="180" t="n">
        <f aca="false">VLOOKUP(G162,'Company Power Prices'!$B$25:$C$259,2)</f>
        <v>145.9959256</v>
      </c>
      <c r="I162" s="180" t="n">
        <f aca="false">VLOOKUP(G162,'Super Peak Curve Simulation'!$B$4:$C$225,2)</f>
        <v>123.593123286161</v>
      </c>
      <c r="J162" s="259" t="n">
        <f aca="false">I162-H162</f>
        <v>-22.4028023138389</v>
      </c>
      <c r="L162" s="240" t="n">
        <v>41487</v>
      </c>
      <c r="M162" s="180" t="n">
        <f aca="false">IF($L$1=1,VLOOKUP(L162,'Super Peak Curve Simulation'!$B$7:$N$225,12),VLOOKUP(L162,'PJM Curve Simulation'!$B$9:$J$246,9))</f>
        <v>100.699996948242</v>
      </c>
      <c r="N162" s="180" t="n">
        <f aca="false">P162+Q162</f>
        <v>46.6346660289787</v>
      </c>
      <c r="P162" s="180" t="n">
        <f aca="false">IF($L$1=1,VLOOKUP(L162,'Fuel Curve'!$B$7:$H$246,7),VLOOKUP(L162,'Revenues &amp; Expenses'!$K$9:$S$246,9))</f>
        <v>43.7562113793104</v>
      </c>
      <c r="Q162" s="180" t="n">
        <f aca="false">'Revenues &amp; Expenses'!$AM$5*1000*'Revenues &amp; Expenses'!O170</f>
        <v>2.87845464966835</v>
      </c>
      <c r="S162" s="204" t="n">
        <f aca="false">IF(M162&gt;N162,1,0)</f>
        <v>1</v>
      </c>
      <c r="T162" s="204" t="n">
        <f aca="false">'Revenues &amp; Expenses'!$S$3</f>
        <v>310.66</v>
      </c>
      <c r="U162" s="212" t="n">
        <f aca="false">T162*'Revenues &amp; Expenses'!F170*4</f>
        <v>28580.72</v>
      </c>
      <c r="W162" s="212" t="n">
        <f aca="false">IF(S162&gt;0,(M162-N162)*U162,0)</f>
        <v>1545226.08471081</v>
      </c>
    </row>
    <row r="163" customFormat="false" ht="12.75" hidden="false" customHeight="false" outlineLevel="0" collapsed="false">
      <c r="B163" s="240" t="n">
        <v>41518</v>
      </c>
      <c r="C163" s="218" t="n">
        <f aca="false">VLOOKUP(B163,'Company Gas Prices'!$B$25:$C$259,2)</f>
        <v>3.81770833</v>
      </c>
      <c r="D163" s="180" t="n">
        <f aca="false">VLOOKUP(B163,'Fuel Curve'!$B$7:$F$268,5)</f>
        <v>4.66275862068966</v>
      </c>
      <c r="E163" s="180" t="n">
        <f aca="false">D163-C163</f>
        <v>0.845050290689656</v>
      </c>
      <c r="G163" s="240" t="n">
        <v>41518</v>
      </c>
      <c r="H163" s="180" t="n">
        <f aca="false">VLOOKUP(G163,'Company Power Prices'!$B$25:$C$259,2)</f>
        <v>54.78527328</v>
      </c>
      <c r="I163" s="180" t="n">
        <f aca="false">VLOOKUP(G163,'Super Peak Curve Simulation'!$B$4:$C$225,2)</f>
        <v>43.8061405479375</v>
      </c>
      <c r="J163" s="259" t="n">
        <f aca="false">I163-H163</f>
        <v>-10.9791327320625</v>
      </c>
      <c r="L163" s="240" t="n">
        <v>41518</v>
      </c>
      <c r="M163" s="180" t="n">
        <f aca="false">IF($L$1=1,VLOOKUP(L163,'Super Peak Curve Simulation'!$B$7:$N$225,12),VLOOKUP(L163,'PJM Curve Simulation'!$B$9:$J$246,9))</f>
        <v>37.9249984741211</v>
      </c>
      <c r="N163" s="180" t="n">
        <f aca="false">P163+Q163</f>
        <v>47.5494172091245</v>
      </c>
      <c r="P163" s="180" t="n">
        <f aca="false">IF($L$1=1,VLOOKUP(L163,'Fuel Curve'!$B$7:$H$246,7),VLOOKUP(L163,'Revenues &amp; Expenses'!$K$9:$S$246,9))</f>
        <v>44.6645648275862</v>
      </c>
      <c r="Q163" s="180" t="n">
        <f aca="false">'Revenues &amp; Expenses'!$AM$5*1000*'Revenues &amp; Expenses'!O171</f>
        <v>2.88485238153827</v>
      </c>
      <c r="S163" s="204" t="n">
        <f aca="false">IF(M163&gt;N163,1,0)</f>
        <v>0</v>
      </c>
      <c r="T163" s="204" t="n">
        <f aca="false">'Revenues &amp; Expenses'!$S$3</f>
        <v>310.66</v>
      </c>
      <c r="U163" s="212" t="n">
        <f aca="false">T163*'Revenues &amp; Expenses'!F171*4</f>
        <v>24852.8</v>
      </c>
      <c r="W163" s="212" t="n">
        <f aca="false">IF(S163&gt;0,(M163-N163)*U163,0)</f>
        <v>0</v>
      </c>
    </row>
    <row r="164" customFormat="false" ht="12.75" hidden="false" customHeight="false" outlineLevel="0" collapsed="false">
      <c r="B164" s="240" t="n">
        <v>41548</v>
      </c>
      <c r="C164" s="218" t="n">
        <f aca="false">VLOOKUP(B164,'Company Gas Prices'!$B$25:$C$259,2)</f>
        <v>3.778125</v>
      </c>
      <c r="D164" s="180" t="n">
        <f aca="false">VLOOKUP(B164,'Fuel Curve'!$B$7:$F$268,5)</f>
        <v>4.75534482758621</v>
      </c>
      <c r="E164" s="180" t="n">
        <f aca="false">D164-C164</f>
        <v>0.977219827586207</v>
      </c>
      <c r="G164" s="240" t="n">
        <v>41548</v>
      </c>
      <c r="H164" s="180" t="n">
        <f aca="false">VLOOKUP(G164,'Company Power Prices'!$B$25:$C$259,2)</f>
        <v>48.17909686</v>
      </c>
      <c r="I164" s="180" t="n">
        <f aca="false">VLOOKUP(G164,'Super Peak Curve Simulation'!$B$4:$C$225,2)</f>
        <v>36.210898573122</v>
      </c>
      <c r="J164" s="259" t="n">
        <f aca="false">I164-H164</f>
        <v>-11.968198286878</v>
      </c>
      <c r="L164" s="240" t="n">
        <v>41548</v>
      </c>
      <c r="M164" s="180" t="n">
        <f aca="false">IF($L$1=1,VLOOKUP(L164,'Super Peak Curve Simulation'!$B$7:$N$225,12),VLOOKUP(L164,'PJM Curve Simulation'!$B$9:$J$246,9))</f>
        <v>30.8250003814697</v>
      </c>
      <c r="N164" s="180" t="n">
        <f aca="false">P164+Q164</f>
        <v>48.4427124366299</v>
      </c>
      <c r="P164" s="180" t="n">
        <f aca="false">IF($L$1=1,VLOOKUP(L164,'Fuel Curve'!$B$7:$H$246,7),VLOOKUP(L164,'Revenues &amp; Expenses'!$K$9:$S$246,9))</f>
        <v>45.5514481034483</v>
      </c>
      <c r="Q164" s="180" t="n">
        <f aca="false">'Revenues &amp; Expenses'!$AM$5*1000*'Revenues &amp; Expenses'!O172</f>
        <v>2.89126433318167</v>
      </c>
      <c r="S164" s="204" t="n">
        <f aca="false">IF(M164&gt;N164,1,0)</f>
        <v>0</v>
      </c>
      <c r="T164" s="204" t="n">
        <f aca="false">'Revenues &amp; Expenses'!$S$3</f>
        <v>310.66</v>
      </c>
      <c r="U164" s="212" t="n">
        <f aca="false">T164*'Revenues &amp; Expenses'!F172*4</f>
        <v>28580.72</v>
      </c>
      <c r="W164" s="212" t="n">
        <f aca="false">IF(S164&gt;0,(M164-N164)*U164,0)</f>
        <v>0</v>
      </c>
    </row>
    <row r="165" customFormat="false" ht="12.75" hidden="false" customHeight="false" outlineLevel="0" collapsed="false">
      <c r="B165" s="240" t="n">
        <v>41579</v>
      </c>
      <c r="C165" s="218" t="n">
        <f aca="false">VLOOKUP(B165,'Company Gas Prices'!$B$25:$C$259,2)</f>
        <v>3.778125</v>
      </c>
      <c r="D165" s="180" t="n">
        <f aca="false">VLOOKUP(B165,'Fuel Curve'!$B$7:$F$268,5)</f>
        <v>4.80465517241379</v>
      </c>
      <c r="E165" s="180" t="n">
        <f aca="false">D165-C165</f>
        <v>1.02653017241379</v>
      </c>
      <c r="G165" s="240" t="n">
        <v>41579</v>
      </c>
      <c r="H165" s="180" t="n">
        <f aca="false">VLOOKUP(G165,'Company Power Prices'!$B$25:$C$259,2)</f>
        <v>50.34494315</v>
      </c>
      <c r="I165" s="180" t="n">
        <f aca="false">VLOOKUP(G165,'Super Peak Curve Simulation'!$B$4:$C$225,2)</f>
        <v>36.3171843472672</v>
      </c>
      <c r="J165" s="259" t="n">
        <f aca="false">I165-H165</f>
        <v>-14.0277588027328</v>
      </c>
      <c r="L165" s="240" t="n">
        <v>41579</v>
      </c>
      <c r="M165" s="180" t="n">
        <f aca="false">IF($L$1=1,VLOOKUP(L165,'Super Peak Curve Simulation'!$B$7:$N$225,12),VLOOKUP(L165,'PJM Curve Simulation'!$B$9:$J$246,9))</f>
        <v>30.4974990844727</v>
      </c>
      <c r="N165" s="180" t="n">
        <f aca="false">P165+Q165</f>
        <v>48.9214824327555</v>
      </c>
      <c r="P165" s="180" t="n">
        <f aca="false">IF($L$1=1,VLOOKUP(L165,'Fuel Curve'!$B$7:$H$246,7),VLOOKUP(L165,'Revenues &amp; Expenses'!$K$9:$S$246,9))</f>
        <v>46.0237918965517</v>
      </c>
      <c r="Q165" s="180" t="n">
        <f aca="false">'Revenues &amp; Expenses'!$AM$5*1000*'Revenues &amp; Expenses'!O173</f>
        <v>2.8976905362038</v>
      </c>
      <c r="S165" s="204" t="n">
        <f aca="false">IF(M165&gt;N165,1,0)</f>
        <v>0</v>
      </c>
      <c r="T165" s="204" t="n">
        <f aca="false">'Revenues &amp; Expenses'!$S$3</f>
        <v>310.66</v>
      </c>
      <c r="U165" s="212" t="n">
        <f aca="false">T165*'Revenues &amp; Expenses'!F173*4</f>
        <v>27338.08</v>
      </c>
      <c r="W165" s="212" t="n">
        <f aca="false">IF(S165&gt;0,(M165-N165)*U165,0)</f>
        <v>0</v>
      </c>
    </row>
    <row r="166" customFormat="false" ht="12.75" hidden="false" customHeight="false" outlineLevel="0" collapsed="false">
      <c r="B166" s="240" t="n">
        <v>41609</v>
      </c>
      <c r="C166" s="218" t="n">
        <f aca="false">VLOOKUP(B166,'Company Gas Prices'!$B$25:$C$259,2)</f>
        <v>3.778125</v>
      </c>
      <c r="D166" s="180" t="n">
        <f aca="false">VLOOKUP(B166,'Fuel Curve'!$B$7:$F$268,5)</f>
        <v>4.84741379310345</v>
      </c>
      <c r="E166" s="180" t="n">
        <f aca="false">D166-C166</f>
        <v>1.06928879310345</v>
      </c>
      <c r="G166" s="240" t="n">
        <v>41609</v>
      </c>
      <c r="H166" s="180" t="n">
        <f aca="false">VLOOKUP(G166,'Company Power Prices'!$B$25:$C$259,2)</f>
        <v>50.34494315</v>
      </c>
      <c r="I166" s="180" t="n">
        <f aca="false">VLOOKUP(G166,'Super Peak Curve Simulation'!$B$4:$C$225,2)</f>
        <v>38.8923350019566</v>
      </c>
      <c r="J166" s="259" t="n">
        <f aca="false">I166-H166</f>
        <v>-11.4526081480434</v>
      </c>
      <c r="L166" s="240" t="n">
        <v>41609</v>
      </c>
      <c r="M166" s="180" t="n">
        <f aca="false">IF($L$1=1,VLOOKUP(L166,'Super Peak Curve Simulation'!$B$7:$N$225,12),VLOOKUP(L166,'PJM Curve Simulation'!$B$9:$J$246,9))</f>
        <v>32.2499996185303</v>
      </c>
      <c r="N166" s="180" t="n">
        <f aca="false">P166+Q166</f>
        <v>49.3375077464181</v>
      </c>
      <c r="P166" s="180" t="n">
        <f aca="false">IF($L$1=1,VLOOKUP(L166,'Fuel Curve'!$B$7:$H$246,7),VLOOKUP(L166,'Revenues &amp; Expenses'!$K$9:$S$246,9))</f>
        <v>46.4333767241379</v>
      </c>
      <c r="Q166" s="180" t="n">
        <f aca="false">'Revenues &amp; Expenses'!$AM$5*1000*'Revenues &amp; Expenses'!O174</f>
        <v>2.90413102228017</v>
      </c>
      <c r="S166" s="204" t="n">
        <f aca="false">IF(M166&gt;N166,1,0)</f>
        <v>0</v>
      </c>
      <c r="T166" s="204" t="n">
        <f aca="false">'Revenues &amp; Expenses'!$S$3</f>
        <v>310.66</v>
      </c>
      <c r="U166" s="212" t="n">
        <f aca="false">T166*'Revenues &amp; Expenses'!F174*4</f>
        <v>26095.44</v>
      </c>
      <c r="W166" s="212" t="n">
        <f aca="false">IF(S166&gt;0,(M166-N166)*U166,0)</f>
        <v>0</v>
      </c>
    </row>
    <row r="167" customFormat="false" ht="12.75" hidden="false" customHeight="false" outlineLevel="0" collapsed="false">
      <c r="B167" s="240" t="n">
        <v>41640</v>
      </c>
      <c r="C167" s="218" t="n">
        <f aca="false">VLOOKUP(B167,'Company Gas Prices'!$B$25:$C$259,2)</f>
        <v>3.83541667</v>
      </c>
      <c r="D167" s="180" t="n">
        <f aca="false">VLOOKUP(B167,'Fuel Curve'!$B$7:$F$268,5)</f>
        <v>4.79017241379311</v>
      </c>
      <c r="E167" s="180" t="n">
        <f aca="false">D167-C167</f>
        <v>0.954755743793105</v>
      </c>
      <c r="G167" s="240" t="n">
        <v>41640</v>
      </c>
      <c r="H167" s="180" t="n">
        <f aca="false">VLOOKUP(G167,'Company Power Prices'!$B$25:$C$259,2)</f>
        <v>47.47247005</v>
      </c>
      <c r="I167" s="180" t="n">
        <f aca="false">VLOOKUP(G167,'Super Peak Curve Simulation'!$B$4:$C$225,2)</f>
        <v>50.0603377433459</v>
      </c>
      <c r="J167" s="259" t="n">
        <f aca="false">I167-H167</f>
        <v>2.58786769334586</v>
      </c>
      <c r="L167" s="240" t="n">
        <v>41640</v>
      </c>
      <c r="M167" s="180" t="n">
        <f aca="false">IF($L$1=1,VLOOKUP(L167,'Super Peak Curve Simulation'!$B$7:$N$225,12),VLOOKUP(L167,'PJM Curve Simulation'!$B$9:$J$246,9))</f>
        <v>40.8249984741211</v>
      </c>
      <c r="N167" s="180" t="n">
        <f aca="false">P167+Q167</f>
        <v>48.7956473748808</v>
      </c>
      <c r="P167" s="180" t="n">
        <f aca="false">IF($L$1=1,VLOOKUP(L167,'Fuel Curve'!$B$7:$H$246,7),VLOOKUP(L167,'Revenues &amp; Expenses'!$K$9:$S$246,9))</f>
        <v>45.8850615517242</v>
      </c>
      <c r="Q167" s="180" t="n">
        <f aca="false">'Revenues &amp; Expenses'!$AM$5*1000*'Revenues &amp; Expenses'!O175</f>
        <v>2.91058582315668</v>
      </c>
      <c r="S167" s="204" t="n">
        <f aca="false">IF(M167&gt;N167,1,0)</f>
        <v>0</v>
      </c>
      <c r="T167" s="204" t="n">
        <f aca="false">'Revenues &amp; Expenses'!$S$3</f>
        <v>310.66</v>
      </c>
      <c r="U167" s="212" t="n">
        <f aca="false">T167*'Revenues &amp; Expenses'!F175*4</f>
        <v>28580.72</v>
      </c>
      <c r="W167" s="212" t="n">
        <f aca="false">IF(S167&gt;0,(M167-N167)*U167,0)</f>
        <v>0</v>
      </c>
    </row>
    <row r="168" customFormat="false" ht="12.75" hidden="false" customHeight="false" outlineLevel="0" collapsed="false">
      <c r="B168" s="240" t="n">
        <v>41671</v>
      </c>
      <c r="C168" s="218" t="n">
        <f aca="false">VLOOKUP(B168,'Company Gas Prices'!$B$25:$C$259,2)</f>
        <v>3.83541667</v>
      </c>
      <c r="D168" s="180" t="n">
        <f aca="false">VLOOKUP(B168,'Fuel Curve'!$B$7:$F$268,5)</f>
        <v>4.69103448275862</v>
      </c>
      <c r="E168" s="180" t="n">
        <f aca="false">D168-C168</f>
        <v>0.855617812758622</v>
      </c>
      <c r="G168" s="240" t="n">
        <v>41671</v>
      </c>
      <c r="H168" s="180" t="n">
        <f aca="false">VLOOKUP(G168,'Company Power Prices'!$B$25:$C$259,2)</f>
        <v>41.81925444</v>
      </c>
      <c r="I168" s="180" t="n">
        <f aca="false">VLOOKUP(G168,'Super Peak Curve Simulation'!$B$4:$C$225,2)</f>
        <v>50.0603377433459</v>
      </c>
      <c r="J168" s="259" t="n">
        <f aca="false">I168-H168</f>
        <v>8.24108330334585</v>
      </c>
      <c r="L168" s="240" t="n">
        <v>41671</v>
      </c>
      <c r="M168" s="180" t="n">
        <f aca="false">IF($L$1=1,VLOOKUP(L168,'Super Peak Curve Simulation'!$B$7:$N$225,12),VLOOKUP(L168,'PJM Curve Simulation'!$B$9:$J$246,9))</f>
        <v>40.8249984741211</v>
      </c>
      <c r="N168" s="180" t="n">
        <f aca="false">P168+Q168</f>
        <v>47.8524742809946</v>
      </c>
      <c r="P168" s="180" t="n">
        <f aca="false">IF($L$1=1,VLOOKUP(L168,'Fuel Curve'!$B$7:$H$246,7),VLOOKUP(L168,'Revenues &amp; Expenses'!$K$9:$S$246,9))</f>
        <v>44.9354193103448</v>
      </c>
      <c r="Q168" s="180" t="n">
        <f aca="false">'Revenues &amp; Expenses'!$AM$5*1000*'Revenues &amp; Expenses'!O176</f>
        <v>2.91705497064979</v>
      </c>
      <c r="S168" s="204" t="n">
        <f aca="false">IF(M168&gt;N168,1,0)</f>
        <v>0</v>
      </c>
      <c r="T168" s="204" t="n">
        <f aca="false">'Revenues &amp; Expenses'!$S$3</f>
        <v>310.66</v>
      </c>
      <c r="U168" s="212" t="n">
        <f aca="false">T168*'Revenues &amp; Expenses'!F176*4</f>
        <v>24852.8</v>
      </c>
      <c r="W168" s="212" t="n">
        <f aca="false">IF(S168&gt;0,(M168-N168)*U168,0)</f>
        <v>0</v>
      </c>
    </row>
    <row r="169" customFormat="false" ht="12.75" hidden="false" customHeight="false" outlineLevel="0" collapsed="false">
      <c r="B169" s="240" t="n">
        <v>41699</v>
      </c>
      <c r="C169" s="218" t="n">
        <f aca="false">VLOOKUP(B169,'Company Gas Prices'!$B$25:$C$259,2)</f>
        <v>3.83541667</v>
      </c>
      <c r="D169" s="180" t="n">
        <f aca="false">VLOOKUP(B169,'Fuel Curve'!$B$7:$F$268,5)</f>
        <v>4.59396551724138</v>
      </c>
      <c r="E169" s="180" t="n">
        <f aca="false">D169-C169</f>
        <v>0.75854884724138</v>
      </c>
      <c r="G169" s="240" t="n">
        <v>41699</v>
      </c>
      <c r="H169" s="180" t="n">
        <f aca="false">VLOOKUP(G169,'Company Power Prices'!$B$25:$C$259,2)</f>
        <v>41.81925444</v>
      </c>
      <c r="I169" s="180" t="n">
        <f aca="false">VLOOKUP(G169,'Super Peak Curve Simulation'!$B$4:$C$225,2)</f>
        <v>37.155674677906</v>
      </c>
      <c r="J169" s="259" t="n">
        <f aca="false">I169-H169</f>
        <v>-4.66357976209397</v>
      </c>
      <c r="L169" s="240" t="n">
        <v>41699</v>
      </c>
      <c r="M169" s="180" t="n">
        <f aca="false">IF($L$1=1,VLOOKUP(L169,'Super Peak Curve Simulation'!$B$7:$N$225,12),VLOOKUP(L169,'PJM Curve Simulation'!$B$9:$J$246,9))</f>
        <v>30.5500007629395</v>
      </c>
      <c r="N169" s="180" t="n">
        <f aca="false">P169+Q169</f>
        <v>46.9291341863019</v>
      </c>
      <c r="P169" s="180" t="n">
        <f aca="false">IF($L$1=1,VLOOKUP(L169,'Fuel Curve'!$B$7:$H$246,7),VLOOKUP(L169,'Revenues &amp; Expenses'!$K$9:$S$246,9))</f>
        <v>44.0055956896552</v>
      </c>
      <c r="Q169" s="180" t="n">
        <f aca="false">'Revenues &amp; Expenses'!$AM$5*1000*'Revenues &amp; Expenses'!O177</f>
        <v>2.9235384966467</v>
      </c>
      <c r="S169" s="204" t="n">
        <f aca="false">IF(M169&gt;N169,1,0)</f>
        <v>0</v>
      </c>
      <c r="T169" s="204" t="n">
        <f aca="false">'Revenues &amp; Expenses'!$S$3</f>
        <v>310.66</v>
      </c>
      <c r="U169" s="212" t="n">
        <f aca="false">T169*'Revenues &amp; Expenses'!F177*4</f>
        <v>26095.44</v>
      </c>
      <c r="W169" s="212" t="n">
        <f aca="false">IF(S169&gt;0,(M169-N169)*U169,0)</f>
        <v>0</v>
      </c>
    </row>
    <row r="170" customFormat="false" ht="12.75" hidden="false" customHeight="false" outlineLevel="0" collapsed="false">
      <c r="B170" s="240" t="n">
        <v>41730</v>
      </c>
      <c r="C170" s="218" t="n">
        <f aca="false">VLOOKUP(B170,'Company Gas Prices'!$B$25:$C$259,2)</f>
        <v>3.98020833</v>
      </c>
      <c r="D170" s="180" t="n">
        <f aca="false">VLOOKUP(B170,'Fuel Curve'!$B$7:$F$268,5)</f>
        <v>4.49396551724138</v>
      </c>
      <c r="E170" s="180" t="n">
        <f aca="false">D170-C170</f>
        <v>0.51375718724138</v>
      </c>
      <c r="G170" s="240" t="n">
        <v>41730</v>
      </c>
      <c r="H170" s="180" t="n">
        <f aca="false">VLOOKUP(G170,'Company Power Prices'!$B$25:$C$259,2)</f>
        <v>46.3648301</v>
      </c>
      <c r="I170" s="180" t="n">
        <f aca="false">VLOOKUP(G170,'Super Peak Curve Simulation'!$B$4:$C$225,2)</f>
        <v>34.3995373217345</v>
      </c>
      <c r="J170" s="259" t="n">
        <f aca="false">I170-H170</f>
        <v>-11.9652927782655</v>
      </c>
      <c r="L170" s="240" t="n">
        <v>41730</v>
      </c>
      <c r="M170" s="180" t="n">
        <f aca="false">IF($L$1=1,VLOOKUP(L170,'Super Peak Curve Simulation'!$B$7:$N$225,12),VLOOKUP(L170,'PJM Curve Simulation'!$B$9:$J$246,9))</f>
        <v>30.3250007629395</v>
      </c>
      <c r="N170" s="180" t="n">
        <f aca="false">P170+Q170</f>
        <v>45.9777321227606</v>
      </c>
      <c r="P170" s="180" t="n">
        <f aca="false">IF($L$1=1,VLOOKUP(L170,'Fuel Curve'!$B$7:$H$246,7),VLOOKUP(L170,'Revenues &amp; Expenses'!$K$9:$S$246,9))</f>
        <v>43.0476956896552</v>
      </c>
      <c r="Q170" s="180" t="n">
        <f aca="false">'Revenues &amp; Expenses'!$AM$5*1000*'Revenues &amp; Expenses'!O178</f>
        <v>2.93003643310545</v>
      </c>
      <c r="S170" s="204" t="n">
        <f aca="false">IF(M170&gt;N170,1,0)</f>
        <v>0</v>
      </c>
      <c r="T170" s="204" t="n">
        <f aca="false">'Revenues &amp; Expenses'!$S$3</f>
        <v>310.66</v>
      </c>
      <c r="U170" s="212" t="n">
        <f aca="false">T170*'Revenues &amp; Expenses'!F178*4</f>
        <v>27338.08</v>
      </c>
      <c r="W170" s="212" t="n">
        <f aca="false">IF(S170&gt;0,(M170-N170)*U170,0)</f>
        <v>0</v>
      </c>
    </row>
    <row r="171" customFormat="false" ht="12.75" hidden="false" customHeight="false" outlineLevel="0" collapsed="false">
      <c r="B171" s="240" t="n">
        <v>41760</v>
      </c>
      <c r="C171" s="218" t="n">
        <f aca="false">VLOOKUP(B171,'Company Gas Prices'!$B$25:$C$259,2)</f>
        <v>3.81770833</v>
      </c>
      <c r="D171" s="180" t="n">
        <f aca="false">VLOOKUP(B171,'Fuel Curve'!$B$7:$F$268,5)</f>
        <v>4.42672413793104</v>
      </c>
      <c r="E171" s="180" t="n">
        <f aca="false">D171-C171</f>
        <v>0.609015807931035</v>
      </c>
      <c r="G171" s="240" t="n">
        <v>41760</v>
      </c>
      <c r="H171" s="180" t="n">
        <f aca="false">VLOOKUP(G171,'Company Power Prices'!$B$25:$C$259,2)</f>
        <v>56.34821191</v>
      </c>
      <c r="I171" s="180" t="n">
        <f aca="false">VLOOKUP(G171,'Super Peak Curve Simulation'!$B$4:$C$225,2)</f>
        <v>42.0733454697935</v>
      </c>
      <c r="J171" s="259" t="n">
        <f aca="false">I171-H171</f>
        <v>-14.2748664402065</v>
      </c>
      <c r="L171" s="240" t="n">
        <v>41760</v>
      </c>
      <c r="M171" s="180" t="n">
        <f aca="false">IF($L$1=1,VLOOKUP(L171,'Super Peak Curve Simulation'!$B$7:$N$225,12),VLOOKUP(L171,'PJM Curve Simulation'!$B$9:$J$246,9))</f>
        <v>38.325</v>
      </c>
      <c r="N171" s="180" t="n">
        <f aca="false">P171+Q171</f>
        <v>45.3401393292965</v>
      </c>
      <c r="P171" s="180" t="n">
        <f aca="false">IF($L$1=1,VLOOKUP(L171,'Fuel Curve'!$B$7:$H$246,7),VLOOKUP(L171,'Revenues &amp; Expenses'!$K$9:$S$246,9))</f>
        <v>42.4035905172414</v>
      </c>
      <c r="Q171" s="180" t="n">
        <f aca="false">'Revenues &amp; Expenses'!$AM$5*1000*'Revenues &amp; Expenses'!O179</f>
        <v>2.93654881205513</v>
      </c>
      <c r="S171" s="204" t="n">
        <f aca="false">IF(M171&gt;N171,1,0)</f>
        <v>0</v>
      </c>
      <c r="T171" s="204" t="n">
        <f aca="false">'Revenues &amp; Expenses'!$S$3</f>
        <v>310.66</v>
      </c>
      <c r="U171" s="212" t="n">
        <f aca="false">T171*'Revenues &amp; Expenses'!F179*4</f>
        <v>28580.72</v>
      </c>
      <c r="W171" s="212" t="n">
        <f aca="false">IF(S171&gt;0,(M171-N171)*U171,0)</f>
        <v>0</v>
      </c>
    </row>
    <row r="172" customFormat="false" ht="12.75" hidden="false" customHeight="false" outlineLevel="0" collapsed="false">
      <c r="B172" s="240" t="n">
        <v>41791</v>
      </c>
      <c r="C172" s="218" t="n">
        <f aca="false">VLOOKUP(B172,'Company Gas Prices'!$B$25:$C$259,2)</f>
        <v>3.809375</v>
      </c>
      <c r="D172" s="180" t="n">
        <f aca="false">VLOOKUP(B172,'Fuel Curve'!$B$7:$F$268,5)</f>
        <v>4.42017241379311</v>
      </c>
      <c r="E172" s="180" t="n">
        <f aca="false">D172-C172</f>
        <v>0.610797413793105</v>
      </c>
      <c r="G172" s="240" t="n">
        <v>41791</v>
      </c>
      <c r="H172" s="180" t="n">
        <f aca="false">VLOOKUP(G172,'Company Power Prices'!$B$25:$C$259,2)</f>
        <v>102.0899655</v>
      </c>
      <c r="I172" s="180" t="n">
        <f aca="false">VLOOKUP(G172,'Super Peak Curve Simulation'!$B$4:$C$225,2)</f>
        <v>80.6400836768109</v>
      </c>
      <c r="J172" s="259" t="n">
        <f aca="false">I172-H172</f>
        <v>-21.4498818231891</v>
      </c>
      <c r="L172" s="240" t="n">
        <v>41791</v>
      </c>
      <c r="M172" s="180" t="n">
        <f aca="false">IF($L$1=1,VLOOKUP(L172,'Super Peak Curve Simulation'!$B$7:$N$225,12),VLOOKUP(L172,'PJM Curve Simulation'!$B$9:$J$246,9))</f>
        <v>65.3499984741211</v>
      </c>
      <c r="N172" s="180" t="n">
        <f aca="false">P172+Q172</f>
        <v>45.2839072173202</v>
      </c>
      <c r="P172" s="180" t="n">
        <f aca="false">IF($L$1=1,VLOOKUP(L172,'Fuel Curve'!$B$7:$H$246,7),VLOOKUP(L172,'Revenues &amp; Expenses'!$K$9:$S$246,9))</f>
        <v>42.3408315517242</v>
      </c>
      <c r="Q172" s="180" t="n">
        <f aca="false">'Revenues &amp; Expenses'!$AM$5*1000*'Revenues &amp; Expenses'!O180</f>
        <v>2.94307566559602</v>
      </c>
      <c r="S172" s="204" t="n">
        <f aca="false">IF(M172&gt;N172,1,0)</f>
        <v>1</v>
      </c>
      <c r="T172" s="204" t="n">
        <f aca="false">'Revenues &amp; Expenses'!$S$3</f>
        <v>310.66</v>
      </c>
      <c r="U172" s="212" t="n">
        <f aca="false">T172*'Revenues &amp; Expenses'!F180*4</f>
        <v>24852.8</v>
      </c>
      <c r="W172" s="212" t="n">
        <f aca="false">IF(S172&gt;0,(M172-N172)*U172,0)</f>
        <v>498698.552787022</v>
      </c>
    </row>
    <row r="173" customFormat="false" ht="12.75" hidden="false" customHeight="false" outlineLevel="0" collapsed="false">
      <c r="B173" s="240" t="n">
        <v>41821</v>
      </c>
      <c r="C173" s="218" t="n">
        <f aca="false">VLOOKUP(B173,'Company Gas Prices'!$B$25:$C$259,2)</f>
        <v>3.771875</v>
      </c>
      <c r="D173" s="180" t="n">
        <f aca="false">VLOOKUP(B173,'Fuel Curve'!$B$7:$F$268,5)</f>
        <v>4.47741379310345</v>
      </c>
      <c r="E173" s="180" t="n">
        <f aca="false">D173-C173</f>
        <v>0.705538793103449</v>
      </c>
      <c r="G173" s="240" t="n">
        <v>41821</v>
      </c>
      <c r="H173" s="180" t="n">
        <f aca="false">VLOOKUP(G173,'Company Power Prices'!$B$25:$C$259,2)</f>
        <v>158.1097812</v>
      </c>
      <c r="I173" s="180" t="n">
        <f aca="false">VLOOKUP(G173,'Super Peak Curve Simulation'!$B$4:$C$225,2)</f>
        <v>152.249971273983</v>
      </c>
      <c r="J173" s="259" t="n">
        <f aca="false">I173-H173</f>
        <v>-5.85980992601728</v>
      </c>
      <c r="L173" s="240" t="n">
        <v>41821</v>
      </c>
      <c r="M173" s="180" t="n">
        <f aca="false">IF($L$1=1,VLOOKUP(L173,'Super Peak Curve Simulation'!$B$7:$N$225,12),VLOOKUP(L173,'PJM Curve Simulation'!$B$9:$J$246,9))</f>
        <v>115.949996948242</v>
      </c>
      <c r="N173" s="180" t="n">
        <f aca="false">P173+Q173</f>
        <v>45.8387637500377</v>
      </c>
      <c r="P173" s="180" t="n">
        <f aca="false">IF($L$1=1,VLOOKUP(L173,'Fuel Curve'!$B$7:$H$246,7),VLOOKUP(L173,'Revenues &amp; Expenses'!$K$9:$S$246,9))</f>
        <v>42.8891467241379</v>
      </c>
      <c r="Q173" s="180" t="n">
        <f aca="false">'Revenues &amp; Expenses'!$AM$5*1000*'Revenues &amp; Expenses'!O181</f>
        <v>2.94961702589973</v>
      </c>
      <c r="S173" s="204" t="n">
        <f aca="false">IF(M173&gt;N173,1,0)</f>
        <v>1</v>
      </c>
      <c r="T173" s="204" t="n">
        <f aca="false">'Revenues &amp; Expenses'!$S$3</f>
        <v>310.66</v>
      </c>
      <c r="U173" s="212" t="n">
        <f aca="false">T173*'Revenues &amp; Expenses'!F181*4</f>
        <v>28580.72</v>
      </c>
      <c r="W173" s="212" t="n">
        <f aca="false">IF(S173&gt;0,(M173-N173)*U173,0)</f>
        <v>2003829.52489259</v>
      </c>
    </row>
    <row r="174" customFormat="false" ht="12.75" hidden="false" customHeight="false" outlineLevel="0" collapsed="false">
      <c r="B174" s="240" t="n">
        <v>41852</v>
      </c>
      <c r="C174" s="218" t="n">
        <f aca="false">VLOOKUP(B174,'Company Gas Prices'!$B$25:$C$259,2)</f>
        <v>3.771875</v>
      </c>
      <c r="D174" s="180" t="n">
        <f aca="false">VLOOKUP(B174,'Fuel Curve'!$B$7:$F$268,5)</f>
        <v>4.56793103448276</v>
      </c>
      <c r="E174" s="180" t="n">
        <f aca="false">D174-C174</f>
        <v>0.796056034482759</v>
      </c>
      <c r="G174" s="240" t="n">
        <v>41852</v>
      </c>
      <c r="H174" s="180" t="n">
        <f aca="false">VLOOKUP(G174,'Company Power Prices'!$B$25:$C$259,2)</f>
        <v>158.1097812</v>
      </c>
      <c r="I174" s="180" t="n">
        <f aca="false">VLOOKUP(G174,'Super Peak Curve Simulation'!$B$4:$C$225,2)</f>
        <v>126.35463804109</v>
      </c>
      <c r="J174" s="259" t="n">
        <f aca="false">I174-H174</f>
        <v>-31.7551431589101</v>
      </c>
      <c r="L174" s="240" t="n">
        <v>41852</v>
      </c>
      <c r="M174" s="180" t="n">
        <f aca="false">IF($L$1=1,VLOOKUP(L174,'Super Peak Curve Simulation'!$B$7:$N$225,12),VLOOKUP(L174,'PJM Curve Simulation'!$B$9:$J$246,9))</f>
        <v>102.949996948242</v>
      </c>
      <c r="N174" s="180" t="n">
        <f aca="false">P174+Q174</f>
        <v>46.7123843045198</v>
      </c>
      <c r="P174" s="180" t="n">
        <f aca="false">IF($L$1=1,VLOOKUP(L174,'Fuel Curve'!$B$7:$H$246,7),VLOOKUP(L174,'Revenues &amp; Expenses'!$K$9:$S$246,9))</f>
        <v>43.7562113793104</v>
      </c>
      <c r="Q174" s="180" t="n">
        <f aca="false">'Revenues &amp; Expenses'!$AM$5*1000*'Revenues &amp; Expenses'!O182</f>
        <v>2.95617292520939</v>
      </c>
      <c r="S174" s="204" t="n">
        <f aca="false">IF(M174&gt;N174,1,0)</f>
        <v>1</v>
      </c>
      <c r="T174" s="204" t="n">
        <f aca="false">'Revenues &amp; Expenses'!$S$3</f>
        <v>310.66</v>
      </c>
      <c r="U174" s="212" t="n">
        <f aca="false">T174*'Revenues &amp; Expenses'!F182*4</f>
        <v>27338.08</v>
      </c>
      <c r="W174" s="212" t="n">
        <f aca="false">IF(S174&gt;0,(M174-N174)*U174,0)</f>
        <v>1537428.3534631</v>
      </c>
    </row>
    <row r="175" customFormat="false" ht="12.75" hidden="false" customHeight="false" outlineLevel="0" collapsed="false">
      <c r="B175" s="240" t="n">
        <v>41883</v>
      </c>
      <c r="C175" s="218" t="n">
        <f aca="false">VLOOKUP(B175,'Company Gas Prices'!$B$25:$C$259,2)</f>
        <v>3.81770833</v>
      </c>
      <c r="D175" s="180" t="n">
        <f aca="false">VLOOKUP(B175,'Fuel Curve'!$B$7:$F$268,5)</f>
        <v>4.66275862068966</v>
      </c>
      <c r="E175" s="180" t="n">
        <f aca="false">D175-C175</f>
        <v>0.845050290689656</v>
      </c>
      <c r="G175" s="240" t="n">
        <v>41883</v>
      </c>
      <c r="H175" s="180" t="n">
        <f aca="false">VLOOKUP(G175,'Company Power Prices'!$B$25:$C$259,2)</f>
        <v>56.34821191</v>
      </c>
      <c r="I175" s="180" t="n">
        <f aca="false">VLOOKUP(G175,'Super Peak Curve Simulation'!$B$4:$C$225,2)</f>
        <v>44.3836770319248</v>
      </c>
      <c r="J175" s="259" t="n">
        <f aca="false">I175-H175</f>
        <v>-11.9645348780752</v>
      </c>
      <c r="L175" s="240" t="n">
        <v>41883</v>
      </c>
      <c r="M175" s="180" t="n">
        <f aca="false">IF($L$1=1,VLOOKUP(L175,'Super Peak Curve Simulation'!$B$7:$N$225,12),VLOOKUP(L175,'PJM Curve Simulation'!$B$9:$J$246,9))</f>
        <v>38.4249984741211</v>
      </c>
      <c r="N175" s="180" t="n">
        <f aca="false">P175+Q175</f>
        <v>47.627308223426</v>
      </c>
      <c r="P175" s="180" t="n">
        <f aca="false">IF($L$1=1,VLOOKUP(L175,'Fuel Curve'!$B$7:$H$246,7),VLOOKUP(L175,'Revenues &amp; Expenses'!$K$9:$S$246,9))</f>
        <v>44.6645648275862</v>
      </c>
      <c r="Q175" s="180" t="n">
        <f aca="false">'Revenues &amp; Expenses'!$AM$5*1000*'Revenues &amp; Expenses'!O183</f>
        <v>2.9627433958398</v>
      </c>
      <c r="S175" s="204" t="n">
        <f aca="false">IF(M175&gt;N175,1,0)</f>
        <v>0</v>
      </c>
      <c r="T175" s="204" t="n">
        <f aca="false">'Revenues &amp; Expenses'!$S$3</f>
        <v>310.66</v>
      </c>
      <c r="U175" s="212" t="n">
        <f aca="false">T175*'Revenues &amp; Expenses'!F183*4</f>
        <v>26095.44</v>
      </c>
      <c r="W175" s="212" t="n">
        <f aca="false">IF(S175&gt;0,(M175-N175)*U175,0)</f>
        <v>0</v>
      </c>
    </row>
    <row r="176" customFormat="false" ht="12.75" hidden="false" customHeight="false" outlineLevel="0" collapsed="false">
      <c r="B176" s="240" t="n">
        <v>41913</v>
      </c>
      <c r="C176" s="218" t="n">
        <f aca="false">VLOOKUP(B176,'Company Gas Prices'!$B$25:$C$259,2)</f>
        <v>3.778125</v>
      </c>
      <c r="D176" s="180" t="n">
        <f aca="false">VLOOKUP(B176,'Fuel Curve'!$B$7:$F$268,5)</f>
        <v>4.75534482758621</v>
      </c>
      <c r="E176" s="180" t="n">
        <f aca="false">D176-C176</f>
        <v>0.977219827586207</v>
      </c>
      <c r="G176" s="240" t="n">
        <v>41913</v>
      </c>
      <c r="H176" s="180" t="n">
        <f aca="false">VLOOKUP(G176,'Company Power Prices'!$B$25:$C$259,2)</f>
        <v>48.21415911</v>
      </c>
      <c r="I176" s="180" t="n">
        <f aca="false">VLOOKUP(G176,'Super Peak Curve Simulation'!$B$4:$C$225,2)</f>
        <v>36.504579823122</v>
      </c>
      <c r="J176" s="259" t="n">
        <f aca="false">I176-H176</f>
        <v>-11.709579286878</v>
      </c>
      <c r="L176" s="240" t="n">
        <v>41913</v>
      </c>
      <c r="M176" s="180" t="n">
        <f aca="false">IF($L$1=1,VLOOKUP(L176,'Super Peak Curve Simulation'!$B$7:$N$225,12),VLOOKUP(L176,'PJM Curve Simulation'!$B$9:$J$246,9))</f>
        <v>31.0750003814697</v>
      </c>
      <c r="N176" s="180" t="n">
        <f aca="false">P176+Q176</f>
        <v>48.5207765736258</v>
      </c>
      <c r="P176" s="180" t="n">
        <f aca="false">IF($L$1=1,VLOOKUP(L176,'Fuel Curve'!$B$7:$H$246,7),VLOOKUP(L176,'Revenues &amp; Expenses'!$K$9:$S$246,9))</f>
        <v>45.5514481034483</v>
      </c>
      <c r="Q176" s="180" t="n">
        <f aca="false">'Revenues &amp; Expenses'!$AM$5*1000*'Revenues &amp; Expenses'!O184</f>
        <v>2.96932847017757</v>
      </c>
      <c r="S176" s="204" t="n">
        <f aca="false">IF(M176&gt;N176,1,0)</f>
        <v>0</v>
      </c>
      <c r="T176" s="204" t="n">
        <f aca="false">'Revenues &amp; Expenses'!$S$3</f>
        <v>310.66</v>
      </c>
      <c r="U176" s="212" t="n">
        <f aca="false">T176*'Revenues &amp; Expenses'!F184*4</f>
        <v>28580.72</v>
      </c>
      <c r="W176" s="212" t="n">
        <f aca="false">IF(S176&gt;0,(M176-N176)*U176,0)</f>
        <v>0</v>
      </c>
    </row>
    <row r="177" customFormat="false" ht="12.75" hidden="false" customHeight="false" outlineLevel="0" collapsed="false">
      <c r="B177" s="240" t="n">
        <v>41944</v>
      </c>
      <c r="C177" s="218" t="n">
        <f aca="false">VLOOKUP(B177,'Company Gas Prices'!$B$25:$C$259,2)</f>
        <v>3.778125</v>
      </c>
      <c r="D177" s="180" t="n">
        <f aca="false">VLOOKUP(B177,'Fuel Curve'!$B$7:$F$268,5)</f>
        <v>4.80465517241379</v>
      </c>
      <c r="E177" s="180" t="n">
        <f aca="false">D177-C177</f>
        <v>1.02653017241379</v>
      </c>
      <c r="G177" s="240" t="n">
        <v>41944</v>
      </c>
      <c r="H177" s="180" t="n">
        <f aca="false">VLOOKUP(G177,'Company Power Prices'!$B$25:$C$259,2)</f>
        <v>50.35945542</v>
      </c>
      <c r="I177" s="180" t="n">
        <f aca="false">VLOOKUP(G177,'Super Peak Curve Simulation'!$B$4:$C$225,2)</f>
        <v>36.6148905972672</v>
      </c>
      <c r="J177" s="259" t="n">
        <f aca="false">I177-H177</f>
        <v>-13.7445648227329</v>
      </c>
      <c r="L177" s="240" t="n">
        <v>41944</v>
      </c>
      <c r="M177" s="180" t="n">
        <f aca="false">IF($L$1=1,VLOOKUP(L177,'Super Peak Curve Simulation'!$B$7:$N$225,12),VLOOKUP(L177,'PJM Curve Simulation'!$B$9:$J$246,9))</f>
        <v>30.7474990844727</v>
      </c>
      <c r="N177" s="180" t="n">
        <f aca="false">P177+Q177</f>
        <v>48.999720077233</v>
      </c>
      <c r="P177" s="180" t="n">
        <f aca="false">IF($L$1=1,VLOOKUP(L177,'Fuel Curve'!$B$7:$H$246,7),VLOOKUP(L177,'Revenues &amp; Expenses'!$K$9:$S$246,9))</f>
        <v>46.0237918965517</v>
      </c>
      <c r="Q177" s="180" t="n">
        <f aca="false">'Revenues &amp; Expenses'!$AM$5*1000*'Revenues &amp; Expenses'!O185</f>
        <v>2.9759281806813</v>
      </c>
      <c r="S177" s="204" t="n">
        <f aca="false">IF(M177&gt;N177,1,0)</f>
        <v>0</v>
      </c>
      <c r="T177" s="204" t="n">
        <f aca="false">'Revenues &amp; Expenses'!$S$3</f>
        <v>310.66</v>
      </c>
      <c r="U177" s="212" t="n">
        <f aca="false">T177*'Revenues &amp; Expenses'!F185*4</f>
        <v>26095.44</v>
      </c>
      <c r="W177" s="212" t="n">
        <f aca="false">IF(S177&gt;0,(M177-N177)*U177,0)</f>
        <v>0</v>
      </c>
    </row>
    <row r="178" customFormat="false" ht="12.75" hidden="false" customHeight="false" outlineLevel="0" collapsed="false">
      <c r="B178" s="240" t="n">
        <v>41974</v>
      </c>
      <c r="C178" s="218" t="n">
        <f aca="false">VLOOKUP(B178,'Company Gas Prices'!$B$25:$C$259,2)</f>
        <v>3.778125</v>
      </c>
      <c r="D178" s="180" t="n">
        <f aca="false">VLOOKUP(B178,'Fuel Curve'!$B$7:$F$268,5)</f>
        <v>4.84741379310345</v>
      </c>
      <c r="E178" s="180" t="n">
        <f aca="false">D178-C178</f>
        <v>1.06928879310345</v>
      </c>
      <c r="G178" s="240" t="n">
        <v>41974</v>
      </c>
      <c r="H178" s="180" t="n">
        <f aca="false">VLOOKUP(G178,'Company Power Prices'!$B$25:$C$259,2)</f>
        <v>50.35945542</v>
      </c>
      <c r="I178" s="180" t="n">
        <f aca="false">VLOOKUP(G178,'Super Peak Curve Simulation'!$B$4:$C$225,2)</f>
        <v>39.1938259745303</v>
      </c>
      <c r="J178" s="259" t="n">
        <f aca="false">I178-H178</f>
        <v>-11.1656294454697</v>
      </c>
      <c r="L178" s="240" t="n">
        <v>41974</v>
      </c>
      <c r="M178" s="180" t="n">
        <f aca="false">IF($L$1=1,VLOOKUP(L178,'Super Peak Curve Simulation'!$B$7:$N$225,12),VLOOKUP(L178,'PJM Curve Simulation'!$B$9:$J$246,9))</f>
        <v>32.4999996185303</v>
      </c>
      <c r="N178" s="180" t="n">
        <f aca="false">P178+Q178</f>
        <v>49.4159192840197</v>
      </c>
      <c r="P178" s="180" t="n">
        <f aca="false">IF($L$1=1,VLOOKUP(L178,'Fuel Curve'!$B$7:$H$246,7),VLOOKUP(L178,'Revenues &amp; Expenses'!$K$9:$S$246,9))</f>
        <v>46.4333767241379</v>
      </c>
      <c r="Q178" s="180" t="n">
        <f aca="false">'Revenues &amp; Expenses'!$AM$5*1000*'Revenues &amp; Expenses'!O186</f>
        <v>2.98254255988173</v>
      </c>
      <c r="S178" s="204" t="n">
        <f aca="false">IF(M178&gt;N178,1,0)</f>
        <v>0</v>
      </c>
      <c r="T178" s="204" t="n">
        <f aca="false">'Revenues &amp; Expenses'!$S$3</f>
        <v>310.66</v>
      </c>
      <c r="U178" s="212" t="n">
        <f aca="false">T178*'Revenues &amp; Expenses'!F186*4</f>
        <v>27338.08</v>
      </c>
      <c r="W178" s="212" t="n">
        <f aca="false">IF(S178&gt;0,(M178-N178)*U178,0)</f>
        <v>0</v>
      </c>
    </row>
    <row r="179" customFormat="false" ht="12.75" hidden="false" customHeight="false" outlineLevel="0" collapsed="false">
      <c r="B179" s="240" t="n">
        <v>42005</v>
      </c>
      <c r="C179" s="218" t="n">
        <f aca="false">VLOOKUP(B179,'Company Gas Prices'!$B$25:$C$259,2)</f>
        <v>3.9375</v>
      </c>
      <c r="D179" s="180" t="n">
        <f aca="false">VLOOKUP(B179,'Fuel Curve'!$B$7:$F$268,5)</f>
        <v>4.79017241379311</v>
      </c>
      <c r="E179" s="180" t="n">
        <f aca="false">D179-C179</f>
        <v>0.852672413793105</v>
      </c>
      <c r="G179" s="240" t="n">
        <v>42005</v>
      </c>
      <c r="H179" s="180" t="n">
        <f aca="false">VLOOKUP(G179,'Company Power Prices'!$B$25:$C$259,2)</f>
        <v>48.3116083</v>
      </c>
      <c r="I179" s="180" t="n">
        <f aca="false">VLOOKUP(G179,'Super Peak Curve Simulation'!$B$4:$C$225,2)</f>
        <v>50.3668921806662</v>
      </c>
      <c r="J179" s="259" t="n">
        <f aca="false">I179-H179</f>
        <v>2.05528388066616</v>
      </c>
      <c r="L179" s="240" t="n">
        <v>42005</v>
      </c>
      <c r="M179" s="180" t="n">
        <f aca="false">IF($L$1=1,VLOOKUP(L179,'Super Peak Curve Simulation'!$B$7:$N$225,12),VLOOKUP(L179,'PJM Curve Simulation'!$B$9:$J$246,9))</f>
        <v>41.0749984741211</v>
      </c>
      <c r="N179" s="180" t="n">
        <f aca="false">P179+Q179</f>
        <v>48.8742331921061</v>
      </c>
      <c r="P179" s="180" t="n">
        <f aca="false">IF($L$1=1,VLOOKUP(L179,'Fuel Curve'!$B$7:$H$246,7),VLOOKUP(L179,'Revenues &amp; Expenses'!$K$9:$S$246,9))</f>
        <v>45.8850615517242</v>
      </c>
      <c r="Q179" s="180" t="n">
        <f aca="false">'Revenues &amp; Expenses'!$AM$5*1000*'Revenues &amp; Expenses'!O187</f>
        <v>2.98917164038191</v>
      </c>
      <c r="S179" s="204" t="n">
        <f aca="false">IF(M179&gt;N179,1,0)</f>
        <v>0</v>
      </c>
      <c r="T179" s="204" t="n">
        <f aca="false">'Revenues &amp; Expenses'!$S$3</f>
        <v>310.66</v>
      </c>
      <c r="U179" s="212" t="n">
        <f aca="false">T179*'Revenues &amp; Expenses'!F187*4</f>
        <v>28580.72</v>
      </c>
      <c r="W179" s="212" t="n">
        <f aca="false">IF(S179&gt;0,(M179-N179)*U179,0)</f>
        <v>0</v>
      </c>
    </row>
    <row r="180" customFormat="false" ht="12.75" hidden="false" customHeight="false" outlineLevel="0" collapsed="false">
      <c r="B180" s="240" t="n">
        <v>42036</v>
      </c>
      <c r="C180" s="218" t="n">
        <f aca="false">VLOOKUP(B180,'Company Gas Prices'!$B$25:$C$259,2)</f>
        <v>3.9375</v>
      </c>
      <c r="D180" s="180" t="n">
        <f aca="false">VLOOKUP(B180,'Fuel Curve'!$B$7:$F$268,5)</f>
        <v>4.69103448275862</v>
      </c>
      <c r="E180" s="180" t="n">
        <f aca="false">D180-C180</f>
        <v>0.753534482758622</v>
      </c>
      <c r="G180" s="240" t="n">
        <v>42036</v>
      </c>
      <c r="H180" s="180" t="n">
        <f aca="false">VLOOKUP(G180,'Company Power Prices'!$B$25:$C$259,2)</f>
        <v>42.66271256</v>
      </c>
      <c r="I180" s="180" t="n">
        <f aca="false">VLOOKUP(G180,'Super Peak Curve Simulation'!$B$4:$C$225,2)</f>
        <v>50.3668921806662</v>
      </c>
      <c r="J180" s="259" t="n">
        <f aca="false">I180-H180</f>
        <v>7.70417962066616</v>
      </c>
      <c r="L180" s="240" t="n">
        <v>42036</v>
      </c>
      <c r="M180" s="180" t="n">
        <f aca="false">IF($L$1=1,VLOOKUP(L180,'Super Peak Curve Simulation'!$B$7:$N$225,12),VLOOKUP(L180,'PJM Curve Simulation'!$B$9:$J$246,9))</f>
        <v>41.0749984741211</v>
      </c>
      <c r="N180" s="180" t="n">
        <f aca="false">P180+Q180</f>
        <v>47.9312347652022</v>
      </c>
      <c r="P180" s="180" t="n">
        <f aca="false">IF($L$1=1,VLOOKUP(L180,'Fuel Curve'!$B$7:$H$246,7),VLOOKUP(L180,'Revenues &amp; Expenses'!$K$9:$S$246,9))</f>
        <v>44.9354193103448</v>
      </c>
      <c r="Q180" s="180" t="n">
        <f aca="false">'Revenues &amp; Expenses'!$AM$5*1000*'Revenues &amp; Expenses'!O188</f>
        <v>2.99581545485734</v>
      </c>
      <c r="S180" s="204" t="n">
        <f aca="false">IF(M180&gt;N180,1,0)</f>
        <v>0</v>
      </c>
      <c r="T180" s="204" t="n">
        <f aca="false">'Revenues &amp; Expenses'!$S$3</f>
        <v>310.66</v>
      </c>
      <c r="U180" s="212" t="n">
        <f aca="false">T180*'Revenues &amp; Expenses'!F188*4</f>
        <v>24852.8</v>
      </c>
      <c r="W180" s="212" t="n">
        <f aca="false">IF(S180&gt;0,(M180-N180)*U180,0)</f>
        <v>0</v>
      </c>
    </row>
    <row r="181" customFormat="false" ht="12.75" hidden="false" customHeight="false" outlineLevel="0" collapsed="false">
      <c r="B181" s="240" t="n">
        <v>42064</v>
      </c>
      <c r="C181" s="218" t="n">
        <f aca="false">VLOOKUP(B181,'Company Gas Prices'!$B$25:$C$259,2)</f>
        <v>3.9375</v>
      </c>
      <c r="D181" s="180" t="n">
        <f aca="false">VLOOKUP(B181,'Fuel Curve'!$B$7:$F$268,5)</f>
        <v>4.59396551724138</v>
      </c>
      <c r="E181" s="180" t="n">
        <f aca="false">D181-C181</f>
        <v>0.65646551724138</v>
      </c>
      <c r="G181" s="240" t="n">
        <v>42064</v>
      </c>
      <c r="H181" s="180" t="n">
        <f aca="false">VLOOKUP(G181,'Company Power Prices'!$B$25:$C$259,2)</f>
        <v>42.66271256</v>
      </c>
      <c r="I181" s="180" t="n">
        <f aca="false">VLOOKUP(G181,'Super Peak Curve Simulation'!$B$4:$C$225,2)</f>
        <v>37.459730927906</v>
      </c>
      <c r="J181" s="259" t="n">
        <f aca="false">I181-H181</f>
        <v>-5.20298163209397</v>
      </c>
      <c r="L181" s="240" t="n">
        <v>42064</v>
      </c>
      <c r="M181" s="180" t="n">
        <f aca="false">IF($L$1=1,VLOOKUP(L181,'Super Peak Curve Simulation'!$B$7:$N$225,12),VLOOKUP(L181,'PJM Curve Simulation'!$B$9:$J$246,9))</f>
        <v>30.8000007629395</v>
      </c>
      <c r="N181" s="180" t="n">
        <f aca="false">P181+Q181</f>
        <v>47.0080697257113</v>
      </c>
      <c r="P181" s="180" t="n">
        <f aca="false">IF($L$1=1,VLOOKUP(L181,'Fuel Curve'!$B$7:$H$246,7),VLOOKUP(L181,'Revenues &amp; Expenses'!$K$9:$S$246,9))</f>
        <v>44.0055956896552</v>
      </c>
      <c r="Q181" s="180" t="n">
        <f aca="false">'Revenues &amp; Expenses'!$AM$5*1000*'Revenues &amp; Expenses'!O189</f>
        <v>3.00247403605616</v>
      </c>
      <c r="S181" s="204" t="n">
        <f aca="false">IF(M181&gt;N181,1,0)</f>
        <v>0</v>
      </c>
      <c r="T181" s="204" t="n">
        <f aca="false">'Revenues &amp; Expenses'!$S$3</f>
        <v>310.66</v>
      </c>
      <c r="U181" s="212" t="n">
        <f aca="false">T181*'Revenues &amp; Expenses'!F189*4</f>
        <v>26095.44</v>
      </c>
      <c r="W181" s="212" t="n">
        <f aca="false">IF(S181&gt;0,(M181-N181)*U181,0)</f>
        <v>0</v>
      </c>
    </row>
    <row r="182" customFormat="false" ht="12.75" hidden="false" customHeight="false" outlineLevel="0" collapsed="false">
      <c r="B182" s="240" t="n">
        <v>42095</v>
      </c>
      <c r="C182" s="218" t="n">
        <f aca="false">VLOOKUP(B182,'Company Gas Prices'!$B$25:$C$259,2)</f>
        <v>4.08229167</v>
      </c>
      <c r="D182" s="180" t="n">
        <f aca="false">VLOOKUP(B182,'Fuel Curve'!$B$7:$F$268,5)</f>
        <v>4.49396551724138</v>
      </c>
      <c r="E182" s="180" t="n">
        <f aca="false">D182-C182</f>
        <v>0.41167384724138</v>
      </c>
      <c r="G182" s="240" t="n">
        <v>42095</v>
      </c>
      <c r="H182" s="180" t="n">
        <f aca="false">VLOOKUP(G182,'Company Power Prices'!$B$25:$C$259,2)</f>
        <v>47.22083987</v>
      </c>
      <c r="I182" s="180" t="n">
        <f aca="false">VLOOKUP(G182,'Super Peak Curve Simulation'!$B$4:$C$225,2)</f>
        <v>34.6831278943337</v>
      </c>
      <c r="J182" s="259" t="n">
        <f aca="false">I182-H182</f>
        <v>-12.5377119756663</v>
      </c>
      <c r="L182" s="240" t="n">
        <v>42095</v>
      </c>
      <c r="M182" s="180" t="n">
        <f aca="false">IF($L$1=1,VLOOKUP(L182,'Super Peak Curve Simulation'!$B$7:$N$225,12),VLOOKUP(L182,'PJM Curve Simulation'!$B$9:$J$246,9))</f>
        <v>30.5750007629395</v>
      </c>
      <c r="N182" s="180" t="n">
        <f aca="false">P182+Q182</f>
        <v>46.0568431064545</v>
      </c>
      <c r="P182" s="180" t="n">
        <f aca="false">IF($L$1=1,VLOOKUP(L182,'Fuel Curve'!$B$7:$H$246,7),VLOOKUP(L182,'Revenues &amp; Expenses'!$K$9:$S$246,9))</f>
        <v>43.0476956896552</v>
      </c>
      <c r="Q182" s="180" t="n">
        <f aca="false">'Revenues &amp; Expenses'!$AM$5*1000*'Revenues &amp; Expenses'!O190</f>
        <v>3.0091474167993</v>
      </c>
      <c r="S182" s="204" t="n">
        <f aca="false">IF(M182&gt;N182,1,0)</f>
        <v>0</v>
      </c>
      <c r="T182" s="204" t="n">
        <f aca="false">'Revenues &amp; Expenses'!$S$3</f>
        <v>310.66</v>
      </c>
      <c r="U182" s="212" t="n">
        <f aca="false">T182*'Revenues &amp; Expenses'!F190*4</f>
        <v>27338.08</v>
      </c>
      <c r="W182" s="212" t="n">
        <f aca="false">IF(S182&gt;0,(M182-N182)*U182,0)</f>
        <v>0</v>
      </c>
    </row>
    <row r="183" customFormat="false" ht="12.75" hidden="false" customHeight="false" outlineLevel="0" collapsed="false">
      <c r="B183" s="240" t="n">
        <v>42125</v>
      </c>
      <c r="C183" s="218" t="n">
        <f aca="false">VLOOKUP(B183,'Company Gas Prices'!$B$25:$C$259,2)</f>
        <v>3.91979167</v>
      </c>
      <c r="D183" s="180" t="n">
        <f aca="false">VLOOKUP(B183,'Fuel Curve'!$B$7:$F$268,5)</f>
        <v>4.42672413793104</v>
      </c>
      <c r="E183" s="180" t="n">
        <f aca="false">D183-C183</f>
        <v>0.506932467931035</v>
      </c>
      <c r="G183" s="240" t="n">
        <v>42125</v>
      </c>
      <c r="H183" s="180" t="n">
        <f aca="false">VLOOKUP(G183,'Company Power Prices'!$B$25:$C$259,2)</f>
        <v>59.27864825</v>
      </c>
      <c r="I183" s="180" t="n">
        <f aca="false">VLOOKUP(G183,'Super Peak Curve Simulation'!$B$4:$C$225,2)</f>
        <v>42.3477965165632</v>
      </c>
      <c r="J183" s="259" t="n">
        <f aca="false">I183-H183</f>
        <v>-16.9308517334368</v>
      </c>
      <c r="L183" s="240" t="n">
        <v>42125</v>
      </c>
      <c r="M183" s="180" t="n">
        <f aca="false">IF($L$1=1,VLOOKUP(L183,'Super Peak Curve Simulation'!$B$7:$N$225,12),VLOOKUP(L183,'PJM Curve Simulation'!$B$9:$J$246,9))</f>
        <v>38.575</v>
      </c>
      <c r="N183" s="180" t="n">
        <f aca="false">P183+Q183</f>
        <v>45.419426147222</v>
      </c>
      <c r="P183" s="180" t="n">
        <f aca="false">IF($L$1=1,VLOOKUP(L183,'Fuel Curve'!$B$7:$H$246,7),VLOOKUP(L183,'Revenues &amp; Expenses'!$K$9:$S$246,9))</f>
        <v>42.4035905172414</v>
      </c>
      <c r="Q183" s="180" t="n">
        <f aca="false">'Revenues &amp; Expenses'!$AM$5*1000*'Revenues &amp; Expenses'!O191</f>
        <v>3.01583562998062</v>
      </c>
      <c r="S183" s="204" t="n">
        <f aca="false">IF(M183&gt;N183,1,0)</f>
        <v>0</v>
      </c>
      <c r="T183" s="204" t="n">
        <f aca="false">'Revenues &amp; Expenses'!$S$3</f>
        <v>310.66</v>
      </c>
      <c r="U183" s="212" t="n">
        <f aca="false">T183*'Revenues &amp; Expenses'!F191*4</f>
        <v>27338.08</v>
      </c>
      <c r="W183" s="212" t="n">
        <f aca="false">IF(S183&gt;0,(M183-N183)*U183,0)</f>
        <v>0</v>
      </c>
    </row>
    <row r="184" customFormat="false" ht="12.75" hidden="false" customHeight="false" outlineLevel="0" collapsed="false">
      <c r="B184" s="240" t="n">
        <v>42156</v>
      </c>
      <c r="C184" s="218" t="n">
        <f aca="false">VLOOKUP(B184,'Company Gas Prices'!$B$25:$C$259,2)</f>
        <v>3.9125</v>
      </c>
      <c r="D184" s="180" t="n">
        <f aca="false">VLOOKUP(B184,'Fuel Curve'!$B$7:$F$268,5)</f>
        <v>4.42017241379311</v>
      </c>
      <c r="E184" s="180" t="n">
        <f aca="false">D184-C184</f>
        <v>0.507672413793105</v>
      </c>
      <c r="G184" s="240" t="n">
        <v>42156</v>
      </c>
      <c r="H184" s="180" t="n">
        <f aca="false">VLOOKUP(G184,'Company Power Prices'!$B$25:$C$259,2)</f>
        <v>107.5810825</v>
      </c>
      <c r="I184" s="180" t="n">
        <f aca="false">VLOOKUP(G184,'Super Peak Curve Simulation'!$B$4:$C$225,2)</f>
        <v>81.565562853089</v>
      </c>
      <c r="J184" s="259" t="n">
        <f aca="false">I184-H184</f>
        <v>-26.015519646911</v>
      </c>
      <c r="L184" s="240" t="n">
        <v>42156</v>
      </c>
      <c r="M184" s="180" t="n">
        <f aca="false">IF($L$1=1,VLOOKUP(L184,'Super Peak Curve Simulation'!$B$7:$N$225,12),VLOOKUP(L184,'PJM Curve Simulation'!$B$9:$J$246,9))</f>
        <v>66.0999984741211</v>
      </c>
      <c r="N184" s="180" t="n">
        <f aca="false">P184+Q184</f>
        <v>45.3633702602913</v>
      </c>
      <c r="P184" s="180" t="n">
        <f aca="false">IF($L$1=1,VLOOKUP(L184,'Fuel Curve'!$B$7:$H$246,7),VLOOKUP(L184,'Revenues &amp; Expenses'!$K$9:$S$246,9))</f>
        <v>42.3408315517242</v>
      </c>
      <c r="Q184" s="180" t="n">
        <f aca="false">'Revenues &amp; Expenses'!$AM$5*1000*'Revenues &amp; Expenses'!O192</f>
        <v>3.02253870856711</v>
      </c>
      <c r="S184" s="204" t="n">
        <f aca="false">IF(M184&gt;N184,1,0)</f>
        <v>1</v>
      </c>
      <c r="T184" s="204" t="n">
        <f aca="false">'Revenues &amp; Expenses'!$S$3</f>
        <v>310.66</v>
      </c>
      <c r="U184" s="212" t="n">
        <f aca="false">T184*'Revenues &amp; Expenses'!F192*4</f>
        <v>26095.44</v>
      </c>
      <c r="W184" s="212" t="n">
        <f aca="false">IF(S184&gt;0,(M184-N184)*U184,0)</f>
        <v>541131.437356304</v>
      </c>
    </row>
    <row r="185" customFormat="false" ht="12.75" hidden="false" customHeight="false" outlineLevel="0" collapsed="false">
      <c r="B185" s="240" t="n">
        <v>42186</v>
      </c>
      <c r="C185" s="218" t="n">
        <f aca="false">VLOOKUP(B185,'Company Gas Prices'!$B$25:$C$259,2)</f>
        <v>3.87395833</v>
      </c>
      <c r="D185" s="180" t="n">
        <f aca="false">VLOOKUP(B185,'Fuel Curve'!$B$7:$F$268,5)</f>
        <v>4.47741379310345</v>
      </c>
      <c r="E185" s="180" t="n">
        <f aca="false">D185-C185</f>
        <v>0.603455463103449</v>
      </c>
      <c r="G185" s="240" t="n">
        <v>42186</v>
      </c>
      <c r="H185" s="180" t="n">
        <f aca="false">VLOOKUP(G185,'Company Power Prices'!$B$25:$C$259,2)</f>
        <v>171.1435954</v>
      </c>
      <c r="I185" s="180" t="n">
        <f aca="false">VLOOKUP(G185,'Super Peak Curve Simulation'!$B$4:$C$225,2)</f>
        <v>155.204369241922</v>
      </c>
      <c r="J185" s="259" t="n">
        <f aca="false">I185-H185</f>
        <v>-15.939226158078</v>
      </c>
      <c r="L185" s="240" t="n">
        <v>42186</v>
      </c>
      <c r="M185" s="180" t="n">
        <f aca="false">IF($L$1=1,VLOOKUP(L185,'Super Peak Curve Simulation'!$B$7:$N$225,12),VLOOKUP(L185,'PJM Curve Simulation'!$B$9:$J$246,9))</f>
        <v>118.199996948242</v>
      </c>
      <c r="N185" s="180" t="n">
        <f aca="false">P185+Q185</f>
        <v>45.918403409737</v>
      </c>
      <c r="P185" s="180" t="n">
        <f aca="false">IF($L$1=1,VLOOKUP(L185,'Fuel Curve'!$B$7:$H$246,7),VLOOKUP(L185,'Revenues &amp; Expenses'!$K$9:$S$246,9))</f>
        <v>42.8891467241379</v>
      </c>
      <c r="Q185" s="180" t="n">
        <f aca="false">'Revenues &amp; Expenses'!$AM$5*1000*'Revenues &amp; Expenses'!O193</f>
        <v>3.02925668559902</v>
      </c>
      <c r="S185" s="204" t="n">
        <f aca="false">IF(M185&gt;N185,1,0)</f>
        <v>1</v>
      </c>
      <c r="T185" s="204" t="n">
        <f aca="false">'Revenues &amp; Expenses'!$S$3</f>
        <v>310.66</v>
      </c>
      <c r="U185" s="212" t="n">
        <f aca="false">T185*'Revenues &amp; Expenses'!F193*4</f>
        <v>28580.72</v>
      </c>
      <c r="W185" s="212" t="n">
        <f aca="false">IF(S185&gt;0,(M185-N185)*U185,0)</f>
        <v>2065859.98607783</v>
      </c>
    </row>
    <row r="186" customFormat="false" ht="12.75" hidden="false" customHeight="false" outlineLevel="0" collapsed="false">
      <c r="B186" s="240" t="n">
        <v>42217</v>
      </c>
      <c r="C186" s="218" t="n">
        <f aca="false">VLOOKUP(B186,'Company Gas Prices'!$B$25:$C$259,2)</f>
        <v>3.87395833</v>
      </c>
      <c r="D186" s="180" t="n">
        <f aca="false">VLOOKUP(B186,'Fuel Curve'!$B$7:$F$268,5)</f>
        <v>4.56793103448276</v>
      </c>
      <c r="E186" s="180" t="n">
        <f aca="false">D186-C186</f>
        <v>0.69397270448276</v>
      </c>
      <c r="G186" s="240" t="n">
        <v>42217</v>
      </c>
      <c r="H186" s="180" t="n">
        <f aca="false">VLOOKUP(G186,'Company Power Prices'!$B$25:$C$259,2)</f>
        <v>171.1435954</v>
      </c>
      <c r="I186" s="180" t="n">
        <f aca="false">VLOOKUP(G186,'Super Peak Curve Simulation'!$B$4:$C$225,2)</f>
        <v>129.116152796019</v>
      </c>
      <c r="J186" s="259" t="n">
        <f aca="false">I186-H186</f>
        <v>-42.0274426039812</v>
      </c>
      <c r="L186" s="240" t="n">
        <v>42217</v>
      </c>
      <c r="M186" s="180" t="n">
        <f aca="false">IF($L$1=1,VLOOKUP(L186,'Super Peak Curve Simulation'!$B$7:$N$225,12),VLOOKUP(L186,'PJM Curve Simulation'!$B$9:$J$246,9))</f>
        <v>105.199996948242</v>
      </c>
      <c r="N186" s="180" t="n">
        <f aca="false">P186+Q186</f>
        <v>46.7922009735004</v>
      </c>
      <c r="P186" s="180" t="n">
        <f aca="false">IF($L$1=1,VLOOKUP(L186,'Fuel Curve'!$B$7:$H$246,7),VLOOKUP(L186,'Revenues &amp; Expenses'!$K$9:$S$246,9))</f>
        <v>43.7562113793104</v>
      </c>
      <c r="Q186" s="180" t="n">
        <f aca="false">'Revenues &amp; Expenses'!$AM$5*1000*'Revenues &amp; Expenses'!O194</f>
        <v>3.03598959419005</v>
      </c>
      <c r="S186" s="204" t="n">
        <f aca="false">IF(M186&gt;N186,1,0)</f>
        <v>1</v>
      </c>
      <c r="T186" s="204" t="n">
        <f aca="false">'Revenues &amp; Expenses'!$S$3</f>
        <v>310.66</v>
      </c>
      <c r="U186" s="212" t="n">
        <f aca="false">T186*'Revenues &amp; Expenses'!F194*4</f>
        <v>26095.44</v>
      </c>
      <c r="W186" s="212" t="n">
        <f aca="false">IF(S186&gt;0,(M186-N186)*U186,0)</f>
        <v>1524177.13539112</v>
      </c>
    </row>
    <row r="187" customFormat="false" ht="12.75" hidden="false" customHeight="false" outlineLevel="0" collapsed="false">
      <c r="B187" s="240" t="n">
        <v>42248</v>
      </c>
      <c r="C187" s="218" t="n">
        <f aca="false">VLOOKUP(B187,'Company Gas Prices'!$B$25:$C$259,2)</f>
        <v>3.91979167</v>
      </c>
      <c r="D187" s="180" t="n">
        <f aca="false">VLOOKUP(B187,'Fuel Curve'!$B$7:$F$268,5)</f>
        <v>4.66275862068966</v>
      </c>
      <c r="E187" s="180" t="n">
        <f aca="false">D187-C187</f>
        <v>0.742966950689656</v>
      </c>
      <c r="G187" s="240" t="n">
        <v>42248</v>
      </c>
      <c r="H187" s="180" t="n">
        <f aca="false">VLOOKUP(G187,'Company Power Prices'!$B$25:$C$259,2)</f>
        <v>59.27864825</v>
      </c>
      <c r="I187" s="180" t="n">
        <f aca="false">VLOOKUP(G187,'Super Peak Curve Simulation'!$B$4:$C$225,2)</f>
        <v>44.9612135159121</v>
      </c>
      <c r="J187" s="259" t="n">
        <f aca="false">I187-H187</f>
        <v>-14.3174347340879</v>
      </c>
      <c r="L187" s="240" t="n">
        <v>42248</v>
      </c>
      <c r="M187" s="180" t="n">
        <f aca="false">IF($L$1=1,VLOOKUP(L187,'Super Peak Curve Simulation'!$B$7:$N$225,12),VLOOKUP(L187,'PJM Curve Simulation'!$B$9:$J$246,9))</f>
        <v>38.9249984741211</v>
      </c>
      <c r="N187" s="180" t="n">
        <f aca="false">P187+Q187</f>
        <v>47.7073022951137</v>
      </c>
      <c r="P187" s="180" t="n">
        <f aca="false">IF($L$1=1,VLOOKUP(L187,'Fuel Curve'!$B$7:$H$246,7),VLOOKUP(L187,'Revenues &amp; Expenses'!$K$9:$S$246,9))</f>
        <v>44.6645648275862</v>
      </c>
      <c r="Q187" s="180" t="n">
        <f aca="false">'Revenues &amp; Expenses'!$AM$5*1000*'Revenues &amp; Expenses'!O195</f>
        <v>3.04273746752748</v>
      </c>
      <c r="S187" s="204" t="n">
        <f aca="false">IF(M187&gt;N187,1,0)</f>
        <v>0</v>
      </c>
      <c r="T187" s="204" t="n">
        <f aca="false">'Revenues &amp; Expenses'!$S$3</f>
        <v>310.66</v>
      </c>
      <c r="U187" s="212" t="n">
        <f aca="false">T187*'Revenues &amp; Expenses'!F195*4</f>
        <v>27338.08</v>
      </c>
      <c r="W187" s="212" t="n">
        <f aca="false">IF(S187&gt;0,(M187-N187)*U187,0)</f>
        <v>0</v>
      </c>
    </row>
    <row r="188" customFormat="false" ht="12.75" hidden="false" customHeight="false" outlineLevel="0" collapsed="false">
      <c r="B188" s="240" t="n">
        <v>42278</v>
      </c>
      <c r="C188" s="218" t="n">
        <f aca="false">VLOOKUP(B188,'Company Gas Prices'!$B$25:$C$259,2)</f>
        <v>3.88020833</v>
      </c>
      <c r="D188" s="180" t="n">
        <f aca="false">VLOOKUP(B188,'Fuel Curve'!$B$7:$F$268,5)</f>
        <v>4.75534482758621</v>
      </c>
      <c r="E188" s="180" t="n">
        <f aca="false">D188-C188</f>
        <v>0.875136497586207</v>
      </c>
      <c r="G188" s="240" t="n">
        <v>42278</v>
      </c>
      <c r="H188" s="180" t="n">
        <f aca="false">VLOOKUP(G188,'Company Power Prices'!$B$25:$C$259,2)</f>
        <v>49.6107409</v>
      </c>
      <c r="I188" s="180" t="n">
        <f aca="false">VLOOKUP(G188,'Super Peak Curve Simulation'!$B$4:$C$225,2)</f>
        <v>36.798261073122</v>
      </c>
      <c r="J188" s="259" t="n">
        <f aca="false">I188-H188</f>
        <v>-12.812479826878</v>
      </c>
      <c r="L188" s="240" t="n">
        <v>42278</v>
      </c>
      <c r="M188" s="180" t="n">
        <f aca="false">IF($L$1=1,VLOOKUP(L188,'Super Peak Curve Simulation'!$B$7:$N$225,12),VLOOKUP(L188,'PJM Curve Simulation'!$B$9:$J$246,9))</f>
        <v>31.3250003814697</v>
      </c>
      <c r="N188" s="180" t="n">
        <f aca="false">P188+Q188</f>
        <v>48.6009484423206</v>
      </c>
      <c r="P188" s="180" t="n">
        <f aca="false">IF($L$1=1,VLOOKUP(L188,'Fuel Curve'!$B$7:$H$246,7),VLOOKUP(L188,'Revenues &amp; Expenses'!$K$9:$S$246,9))</f>
        <v>45.5514481034483</v>
      </c>
      <c r="Q188" s="180" t="n">
        <f aca="false">'Revenues &amp; Expenses'!$AM$5*1000*'Revenues &amp; Expenses'!O196</f>
        <v>3.04950033887237</v>
      </c>
      <c r="S188" s="204" t="n">
        <f aca="false">IF(M188&gt;N188,1,0)</f>
        <v>0</v>
      </c>
      <c r="T188" s="204" t="n">
        <f aca="false">'Revenues &amp; Expenses'!$S$3</f>
        <v>310.66</v>
      </c>
      <c r="U188" s="212" t="n">
        <f aca="false">T188*'Revenues &amp; Expenses'!F196*4</f>
        <v>28580.72</v>
      </c>
      <c r="W188" s="212" t="n">
        <f aca="false">IF(S188&gt;0,(M188-N188)*U188,0)</f>
        <v>0</v>
      </c>
    </row>
    <row r="189" customFormat="false" ht="12.75" hidden="false" customHeight="false" outlineLevel="0" collapsed="false">
      <c r="B189" s="240" t="n">
        <v>42309</v>
      </c>
      <c r="C189" s="218" t="n">
        <f aca="false">VLOOKUP(B189,'Company Gas Prices'!$B$25:$C$259,2)</f>
        <v>3.88020833</v>
      </c>
      <c r="D189" s="180" t="n">
        <f aca="false">VLOOKUP(B189,'Fuel Curve'!$B$7:$F$268,5)</f>
        <v>4.80465517241379</v>
      </c>
      <c r="E189" s="180" t="n">
        <f aca="false">D189-C189</f>
        <v>0.924446842413794</v>
      </c>
      <c r="G189" s="240" t="n">
        <v>42309</v>
      </c>
      <c r="H189" s="180" t="n">
        <f aca="false">VLOOKUP(G189,'Company Power Prices'!$B$25:$C$259,2)</f>
        <v>51.33971194</v>
      </c>
      <c r="I189" s="180" t="n">
        <f aca="false">VLOOKUP(G189,'Super Peak Curve Simulation'!$B$4:$C$225,2)</f>
        <v>36.9125968472672</v>
      </c>
      <c r="J189" s="259" t="n">
        <f aca="false">I189-H189</f>
        <v>-14.4271150927328</v>
      </c>
      <c r="L189" s="240" t="n">
        <v>42309</v>
      </c>
      <c r="M189" s="180" t="n">
        <f aca="false">IF($L$1=1,VLOOKUP(L189,'Super Peak Curve Simulation'!$B$7:$N$225,12),VLOOKUP(L189,'PJM Curve Simulation'!$B$9:$J$246,9))</f>
        <v>30.9974990844727</v>
      </c>
      <c r="N189" s="180" t="n">
        <f aca="false">P189+Q189</f>
        <v>49.0800701381114</v>
      </c>
      <c r="P189" s="180" t="n">
        <f aca="false">IF($L$1=1,VLOOKUP(L189,'Fuel Curve'!$B$7:$H$246,7),VLOOKUP(L189,'Revenues &amp; Expenses'!$K$9:$S$246,9))</f>
        <v>46.0237918965517</v>
      </c>
      <c r="Q189" s="180" t="n">
        <f aca="false">'Revenues &amp; Expenses'!$AM$5*1000*'Revenues &amp; Expenses'!O197</f>
        <v>3.0562782415597</v>
      </c>
      <c r="S189" s="204" t="n">
        <f aca="false">IF(M189&gt;N189,1,0)</f>
        <v>0</v>
      </c>
      <c r="T189" s="204" t="n">
        <f aca="false">'Revenues &amp; Expenses'!$S$3</f>
        <v>310.66</v>
      </c>
      <c r="U189" s="212" t="n">
        <f aca="false">T189*'Revenues &amp; Expenses'!F197*4</f>
        <v>24852.8</v>
      </c>
      <c r="W189" s="212" t="n">
        <f aca="false">IF(S189&gt;0,(M189-N189)*U189,0)</f>
        <v>0</v>
      </c>
    </row>
    <row r="190" customFormat="false" ht="12.75" hidden="false" customHeight="false" outlineLevel="0" collapsed="false">
      <c r="B190" s="240" t="n">
        <v>42339</v>
      </c>
      <c r="C190" s="218" t="n">
        <f aca="false">VLOOKUP(B190,'Company Gas Prices'!$B$25:$C$259,2)</f>
        <v>3.88020833</v>
      </c>
      <c r="D190" s="180" t="n">
        <f aca="false">VLOOKUP(B190,'Fuel Curve'!$B$7:$F$268,5)</f>
        <v>4.84741379310345</v>
      </c>
      <c r="E190" s="180" t="n">
        <f aca="false">D190-C190</f>
        <v>0.967205463103449</v>
      </c>
      <c r="G190" s="240" t="n">
        <v>42339</v>
      </c>
      <c r="H190" s="180" t="n">
        <f aca="false">VLOOKUP(G190,'Company Power Prices'!$B$25:$C$259,2)</f>
        <v>51.33971194</v>
      </c>
      <c r="I190" s="180" t="n">
        <f aca="false">VLOOKUP(G190,'Super Peak Curve Simulation'!$B$4:$C$225,2)</f>
        <v>39.4953169471039</v>
      </c>
      <c r="J190" s="259" t="n">
        <f aca="false">I190-H190</f>
        <v>-11.8443949928961</v>
      </c>
      <c r="L190" s="240" t="n">
        <v>42339</v>
      </c>
      <c r="M190" s="180" t="n">
        <f aca="false">IF($L$1=1,VLOOKUP(L190,'Super Peak Curve Simulation'!$B$7:$N$225,12),VLOOKUP(L190,'PJM Curve Simulation'!$B$9:$J$246,9))</f>
        <v>32.7499996185303</v>
      </c>
      <c r="N190" s="180" t="n">
        <f aca="false">P190+Q190</f>
        <v>49.4964479331365</v>
      </c>
      <c r="P190" s="180" t="n">
        <f aca="false">IF($L$1=1,VLOOKUP(L190,'Fuel Curve'!$B$7:$H$246,7),VLOOKUP(L190,'Revenues &amp; Expenses'!$K$9:$S$246,9))</f>
        <v>46.4333767241379</v>
      </c>
      <c r="Q190" s="180" t="n">
        <f aca="false">'Revenues &amp; Expenses'!$AM$5*1000*'Revenues &amp; Expenses'!O198</f>
        <v>3.06307120899854</v>
      </c>
      <c r="S190" s="204" t="n">
        <f aca="false">IF(M190&gt;N190,1,0)</f>
        <v>0</v>
      </c>
      <c r="T190" s="204" t="n">
        <f aca="false">'Revenues &amp; Expenses'!$S$3</f>
        <v>310.66</v>
      </c>
      <c r="U190" s="212" t="n">
        <f aca="false">T190*'Revenues &amp; Expenses'!F198*4</f>
        <v>28580.72</v>
      </c>
      <c r="W190" s="212" t="n">
        <f aca="false">IF(S190&gt;0,(M190-N190)*U190,0)</f>
        <v>0</v>
      </c>
    </row>
    <row r="191" customFormat="false" ht="12.75" hidden="false" customHeight="false" outlineLevel="0" collapsed="false">
      <c r="B191" s="240" t="n">
        <v>42370</v>
      </c>
      <c r="C191" s="218" t="n">
        <f aca="false">VLOOKUP(B191,'Company Gas Prices'!$B$25:$C$259,2)</f>
        <v>3.9375</v>
      </c>
      <c r="D191" s="180" t="n">
        <f aca="false">VLOOKUP(B191,'Fuel Curve'!$B$7:$F$268,5)</f>
        <v>4.79017241379311</v>
      </c>
      <c r="E191" s="180" t="n">
        <f aca="false">D191-C191</f>
        <v>0.852672413793105</v>
      </c>
      <c r="G191" s="240" t="n">
        <v>42370</v>
      </c>
      <c r="H191" s="180" t="n">
        <f aca="false">VLOOKUP(G191,'Company Power Prices'!$B$25:$C$259,2)</f>
        <v>48.27816185</v>
      </c>
      <c r="I191" s="180" t="n">
        <f aca="false">VLOOKUP(G191,'Super Peak Curve Simulation'!$B$4:$C$225,2)</f>
        <v>50.6734466179865</v>
      </c>
      <c r="J191" s="259" t="n">
        <f aca="false">I191-H191</f>
        <v>2.39528476798647</v>
      </c>
      <c r="L191" s="240" t="n">
        <v>42370</v>
      </c>
      <c r="M191" s="180" t="n">
        <f aca="false">IF($L$1=1,VLOOKUP(L191,'Super Peak Curve Simulation'!$B$7:$N$225,12),VLOOKUP(L191,'PJM Curve Simulation'!$B$9:$J$246,9))</f>
        <v>41.3249984741211</v>
      </c>
      <c r="N191" s="180" t="n">
        <f aca="false">P191+Q191</f>
        <v>48.9549408263964</v>
      </c>
      <c r="P191" s="180" t="n">
        <f aca="false">IF($L$1=1,VLOOKUP(L191,'Fuel Curve'!$B$7:$H$246,7),VLOOKUP(L191,'Revenues &amp; Expenses'!$K$9:$S$246,9))</f>
        <v>45.8850615517242</v>
      </c>
      <c r="Q191" s="180" t="n">
        <f aca="false">'Revenues &amp; Expenses'!$AM$5*1000*'Revenues &amp; Expenses'!O199</f>
        <v>3.06987927467222</v>
      </c>
      <c r="S191" s="204" t="n">
        <f aca="false">IF(M191&gt;N191,1,0)</f>
        <v>0</v>
      </c>
      <c r="T191" s="204" t="n">
        <f aca="false">'Revenues &amp; Expenses'!$S$3</f>
        <v>310.66</v>
      </c>
      <c r="U191" s="212" t="n">
        <f aca="false">T191*'Revenues &amp; Expenses'!F199*4</f>
        <v>27338.08</v>
      </c>
      <c r="W191" s="212" t="n">
        <f aca="false">IF(S191&gt;0,(M191-N191)*U191,0)</f>
        <v>0</v>
      </c>
    </row>
    <row r="192" customFormat="false" ht="12.75" hidden="false" customHeight="false" outlineLevel="0" collapsed="false">
      <c r="B192" s="240" t="n">
        <v>42401</v>
      </c>
      <c r="C192" s="218" t="n">
        <f aca="false">VLOOKUP(B192,'Company Gas Prices'!$B$25:$C$259,2)</f>
        <v>3.9375</v>
      </c>
      <c r="D192" s="180" t="n">
        <f aca="false">VLOOKUP(B192,'Fuel Curve'!$B$7:$F$268,5)</f>
        <v>4.69103448275862</v>
      </c>
      <c r="E192" s="180" t="n">
        <f aca="false">D192-C192</f>
        <v>0.753534482758622</v>
      </c>
      <c r="G192" s="240" t="n">
        <v>42401</v>
      </c>
      <c r="H192" s="180" t="n">
        <f aca="false">VLOOKUP(G192,'Company Power Prices'!$B$25:$C$259,2)</f>
        <v>42.68139426</v>
      </c>
      <c r="I192" s="180" t="n">
        <f aca="false">VLOOKUP(G192,'Super Peak Curve Simulation'!$B$4:$C$225,2)</f>
        <v>50.6734466179865</v>
      </c>
      <c r="J192" s="259" t="n">
        <f aca="false">I192-H192</f>
        <v>7.99205235798647</v>
      </c>
      <c r="L192" s="240" t="n">
        <v>42401</v>
      </c>
      <c r="M192" s="180" t="n">
        <f aca="false">IF($L$1=1,VLOOKUP(L192,'Super Peak Curve Simulation'!$B$7:$N$225,12),VLOOKUP(L192,'PJM Curve Simulation'!$B$9:$J$246,9))</f>
        <v>41.3249984741211</v>
      </c>
      <c r="N192" s="180" t="n">
        <f aca="false">P192+Q192</f>
        <v>48.0121217824833</v>
      </c>
      <c r="P192" s="180" t="n">
        <f aca="false">IF($L$1=1,VLOOKUP(L192,'Fuel Curve'!$B$7:$H$246,7),VLOOKUP(L192,'Revenues &amp; Expenses'!$K$9:$S$246,9))</f>
        <v>44.9354193103448</v>
      </c>
      <c r="Q192" s="180" t="n">
        <f aca="false">'Revenues &amp; Expenses'!$AM$5*1000*'Revenues &amp; Expenses'!O200</f>
        <v>3.07670247213849</v>
      </c>
      <c r="S192" s="204" t="n">
        <f aca="false">IF(M192&gt;N192,1,0)</f>
        <v>0</v>
      </c>
      <c r="T192" s="204" t="n">
        <f aca="false">'Revenues &amp; Expenses'!$S$3</f>
        <v>310.66</v>
      </c>
      <c r="U192" s="212" t="n">
        <f aca="false">T192*'Revenues &amp; Expenses'!F200*4</f>
        <v>24852.8</v>
      </c>
      <c r="W192" s="212" t="n">
        <f aca="false">IF(S192&gt;0,(M192-N192)*U192,0)</f>
        <v>0</v>
      </c>
    </row>
    <row r="193" customFormat="false" ht="12.75" hidden="false" customHeight="false" outlineLevel="0" collapsed="false">
      <c r="B193" s="240" t="n">
        <v>42430</v>
      </c>
      <c r="C193" s="218" t="n">
        <f aca="false">VLOOKUP(B193,'Company Gas Prices'!$B$25:$C$259,2)</f>
        <v>3.9375</v>
      </c>
      <c r="D193" s="180" t="n">
        <f aca="false">VLOOKUP(B193,'Fuel Curve'!$B$7:$F$268,5)</f>
        <v>4.59396551724138</v>
      </c>
      <c r="E193" s="180" t="n">
        <f aca="false">D193-C193</f>
        <v>0.65646551724138</v>
      </c>
      <c r="G193" s="240" t="n">
        <v>42430</v>
      </c>
      <c r="H193" s="180" t="n">
        <f aca="false">VLOOKUP(G193,'Company Power Prices'!$B$25:$C$259,2)</f>
        <v>42.68139426</v>
      </c>
      <c r="I193" s="180" t="n">
        <f aca="false">VLOOKUP(G193,'Super Peak Curve Simulation'!$B$4:$C$225,2)</f>
        <v>37.763787177906</v>
      </c>
      <c r="J193" s="259" t="n">
        <f aca="false">I193-H193</f>
        <v>-4.91760708209396</v>
      </c>
      <c r="L193" s="240" t="n">
        <v>42430</v>
      </c>
      <c r="M193" s="180" t="n">
        <f aca="false">IF($L$1=1,VLOOKUP(L193,'Super Peak Curve Simulation'!$B$7:$N$225,12),VLOOKUP(L193,'PJM Curve Simulation'!$B$9:$J$246,9))</f>
        <v>31.0500007629395</v>
      </c>
      <c r="N193" s="180" t="n">
        <f aca="false">P193+Q193</f>
        <v>47.0891365246849</v>
      </c>
      <c r="P193" s="180" t="n">
        <f aca="false">IF($L$1=1,VLOOKUP(L193,'Fuel Curve'!$B$7:$H$246,7),VLOOKUP(L193,'Revenues &amp; Expenses'!$K$9:$S$246,9))</f>
        <v>44.0055956896552</v>
      </c>
      <c r="Q193" s="180" t="n">
        <f aca="false">'Revenues &amp; Expenses'!$AM$5*1000*'Revenues &amp; Expenses'!O201</f>
        <v>3.08354083502968</v>
      </c>
      <c r="S193" s="204" t="n">
        <f aca="false">IF(M193&gt;N193,1,0)</f>
        <v>0</v>
      </c>
      <c r="T193" s="204" t="n">
        <f aca="false">'Revenues &amp; Expenses'!$S$3</f>
        <v>310.66</v>
      </c>
      <c r="U193" s="212" t="n">
        <f aca="false">T193*'Revenues &amp; Expenses'!F201*4</f>
        <v>28580.72</v>
      </c>
      <c r="W193" s="212" t="n">
        <f aca="false">IF(S193&gt;0,(M193-N193)*U193,0)</f>
        <v>0</v>
      </c>
    </row>
    <row r="194" customFormat="false" ht="12.75" hidden="false" customHeight="false" outlineLevel="0" collapsed="false">
      <c r="B194" s="240" t="n">
        <v>42461</v>
      </c>
      <c r="C194" s="218" t="n">
        <f aca="false">VLOOKUP(B194,'Company Gas Prices'!$B$25:$C$259,2)</f>
        <v>4.08229167</v>
      </c>
      <c r="D194" s="180" t="n">
        <f aca="false">VLOOKUP(B194,'Fuel Curve'!$B$7:$F$268,5)</f>
        <v>4.49396551724138</v>
      </c>
      <c r="E194" s="180" t="n">
        <f aca="false">D194-C194</f>
        <v>0.41167384724138</v>
      </c>
      <c r="G194" s="240" t="n">
        <v>42461</v>
      </c>
      <c r="H194" s="180" t="n">
        <f aca="false">VLOOKUP(G194,'Company Power Prices'!$B$25:$C$259,2)</f>
        <v>47.23554814</v>
      </c>
      <c r="I194" s="180" t="n">
        <f aca="false">VLOOKUP(G194,'Super Peak Curve Simulation'!$B$4:$C$225,2)</f>
        <v>34.9667184669329</v>
      </c>
      <c r="J194" s="259" t="n">
        <f aca="false">I194-H194</f>
        <v>-12.2688296730671</v>
      </c>
      <c r="L194" s="240" t="n">
        <v>42461</v>
      </c>
      <c r="M194" s="180" t="n">
        <f aca="false">IF($L$1=1,VLOOKUP(L194,'Super Peak Curve Simulation'!$B$7:$N$225,12),VLOOKUP(L194,'PJM Curve Simulation'!$B$9:$J$246,9))</f>
        <v>30.8250007629395</v>
      </c>
      <c r="N194" s="180" t="n">
        <f aca="false">P194+Q194</f>
        <v>46.1380900867081</v>
      </c>
      <c r="P194" s="180" t="n">
        <f aca="false">IF($L$1=1,VLOOKUP(L194,'Fuel Curve'!$B$7:$H$246,7),VLOOKUP(L194,'Revenues &amp; Expenses'!$K$9:$S$246,9))</f>
        <v>43.0476956896552</v>
      </c>
      <c r="Q194" s="180" t="n">
        <f aca="false">'Revenues &amp; Expenses'!$AM$5*1000*'Revenues &amp; Expenses'!O202</f>
        <v>3.09039439705288</v>
      </c>
      <c r="S194" s="204" t="n">
        <f aca="false">IF(M194&gt;N194,1,0)</f>
        <v>0</v>
      </c>
      <c r="T194" s="204" t="n">
        <f aca="false">'Revenues &amp; Expenses'!$S$3</f>
        <v>310.66</v>
      </c>
      <c r="U194" s="212" t="n">
        <f aca="false">T194*'Revenues &amp; Expenses'!F202*4</f>
        <v>27338.08</v>
      </c>
      <c r="W194" s="212" t="n">
        <f aca="false">IF(S194&gt;0,(M194-N194)*U194,0)</f>
        <v>0</v>
      </c>
    </row>
    <row r="195" customFormat="false" ht="12.75" hidden="false" customHeight="false" outlineLevel="0" collapsed="false">
      <c r="B195" s="240" t="n">
        <v>42491</v>
      </c>
      <c r="C195" s="218" t="n">
        <f aca="false">VLOOKUP(B195,'Company Gas Prices'!$B$25:$C$259,2)</f>
        <v>3.91979167</v>
      </c>
      <c r="D195" s="180" t="n">
        <f aca="false">VLOOKUP(B195,'Fuel Curve'!$B$7:$F$268,5)</f>
        <v>4.42672413793104</v>
      </c>
      <c r="E195" s="180" t="n">
        <f aca="false">D195-C195</f>
        <v>0.506932467931035</v>
      </c>
      <c r="G195" s="240" t="n">
        <v>42491</v>
      </c>
      <c r="H195" s="180" t="n">
        <f aca="false">VLOOKUP(G195,'Company Power Prices'!$B$25:$C$259,2)</f>
        <v>60.2139652</v>
      </c>
      <c r="I195" s="180" t="n">
        <f aca="false">VLOOKUP(G195,'Super Peak Curve Simulation'!$B$4:$C$225,2)</f>
        <v>42.6222475633329</v>
      </c>
      <c r="J195" s="259" t="n">
        <f aca="false">I195-H195</f>
        <v>-17.5917176366671</v>
      </c>
      <c r="L195" s="240" t="n">
        <v>42491</v>
      </c>
      <c r="M195" s="180" t="n">
        <f aca="false">IF($L$1=1,VLOOKUP(L195,'Super Peak Curve Simulation'!$B$7:$N$225,12),VLOOKUP(L195,'PJM Curve Simulation'!$B$9:$J$246,9))</f>
        <v>38.825</v>
      </c>
      <c r="N195" s="180" t="n">
        <f aca="false">P195+Q195</f>
        <v>45.5008537092315</v>
      </c>
      <c r="P195" s="180" t="n">
        <f aca="false">IF($L$1=1,VLOOKUP(L195,'Fuel Curve'!$B$7:$H$246,7),VLOOKUP(L195,'Revenues &amp; Expenses'!$K$9:$S$246,9))</f>
        <v>42.4035905172414</v>
      </c>
      <c r="Q195" s="180" t="n">
        <f aca="false">'Revenues &amp; Expenses'!$AM$5*1000*'Revenues &amp; Expenses'!O203</f>
        <v>3.0972631919901</v>
      </c>
      <c r="S195" s="204" t="n">
        <f aca="false">IF(M195&gt;N195,1,0)</f>
        <v>0</v>
      </c>
      <c r="T195" s="204" t="n">
        <f aca="false">'Revenues &amp; Expenses'!$S$3</f>
        <v>310.66</v>
      </c>
      <c r="U195" s="212" t="n">
        <f aca="false">T195*'Revenues &amp; Expenses'!F203*4</f>
        <v>26095.44</v>
      </c>
      <c r="W195" s="212" t="n">
        <f aca="false">IF(S195&gt;0,(M195-N195)*U195,0)</f>
        <v>0</v>
      </c>
    </row>
    <row r="196" customFormat="false" ht="12.75" hidden="false" customHeight="false" outlineLevel="0" collapsed="false">
      <c r="B196" s="240" t="n">
        <v>42522</v>
      </c>
      <c r="C196" s="218" t="n">
        <f aca="false">VLOOKUP(B196,'Company Gas Prices'!$B$25:$C$259,2)</f>
        <v>3.9125</v>
      </c>
      <c r="D196" s="180" t="n">
        <f aca="false">VLOOKUP(B196,'Fuel Curve'!$B$7:$F$268,5)</f>
        <v>4.42017241379311</v>
      </c>
      <c r="E196" s="180" t="n">
        <f aca="false">D196-C196</f>
        <v>0.507672413793105</v>
      </c>
      <c r="G196" s="240" t="n">
        <v>42522</v>
      </c>
      <c r="H196" s="180" t="n">
        <f aca="false">VLOOKUP(G196,'Company Power Prices'!$B$25:$C$259,2)</f>
        <v>110.5573703</v>
      </c>
      <c r="I196" s="180" t="n">
        <f aca="false">VLOOKUP(G196,'Super Peak Curve Simulation'!$B$4:$C$225,2)</f>
        <v>82.4910420293672</v>
      </c>
      <c r="J196" s="259" t="n">
        <f aca="false">I196-H196</f>
        <v>-28.0663282706329</v>
      </c>
      <c r="L196" s="240" t="n">
        <v>42522</v>
      </c>
      <c r="M196" s="180" t="n">
        <f aca="false">IF($L$1=1,VLOOKUP(L196,'Super Peak Curve Simulation'!$B$7:$N$225,12),VLOOKUP(L196,'PJM Curve Simulation'!$B$9:$J$246,9))</f>
        <v>66.8499984741211</v>
      </c>
      <c r="N196" s="180" t="n">
        <f aca="false">P196+Q196</f>
        <v>45.4449788054226</v>
      </c>
      <c r="P196" s="180" t="n">
        <f aca="false">IF($L$1=1,VLOOKUP(L196,'Fuel Curve'!$B$7:$H$246,7),VLOOKUP(L196,'Revenues &amp; Expenses'!$K$9:$S$246,9))</f>
        <v>42.3408315517242</v>
      </c>
      <c r="Q196" s="180" t="n">
        <f aca="false">'Revenues &amp; Expenses'!$AM$5*1000*'Revenues &amp; Expenses'!O204</f>
        <v>3.10414725369842</v>
      </c>
      <c r="S196" s="204" t="n">
        <f aca="false">IF(M196&gt;N196,1,0)</f>
        <v>1</v>
      </c>
      <c r="T196" s="204" t="n">
        <f aca="false">'Revenues &amp; Expenses'!$S$3</f>
        <v>310.66</v>
      </c>
      <c r="U196" s="212" t="n">
        <f aca="false">T196*'Revenues &amp; Expenses'!F204*4</f>
        <v>27338.08</v>
      </c>
      <c r="W196" s="212" t="n">
        <f aca="false">IF(S196&gt;0,(M196-N196)*U196,0)</f>
        <v>585172.140104454</v>
      </c>
    </row>
    <row r="197" customFormat="false" ht="12.75" hidden="false" customHeight="false" outlineLevel="0" collapsed="false">
      <c r="B197" s="240" t="n">
        <v>42552</v>
      </c>
      <c r="C197" s="218" t="n">
        <f aca="false">VLOOKUP(B197,'Company Gas Prices'!$B$25:$C$259,2)</f>
        <v>3.87395833</v>
      </c>
      <c r="D197" s="180" t="n">
        <f aca="false">VLOOKUP(B197,'Fuel Curve'!$B$7:$F$268,5)</f>
        <v>4.47741379310345</v>
      </c>
      <c r="E197" s="180" t="n">
        <f aca="false">D197-C197</f>
        <v>0.603455463103449</v>
      </c>
      <c r="G197" s="240" t="n">
        <v>42552</v>
      </c>
      <c r="H197" s="180" t="n">
        <f aca="false">VLOOKUP(G197,'Company Power Prices'!$B$25:$C$259,2)</f>
        <v>180.9578376</v>
      </c>
      <c r="I197" s="180" t="n">
        <f aca="false">VLOOKUP(G197,'Super Peak Curve Simulation'!$B$4:$C$225,2)</f>
        <v>158.158767209861</v>
      </c>
      <c r="J197" s="259" t="n">
        <f aca="false">I197-H197</f>
        <v>-22.7990703901386</v>
      </c>
      <c r="L197" s="240" t="n">
        <v>42552</v>
      </c>
      <c r="M197" s="180" t="n">
        <f aca="false">IF($L$1=1,VLOOKUP(L197,'Super Peak Curve Simulation'!$B$7:$N$225,12),VLOOKUP(L197,'PJM Curve Simulation'!$B$9:$J$246,9))</f>
        <v>120.449996948242</v>
      </c>
      <c r="N197" s="180" t="n">
        <f aca="false">P197+Q197</f>
        <v>46.0001933402481</v>
      </c>
      <c r="P197" s="180" t="n">
        <f aca="false">IF($L$1=1,VLOOKUP(L197,'Fuel Curve'!$B$7:$H$246,7),VLOOKUP(L197,'Revenues &amp; Expenses'!$K$9:$S$246,9))</f>
        <v>42.8891467241379</v>
      </c>
      <c r="Q197" s="180" t="n">
        <f aca="false">'Revenues &amp; Expenses'!$AM$5*1000*'Revenues &amp; Expenses'!O205</f>
        <v>3.11104661611019</v>
      </c>
      <c r="S197" s="204" t="n">
        <f aca="false">IF(M197&gt;N197,1,0)</f>
        <v>1</v>
      </c>
      <c r="T197" s="204" t="n">
        <f aca="false">'Revenues &amp; Expenses'!$S$3</f>
        <v>310.66</v>
      </c>
      <c r="U197" s="212" t="n">
        <f aca="false">T197*'Revenues &amp; Expenses'!F205*4</f>
        <v>27338.08</v>
      </c>
      <c r="W197" s="212" t="n">
        <f aca="false">IF(S197&gt;0,(M197-N197)*U197,0)</f>
        <v>2035314.68701963</v>
      </c>
    </row>
    <row r="198" customFormat="false" ht="12.75" hidden="false" customHeight="false" outlineLevel="0" collapsed="false">
      <c r="B198" s="240" t="n">
        <v>42583</v>
      </c>
      <c r="C198" s="218" t="n">
        <f aca="false">VLOOKUP(B198,'Company Gas Prices'!$B$25:$C$259,2)</f>
        <v>3.87395833</v>
      </c>
      <c r="D198" s="180" t="n">
        <f aca="false">VLOOKUP(B198,'Fuel Curve'!$B$7:$F$268,5)</f>
        <v>4.56793103448276</v>
      </c>
      <c r="E198" s="180" t="n">
        <f aca="false">D198-C198</f>
        <v>0.69397270448276</v>
      </c>
      <c r="G198" s="240" t="n">
        <v>42583</v>
      </c>
      <c r="H198" s="180" t="n">
        <f aca="false">VLOOKUP(G198,'Company Power Prices'!$B$25:$C$259,2)</f>
        <v>180.9578376</v>
      </c>
      <c r="I198" s="180" t="n">
        <f aca="false">VLOOKUP(G198,'Super Peak Curve Simulation'!$B$4:$C$225,2)</f>
        <v>131.877667550948</v>
      </c>
      <c r="J198" s="259" t="n">
        <f aca="false">I198-H198</f>
        <v>-49.0801700490524</v>
      </c>
      <c r="L198" s="240" t="n">
        <v>42583</v>
      </c>
      <c r="M198" s="180" t="n">
        <f aca="false">IF($L$1=1,VLOOKUP(L198,'Super Peak Curve Simulation'!$B$7:$N$225,12),VLOOKUP(L198,'PJM Curve Simulation'!$B$9:$J$246,9))</f>
        <v>107.449996948242</v>
      </c>
      <c r="N198" s="180" t="n">
        <f aca="false">P198+Q198</f>
        <v>46.8741726925435</v>
      </c>
      <c r="P198" s="180" t="n">
        <f aca="false">IF($L$1=1,VLOOKUP(L198,'Fuel Curve'!$B$7:$H$246,7),VLOOKUP(L198,'Revenues &amp; Expenses'!$K$9:$S$246,9))</f>
        <v>43.7562113793104</v>
      </c>
      <c r="Q198" s="180" t="n">
        <f aca="false">'Revenues &amp; Expenses'!$AM$5*1000*'Revenues &amp; Expenses'!O206</f>
        <v>3.11796131323318</v>
      </c>
      <c r="S198" s="204" t="n">
        <f aca="false">IF(M198&gt;N198,1,0)</f>
        <v>1</v>
      </c>
      <c r="T198" s="204" t="n">
        <f aca="false">'Revenues &amp; Expenses'!$S$3</f>
        <v>310.66</v>
      </c>
      <c r="U198" s="212" t="n">
        <f aca="false">T198*'Revenues &amp; Expenses'!F206*4</f>
        <v>27338.08</v>
      </c>
      <c r="W198" s="212" t="n">
        <f aca="false">IF(S198&gt;0,(M198-N198)*U198,0)</f>
        <v>1656026.72956823</v>
      </c>
    </row>
    <row r="199" customFormat="false" ht="12.75" hidden="false" customHeight="false" outlineLevel="0" collapsed="false">
      <c r="B199" s="240" t="n">
        <v>42614</v>
      </c>
      <c r="C199" s="218" t="n">
        <f aca="false">VLOOKUP(B199,'Company Gas Prices'!$B$25:$C$259,2)</f>
        <v>3.91979167</v>
      </c>
      <c r="D199" s="180" t="n">
        <f aca="false">VLOOKUP(B199,'Fuel Curve'!$B$7:$F$268,5)</f>
        <v>4.66275862068966</v>
      </c>
      <c r="E199" s="180" t="n">
        <f aca="false">D199-C199</f>
        <v>0.742966950689656</v>
      </c>
      <c r="G199" s="240" t="n">
        <v>42614</v>
      </c>
      <c r="H199" s="180" t="n">
        <f aca="false">VLOOKUP(G199,'Company Power Prices'!$B$25:$C$259,2)</f>
        <v>60.2139652</v>
      </c>
      <c r="I199" s="180" t="n">
        <f aca="false">VLOOKUP(G199,'Super Peak Curve Simulation'!$B$4:$C$225,2)</f>
        <v>45.5387499998995</v>
      </c>
      <c r="J199" s="259" t="n">
        <f aca="false">I199-H199</f>
        <v>-14.6752152001005</v>
      </c>
      <c r="L199" s="240" t="n">
        <v>42614</v>
      </c>
      <c r="M199" s="180" t="n">
        <f aca="false">IF($L$1=1,VLOOKUP(L199,'Super Peak Curve Simulation'!$B$7:$N$225,12),VLOOKUP(L199,'PJM Curve Simulation'!$B$9:$J$246,9))</f>
        <v>39.4249984741211</v>
      </c>
      <c r="N199" s="180" t="n">
        <f aca="false">P199+Q199</f>
        <v>47.7894562067369</v>
      </c>
      <c r="P199" s="180" t="n">
        <f aca="false">IF($L$1=1,VLOOKUP(L199,'Fuel Curve'!$B$7:$H$246,7),VLOOKUP(L199,'Revenues &amp; Expenses'!$K$9:$S$246,9))</f>
        <v>44.6645648275862</v>
      </c>
      <c r="Q199" s="180" t="n">
        <f aca="false">'Revenues &amp; Expenses'!$AM$5*1000*'Revenues &amp; Expenses'!O207</f>
        <v>3.12489137915072</v>
      </c>
      <c r="S199" s="204" t="n">
        <f aca="false">IF(M199&gt;N199,1,0)</f>
        <v>0</v>
      </c>
      <c r="T199" s="204" t="n">
        <f aca="false">'Revenues &amp; Expenses'!$S$3</f>
        <v>310.66</v>
      </c>
      <c r="U199" s="212" t="n">
        <f aca="false">T199*'Revenues &amp; Expenses'!F207*4</f>
        <v>27338.08</v>
      </c>
      <c r="W199" s="212" t="n">
        <f aca="false">IF(S199&gt;0,(M199-N199)*U199,0)</f>
        <v>0</v>
      </c>
    </row>
    <row r="200" customFormat="false" ht="12.75" hidden="false" customHeight="false" outlineLevel="0" collapsed="false">
      <c r="B200" s="240" t="n">
        <v>42644</v>
      </c>
      <c r="C200" s="218" t="n">
        <f aca="false">VLOOKUP(B200,'Company Gas Prices'!$B$25:$C$259,2)</f>
        <v>3.88020833</v>
      </c>
      <c r="D200" s="180" t="n">
        <f aca="false">VLOOKUP(B200,'Fuel Curve'!$B$7:$F$268,5)</f>
        <v>4.75534482758621</v>
      </c>
      <c r="E200" s="180" t="n">
        <f aca="false">D200-C200</f>
        <v>0.875136497586207</v>
      </c>
      <c r="G200" s="240" t="n">
        <v>42644</v>
      </c>
      <c r="H200" s="180" t="n">
        <f aca="false">VLOOKUP(G200,'Company Power Prices'!$B$25:$C$259,2)</f>
        <v>49.63534386</v>
      </c>
      <c r="I200" s="180" t="n">
        <f aca="false">VLOOKUP(G200,'Super Peak Curve Simulation'!$B$4:$C$225,2)</f>
        <v>37.091942323122</v>
      </c>
      <c r="J200" s="259" t="n">
        <f aca="false">I200-H200</f>
        <v>-12.543401536878</v>
      </c>
      <c r="L200" s="240" t="n">
        <v>42644</v>
      </c>
      <c r="M200" s="180" t="n">
        <f aca="false">IF($L$1=1,VLOOKUP(L200,'Super Peak Curve Simulation'!$B$7:$N$225,12),VLOOKUP(L200,'PJM Curve Simulation'!$B$9:$J$246,9))</f>
        <v>31.5750003814697</v>
      </c>
      <c r="N200" s="180" t="n">
        <f aca="false">P200+Q200</f>
        <v>48.6832849514702</v>
      </c>
      <c r="P200" s="180" t="n">
        <f aca="false">IF($L$1=1,VLOOKUP(L200,'Fuel Curve'!$B$7:$H$246,7),VLOOKUP(L200,'Revenues &amp; Expenses'!$K$9:$S$246,9))</f>
        <v>45.5514481034483</v>
      </c>
      <c r="Q200" s="180" t="n">
        <f aca="false">'Revenues &amp; Expenses'!$AM$5*1000*'Revenues &amp; Expenses'!O208</f>
        <v>3.13183684802192</v>
      </c>
      <c r="S200" s="204" t="n">
        <f aca="false">IF(M200&gt;N200,1,0)</f>
        <v>0</v>
      </c>
      <c r="T200" s="204" t="n">
        <f aca="false">'Revenues &amp; Expenses'!$S$3</f>
        <v>310.66</v>
      </c>
      <c r="U200" s="212" t="n">
        <f aca="false">T200*'Revenues &amp; Expenses'!F208*4</f>
        <v>26095.44</v>
      </c>
      <c r="W200" s="212" t="n">
        <f aca="false">IF(S200&gt;0,(M200-N200)*U200,0)</f>
        <v>0</v>
      </c>
    </row>
    <row r="201" customFormat="false" ht="12.75" hidden="false" customHeight="false" outlineLevel="0" collapsed="false">
      <c r="B201" s="240" t="n">
        <v>42675</v>
      </c>
      <c r="C201" s="218" t="n">
        <f aca="false">VLOOKUP(B201,'Company Gas Prices'!$B$25:$C$259,2)</f>
        <v>3.88020833</v>
      </c>
      <c r="D201" s="180" t="n">
        <f aca="false">VLOOKUP(B201,'Fuel Curve'!$B$7:$F$268,5)</f>
        <v>4.80465517241379</v>
      </c>
      <c r="E201" s="180" t="n">
        <f aca="false">D201-C201</f>
        <v>0.924446842413794</v>
      </c>
      <c r="G201" s="240" t="n">
        <v>42675</v>
      </c>
      <c r="H201" s="180" t="n">
        <f aca="false">VLOOKUP(G201,'Company Power Prices'!$B$25:$C$259,2)</f>
        <v>51.33491865</v>
      </c>
      <c r="I201" s="180" t="n">
        <f aca="false">VLOOKUP(G201,'Super Peak Curve Simulation'!$B$4:$C$225,2)</f>
        <v>37.2103030972672</v>
      </c>
      <c r="J201" s="259" t="n">
        <f aca="false">I201-H201</f>
        <v>-14.1246155527328</v>
      </c>
      <c r="L201" s="240" t="n">
        <v>42675</v>
      </c>
      <c r="M201" s="180" t="n">
        <f aca="false">IF($L$1=1,VLOOKUP(L201,'Super Peak Curve Simulation'!$B$7:$N$225,12),VLOOKUP(L201,'PJM Curve Simulation'!$B$9:$J$246,9))</f>
        <v>31.2474990844727</v>
      </c>
      <c r="N201" s="180" t="n">
        <f aca="false">P201+Q201</f>
        <v>49.1625896506335</v>
      </c>
      <c r="P201" s="180" t="n">
        <f aca="false">IF($L$1=1,VLOOKUP(L201,'Fuel Curve'!$B$7:$H$246,7),VLOOKUP(L201,'Revenues &amp; Expenses'!$K$9:$S$246,9))</f>
        <v>46.0237918965517</v>
      </c>
      <c r="Q201" s="180" t="n">
        <f aca="false">'Revenues &amp; Expenses'!$AM$5*1000*'Revenues &amp; Expenses'!O209</f>
        <v>3.13879775408181</v>
      </c>
      <c r="S201" s="204" t="n">
        <f aca="false">IF(M201&gt;N201,1,0)</f>
        <v>0</v>
      </c>
      <c r="T201" s="204" t="n">
        <f aca="false">'Revenues &amp; Expenses'!$S$3</f>
        <v>310.66</v>
      </c>
      <c r="U201" s="212" t="n">
        <f aca="false">T201*'Revenues &amp; Expenses'!F209*4</f>
        <v>27338.08</v>
      </c>
      <c r="W201" s="212" t="n">
        <f aca="false">IF(S201&gt;0,(M201-N201)*U201,0)</f>
        <v>0</v>
      </c>
    </row>
    <row r="202" customFormat="false" ht="12.75" hidden="false" customHeight="false" outlineLevel="0" collapsed="false">
      <c r="B202" s="240" t="n">
        <v>42705</v>
      </c>
      <c r="C202" s="218" t="n">
        <f aca="false">VLOOKUP(B202,'Company Gas Prices'!$B$25:$C$259,2)</f>
        <v>3.88020833</v>
      </c>
      <c r="D202" s="180" t="n">
        <f aca="false">VLOOKUP(B202,'Fuel Curve'!$B$7:$F$268,5)</f>
        <v>4.84741379310345</v>
      </c>
      <c r="E202" s="180" t="n">
        <f aca="false">D202-C202</f>
        <v>0.967205463103449</v>
      </c>
      <c r="G202" s="240" t="n">
        <v>42705</v>
      </c>
      <c r="H202" s="180" t="n">
        <f aca="false">VLOOKUP(G202,'Company Power Prices'!$B$25:$C$259,2)</f>
        <v>51.33491865</v>
      </c>
      <c r="I202" s="180" t="n">
        <f aca="false">VLOOKUP(G202,'Super Peak Curve Simulation'!$B$4:$C$225,2)</f>
        <v>39.7968079196775</v>
      </c>
      <c r="J202" s="259" t="n">
        <f aca="false">I202-H202</f>
        <v>-11.5381107303225</v>
      </c>
      <c r="L202" s="240" t="n">
        <v>42705</v>
      </c>
      <c r="M202" s="180" t="n">
        <f aca="false">IF($L$1=1,VLOOKUP(L202,'Super Peak Curve Simulation'!$B$7:$N$225,12),VLOOKUP(L202,'PJM Curve Simulation'!$B$9:$J$246,9))</f>
        <v>32.9999996185303</v>
      </c>
      <c r="N202" s="180" t="n">
        <f aca="false">P202+Q202</f>
        <v>49.5791508557794</v>
      </c>
      <c r="P202" s="180" t="n">
        <f aca="false">IF($L$1=1,VLOOKUP(L202,'Fuel Curve'!$B$7:$H$246,7),VLOOKUP(L202,'Revenues &amp; Expenses'!$K$9:$S$246,9))</f>
        <v>46.4333767241379</v>
      </c>
      <c r="Q202" s="180" t="n">
        <f aca="false">'Revenues &amp; Expenses'!$AM$5*1000*'Revenues &amp; Expenses'!O210</f>
        <v>3.1457741316415</v>
      </c>
      <c r="S202" s="204" t="n">
        <f aca="false">IF(M202&gt;N202,1,0)</f>
        <v>0</v>
      </c>
      <c r="T202" s="204" t="n">
        <f aca="false">'Revenues &amp; Expenses'!$S$3</f>
        <v>310.66</v>
      </c>
      <c r="U202" s="212" t="n">
        <f aca="false">T202*'Revenues &amp; Expenses'!F210*4</f>
        <v>28580.72</v>
      </c>
      <c r="W202" s="212" t="n">
        <f aca="false">IF(S202&gt;0,(M202-N202)*U202,0)</f>
        <v>0</v>
      </c>
    </row>
    <row r="203" customFormat="false" ht="12.75" hidden="false" customHeight="false" outlineLevel="0" collapsed="false">
      <c r="B203" s="240" t="n">
        <v>42736</v>
      </c>
      <c r="C203" s="218" t="n">
        <f aca="false">VLOOKUP(B203,'Company Gas Prices'!$B$25:$C$259,2)</f>
        <v>3.9375</v>
      </c>
      <c r="D203" s="180" t="n">
        <f aca="false">VLOOKUP(B203,'Fuel Curve'!$B$7:$F$268,5)</f>
        <v>4.79017241379311</v>
      </c>
      <c r="E203" s="180" t="n">
        <f aca="false">D203-C203</f>
        <v>0.852672413793105</v>
      </c>
      <c r="G203" s="240" t="n">
        <v>42736</v>
      </c>
      <c r="H203" s="180" t="n">
        <f aca="false">VLOOKUP(G203,'Company Power Prices'!$B$25:$C$259,2)</f>
        <v>48.24132061</v>
      </c>
      <c r="I203" s="180" t="n">
        <f aca="false">VLOOKUP(G203,'Super Peak Curve Simulation'!$B$4:$C$225,2)</f>
        <v>50.9800010553068</v>
      </c>
      <c r="J203" s="259" t="n">
        <f aca="false">I203-H203</f>
        <v>2.73868044530677</v>
      </c>
      <c r="L203" s="240" t="n">
        <v>42736</v>
      </c>
      <c r="M203" s="180" t="n">
        <f aca="false">IF($L$1=1,VLOOKUP(L203,'Super Peak Curve Simulation'!$B$7:$N$225,12),VLOOKUP(L203,'PJM Curve Simulation'!$B$9:$J$246,9))</f>
        <v>41.5749984741211</v>
      </c>
      <c r="N203" s="180" t="n">
        <f aca="false">P203+Q203</f>
        <v>49.0378275668125</v>
      </c>
      <c r="P203" s="180" t="n">
        <f aca="false">IF($L$1=1,VLOOKUP(L203,'Fuel Curve'!$B$7:$H$246,7),VLOOKUP(L203,'Revenues &amp; Expenses'!$K$9:$S$246,9))</f>
        <v>45.8850615517242</v>
      </c>
      <c r="Q203" s="180" t="n">
        <f aca="false">'Revenues &amp; Expenses'!$AM$5*1000*'Revenues &amp; Expenses'!O211</f>
        <v>3.15276601508837</v>
      </c>
      <c r="S203" s="204" t="n">
        <f aca="false">IF(M203&gt;N203,1,0)</f>
        <v>0</v>
      </c>
      <c r="T203" s="204" t="n">
        <f aca="false">'Revenues &amp; Expenses'!$S$3</f>
        <v>310.66</v>
      </c>
      <c r="U203" s="212" t="n">
        <f aca="false">T203*'Revenues &amp; Expenses'!F211*4</f>
        <v>28580.72</v>
      </c>
      <c r="W203" s="212" t="n">
        <f aca="false">IF(S203&gt;0,(M203-N203)*U203,0)</f>
        <v>0</v>
      </c>
    </row>
    <row r="204" customFormat="false" ht="12.75" hidden="false" customHeight="false" outlineLevel="0" collapsed="false">
      <c r="B204" s="240" t="n">
        <v>42767</v>
      </c>
      <c r="C204" s="218" t="n">
        <f aca="false">VLOOKUP(B204,'Company Gas Prices'!$B$25:$C$259,2)</f>
        <v>3.9375</v>
      </c>
      <c r="D204" s="180" t="n">
        <f aca="false">VLOOKUP(B204,'Fuel Curve'!$B$7:$F$268,5)</f>
        <v>4.69103448275862</v>
      </c>
      <c r="E204" s="180" t="n">
        <f aca="false">D204-C204</f>
        <v>0.753534482758622</v>
      </c>
      <c r="G204" s="240" t="n">
        <v>42767</v>
      </c>
      <c r="H204" s="180" t="n">
        <f aca="false">VLOOKUP(G204,'Company Power Prices'!$B$25:$C$259,2)</f>
        <v>42.64327304</v>
      </c>
      <c r="I204" s="180" t="n">
        <f aca="false">VLOOKUP(G204,'Super Peak Curve Simulation'!$B$4:$C$225,2)</f>
        <v>50.9800010553068</v>
      </c>
      <c r="J204" s="259" t="n">
        <f aca="false">I204-H204</f>
        <v>8.33672801530678</v>
      </c>
      <c r="L204" s="240" t="n">
        <v>42767</v>
      </c>
      <c r="M204" s="180" t="n">
        <f aca="false">IF($L$1=1,VLOOKUP(L204,'Super Peak Curve Simulation'!$B$7:$N$225,12),VLOOKUP(L204,'PJM Curve Simulation'!$B$9:$J$246,9))</f>
        <v>41.5749984741211</v>
      </c>
      <c r="N204" s="180" t="n">
        <f aca="false">P204+Q204</f>
        <v>48.0951927492311</v>
      </c>
      <c r="P204" s="180" t="n">
        <f aca="false">IF($L$1=1,VLOOKUP(L204,'Fuel Curve'!$B$7:$H$246,7),VLOOKUP(L204,'Revenues &amp; Expenses'!$K$9:$S$246,9))</f>
        <v>44.9354193103448</v>
      </c>
      <c r="Q204" s="180" t="n">
        <f aca="false">'Revenues &amp; Expenses'!$AM$5*1000*'Revenues &amp; Expenses'!O212</f>
        <v>3.15977343888622</v>
      </c>
      <c r="S204" s="204" t="n">
        <f aca="false">IF(M204&gt;N204,1,0)</f>
        <v>0</v>
      </c>
      <c r="T204" s="204" t="n">
        <f aca="false">'Revenues &amp; Expenses'!$S$3</f>
        <v>310.66</v>
      </c>
      <c r="U204" s="212" t="n">
        <f aca="false">T204*'Revenues &amp; Expenses'!F212*4</f>
        <v>24852.8</v>
      </c>
      <c r="W204" s="212" t="n">
        <f aca="false">IF(S204&gt;0,(M204-N204)*U204,0)</f>
        <v>0</v>
      </c>
    </row>
    <row r="205" customFormat="false" ht="12.75" hidden="false" customHeight="false" outlineLevel="0" collapsed="false">
      <c r="B205" s="240" t="n">
        <v>42795</v>
      </c>
      <c r="C205" s="218" t="n">
        <f aca="false">VLOOKUP(B205,'Company Gas Prices'!$B$25:$C$259,2)</f>
        <v>3.9375</v>
      </c>
      <c r="D205" s="180" t="n">
        <f aca="false">VLOOKUP(B205,'Fuel Curve'!$B$7:$F$268,5)</f>
        <v>4.59396551724138</v>
      </c>
      <c r="E205" s="180" t="n">
        <f aca="false">D205-C205</f>
        <v>0.65646551724138</v>
      </c>
      <c r="G205" s="240" t="n">
        <v>42795</v>
      </c>
      <c r="H205" s="180" t="n">
        <f aca="false">VLOOKUP(G205,'Company Power Prices'!$B$25:$C$259,2)</f>
        <v>42.64327304</v>
      </c>
      <c r="I205" s="180" t="n">
        <f aca="false">VLOOKUP(G205,'Super Peak Curve Simulation'!$B$4:$C$225,2)</f>
        <v>38.067843427906</v>
      </c>
      <c r="J205" s="259" t="n">
        <f aca="false">I205-H205</f>
        <v>-4.57542961209396</v>
      </c>
      <c r="L205" s="240" t="n">
        <v>42795</v>
      </c>
      <c r="M205" s="180" t="n">
        <f aca="false">IF($L$1=1,VLOOKUP(L205,'Super Peak Curve Simulation'!$B$7:$N$225,12),VLOOKUP(L205,'PJM Curve Simulation'!$B$9:$J$246,9))</f>
        <v>31.3000007629395</v>
      </c>
      <c r="N205" s="180" t="n">
        <f aca="false">P205+Q205</f>
        <v>47.1723921272307</v>
      </c>
      <c r="P205" s="180" t="n">
        <f aca="false">IF($L$1=1,VLOOKUP(L205,'Fuel Curve'!$B$7:$H$246,7),VLOOKUP(L205,'Revenues &amp; Expenses'!$K$9:$S$246,9))</f>
        <v>44.0055956896552</v>
      </c>
      <c r="Q205" s="180" t="n">
        <f aca="false">'Revenues &amp; Expenses'!$AM$5*1000*'Revenues &amp; Expenses'!O213</f>
        <v>3.16679643757548</v>
      </c>
      <c r="S205" s="204" t="n">
        <f aca="false">IF(M205&gt;N205,1,0)</f>
        <v>0</v>
      </c>
      <c r="T205" s="204" t="n">
        <f aca="false">'Revenues &amp; Expenses'!$S$3</f>
        <v>310.66</v>
      </c>
      <c r="U205" s="212" t="n">
        <f aca="false">T205*'Revenues &amp; Expenses'!F213*4</f>
        <v>27338.08</v>
      </c>
      <c r="W205" s="212" t="n">
        <f aca="false">IF(S205&gt;0,(M205-N205)*U205,0)</f>
        <v>0</v>
      </c>
    </row>
    <row r="206" customFormat="false" ht="12.75" hidden="false" customHeight="false" outlineLevel="0" collapsed="false">
      <c r="B206" s="240" t="n">
        <v>42826</v>
      </c>
      <c r="C206" s="218" t="n">
        <f aca="false">VLOOKUP(B206,'Company Gas Prices'!$B$25:$C$259,2)</f>
        <v>4.08229167</v>
      </c>
      <c r="D206" s="180" t="n">
        <f aca="false">VLOOKUP(B206,'Fuel Curve'!$B$7:$F$268,5)</f>
        <v>4.49396551724138</v>
      </c>
      <c r="E206" s="180" t="n">
        <f aca="false">D206-C206</f>
        <v>0.41167384724138</v>
      </c>
      <c r="G206" s="240" t="n">
        <v>42826</v>
      </c>
      <c r="H206" s="180" t="n">
        <f aca="false">VLOOKUP(G206,'Company Power Prices'!$B$25:$C$259,2)</f>
        <v>47.27162574</v>
      </c>
      <c r="I206" s="180" t="n">
        <f aca="false">VLOOKUP(G206,'Super Peak Curve Simulation'!$B$4:$C$225,2)</f>
        <v>35.2503090395321</v>
      </c>
      <c r="J206" s="259" t="n">
        <f aca="false">I206-H206</f>
        <v>-12.0213167004679</v>
      </c>
      <c r="L206" s="240" t="n">
        <v>42826</v>
      </c>
      <c r="M206" s="180" t="n">
        <f aca="false">IF($L$1=1,VLOOKUP(L206,'Super Peak Curve Simulation'!$B$7:$N$225,12),VLOOKUP(L206,'PJM Curve Simulation'!$B$9:$J$246,9))</f>
        <v>31.0750007629395</v>
      </c>
      <c r="N206" s="180" t="n">
        <f aca="false">P206+Q206</f>
        <v>46.2215307354285</v>
      </c>
      <c r="P206" s="180" t="n">
        <f aca="false">IF($L$1=1,VLOOKUP(L206,'Fuel Curve'!$B$7:$H$246,7),VLOOKUP(L206,'Revenues &amp; Expenses'!$K$9:$S$246,9))</f>
        <v>43.0476956896552</v>
      </c>
      <c r="Q206" s="180" t="n">
        <f aca="false">'Revenues &amp; Expenses'!$AM$5*1000*'Revenues &amp; Expenses'!O214</f>
        <v>3.17383504577331</v>
      </c>
      <c r="S206" s="204" t="n">
        <f aca="false">IF(M206&gt;N206,1,0)</f>
        <v>0</v>
      </c>
      <c r="T206" s="204" t="n">
        <f aca="false">'Revenues &amp; Expenses'!$S$3</f>
        <v>310.66</v>
      </c>
      <c r="U206" s="212" t="n">
        <f aca="false">T206*'Revenues &amp; Expenses'!F214*4</f>
        <v>26095.44</v>
      </c>
      <c r="W206" s="212" t="n">
        <f aca="false">IF(S206&gt;0,(M206-N206)*U206,0)</f>
        <v>0</v>
      </c>
    </row>
    <row r="207" customFormat="false" ht="12.75" hidden="false" customHeight="false" outlineLevel="0" collapsed="false">
      <c r="B207" s="240" t="n">
        <v>42856</v>
      </c>
      <c r="C207" s="218" t="n">
        <f aca="false">VLOOKUP(B207,'Company Gas Prices'!$B$25:$C$259,2)</f>
        <v>3.91979167</v>
      </c>
      <c r="D207" s="180" t="n">
        <f aca="false">VLOOKUP(B207,'Fuel Curve'!$B$7:$F$268,5)</f>
        <v>4.42672413793104</v>
      </c>
      <c r="E207" s="180" t="n">
        <f aca="false">D207-C207</f>
        <v>0.506932467931035</v>
      </c>
      <c r="G207" s="240" t="n">
        <v>42856</v>
      </c>
      <c r="H207" s="180" t="n">
        <f aca="false">VLOOKUP(G207,'Company Power Prices'!$B$25:$C$259,2)</f>
        <v>60.13343162</v>
      </c>
      <c r="I207" s="180" t="n">
        <f aca="false">VLOOKUP(G207,'Super Peak Curve Simulation'!$B$4:$C$225,2)</f>
        <v>42.8966986101026</v>
      </c>
      <c r="J207" s="259" t="n">
        <f aca="false">I207-H207</f>
        <v>-17.2367330098974</v>
      </c>
      <c r="L207" s="240" t="n">
        <v>42856</v>
      </c>
      <c r="M207" s="180" t="n">
        <f aca="false">IF($L$1=1,VLOOKUP(L207,'Super Peak Curve Simulation'!$B$7:$N$225,12),VLOOKUP(L207,'PJM Curve Simulation'!$B$9:$J$246,9))</f>
        <v>39.075</v>
      </c>
      <c r="N207" s="180" t="n">
        <f aca="false">P207+Q207</f>
        <v>45.5844798154152</v>
      </c>
      <c r="P207" s="180" t="n">
        <f aca="false">IF($L$1=1,VLOOKUP(L207,'Fuel Curve'!$B$7:$H$246,7),VLOOKUP(L207,'Revenues &amp; Expenses'!$K$9:$S$246,9))</f>
        <v>42.4035905172414</v>
      </c>
      <c r="Q207" s="180" t="n">
        <f aca="false">'Revenues &amp; Expenses'!$AM$5*1000*'Revenues &amp; Expenses'!O215</f>
        <v>3.18088929817383</v>
      </c>
      <c r="S207" s="204" t="n">
        <f aca="false">IF(M207&gt;N207,1,0)</f>
        <v>0</v>
      </c>
      <c r="T207" s="204" t="n">
        <f aca="false">'Revenues &amp; Expenses'!$S$3</f>
        <v>310.66</v>
      </c>
      <c r="U207" s="212" t="n">
        <f aca="false">T207*'Revenues &amp; Expenses'!F215*4</f>
        <v>28580.72</v>
      </c>
      <c r="W207" s="212" t="n">
        <f aca="false">IF(S207&gt;0,(M207-N207)*U207,0)</f>
        <v>0</v>
      </c>
    </row>
    <row r="208" customFormat="false" ht="12.75" hidden="false" customHeight="false" outlineLevel="0" collapsed="false">
      <c r="B208" s="240" t="n">
        <v>42887</v>
      </c>
      <c r="C208" s="218" t="n">
        <f aca="false">VLOOKUP(B208,'Company Gas Prices'!$B$25:$C$259,2)</f>
        <v>3.9125</v>
      </c>
      <c r="D208" s="180" t="n">
        <f aca="false">VLOOKUP(B208,'Fuel Curve'!$B$7:$F$268,5)</f>
        <v>4.42017241379311</v>
      </c>
      <c r="E208" s="180" t="n">
        <f aca="false">D208-C208</f>
        <v>0.507672413793105</v>
      </c>
      <c r="G208" s="240" t="n">
        <v>42887</v>
      </c>
      <c r="H208" s="180" t="n">
        <f aca="false">VLOOKUP(G208,'Company Power Prices'!$B$25:$C$259,2)</f>
        <v>110.1751727</v>
      </c>
      <c r="I208" s="180" t="n">
        <f aca="false">VLOOKUP(G208,'Super Peak Curve Simulation'!$B$4:$C$225,2)</f>
        <v>83.4165212056453</v>
      </c>
      <c r="J208" s="259" t="n">
        <f aca="false">I208-H208</f>
        <v>-26.7586514943547</v>
      </c>
      <c r="L208" s="240" t="n">
        <v>42887</v>
      </c>
      <c r="M208" s="180" t="n">
        <f aca="false">IF($L$1=1,VLOOKUP(L208,'Super Peak Curve Simulation'!$B$7:$N$225,12),VLOOKUP(L208,'PJM Curve Simulation'!$B$9:$J$246,9))</f>
        <v>67.5999984741211</v>
      </c>
      <c r="N208" s="180" t="n">
        <f aca="false">P208+Q208</f>
        <v>45.5287907812724</v>
      </c>
      <c r="P208" s="180" t="n">
        <f aca="false">IF($L$1=1,VLOOKUP(L208,'Fuel Curve'!$B$7:$H$246,7),VLOOKUP(L208,'Revenues &amp; Expenses'!$K$9:$S$246,9))</f>
        <v>42.3408315517242</v>
      </c>
      <c r="Q208" s="180" t="n">
        <f aca="false">'Revenues &amp; Expenses'!$AM$5*1000*'Revenues &amp; Expenses'!O216</f>
        <v>3.18795922954828</v>
      </c>
      <c r="S208" s="204" t="n">
        <f aca="false">IF(M208&gt;N208,1,0)</f>
        <v>1</v>
      </c>
      <c r="T208" s="204" t="n">
        <f aca="false">'Revenues &amp; Expenses'!$S$3</f>
        <v>310.66</v>
      </c>
      <c r="U208" s="212" t="n">
        <f aca="false">T208*'Revenues &amp; Expenses'!F216*4</f>
        <v>26095.44</v>
      </c>
      <c r="W208" s="212" t="n">
        <f aca="false">IF(S208&gt;0,(M208-N208)*U208,0)</f>
        <v>575957.876076271</v>
      </c>
    </row>
    <row r="209" customFormat="false" ht="12.75" hidden="false" customHeight="false" outlineLevel="0" collapsed="false">
      <c r="B209" s="240" t="n">
        <v>42917</v>
      </c>
      <c r="C209" s="218" t="n">
        <f aca="false">VLOOKUP(B209,'Company Gas Prices'!$B$25:$C$259,2)</f>
        <v>3.87395833</v>
      </c>
      <c r="D209" s="180" t="n">
        <f aca="false">VLOOKUP(B209,'Fuel Curve'!$B$7:$F$268,5)</f>
        <v>4.47741379310345</v>
      </c>
      <c r="E209" s="180" t="n">
        <f aca="false">D209-C209</f>
        <v>0.603455463103449</v>
      </c>
      <c r="G209" s="240" t="n">
        <v>42917</v>
      </c>
      <c r="H209" s="180" t="n">
        <f aca="false">VLOOKUP(G209,'Company Power Prices'!$B$25:$C$259,2)</f>
        <v>180.1084652</v>
      </c>
      <c r="I209" s="180" t="n">
        <f aca="false">VLOOKUP(G209,'Super Peak Curve Simulation'!$B$4:$C$225,2)</f>
        <v>161.113165177801</v>
      </c>
      <c r="J209" s="259" t="n">
        <f aca="false">I209-H209</f>
        <v>-18.9953000221992</v>
      </c>
      <c r="L209" s="240" t="n">
        <v>42917</v>
      </c>
      <c r="M209" s="180" t="n">
        <f aca="false">IF($L$1=1,VLOOKUP(L209,'Super Peak Curve Simulation'!$B$7:$N$225,12),VLOOKUP(L209,'PJM Curve Simulation'!$B$9:$J$246,9))</f>
        <v>122.699996948242</v>
      </c>
      <c r="N209" s="180" t="n">
        <f aca="false">P209+Q209</f>
        <v>46.0841915988831</v>
      </c>
      <c r="P209" s="180" t="n">
        <f aca="false">IF($L$1=1,VLOOKUP(L209,'Fuel Curve'!$B$7:$H$246,7),VLOOKUP(L209,'Revenues &amp; Expenses'!$K$9:$S$246,9))</f>
        <v>42.8891467241379</v>
      </c>
      <c r="Q209" s="180" t="n">
        <f aca="false">'Revenues &amp; Expenses'!$AM$5*1000*'Revenues &amp; Expenses'!O217</f>
        <v>3.19504487474517</v>
      </c>
      <c r="S209" s="204" t="n">
        <f aca="false">IF(M209&gt;N209,1,0)</f>
        <v>1</v>
      </c>
      <c r="T209" s="204" t="n">
        <f aca="false">'Revenues &amp; Expenses'!$S$3</f>
        <v>310.66</v>
      </c>
      <c r="U209" s="212" t="n">
        <f aca="false">T209*'Revenues &amp; Expenses'!F217*4</f>
        <v>27338.08</v>
      </c>
      <c r="W209" s="212" t="n">
        <f aca="false">IF(S209&gt;0,(M209-N209)*U209,0)</f>
        <v>2094529.01590521</v>
      </c>
    </row>
    <row r="210" customFormat="false" ht="12.75" hidden="false" customHeight="false" outlineLevel="0" collapsed="false">
      <c r="B210" s="240" t="n">
        <v>42948</v>
      </c>
      <c r="C210" s="218" t="n">
        <f aca="false">VLOOKUP(B210,'Company Gas Prices'!$B$25:$C$259,2)</f>
        <v>3.87395833</v>
      </c>
      <c r="D210" s="180" t="n">
        <f aca="false">VLOOKUP(B210,'Fuel Curve'!$B$7:$F$268,5)</f>
        <v>4.56793103448276</v>
      </c>
      <c r="E210" s="180" t="n">
        <f aca="false">D210-C210</f>
        <v>0.69397270448276</v>
      </c>
      <c r="G210" s="240" t="n">
        <v>42948</v>
      </c>
      <c r="H210" s="180" t="n">
        <f aca="false">VLOOKUP(G210,'Company Power Prices'!$B$25:$C$259,2)</f>
        <v>180.1084652</v>
      </c>
      <c r="I210" s="180" t="n">
        <f aca="false">VLOOKUP(G210,'Super Peak Curve Simulation'!$B$4:$C$225,2)</f>
        <v>134.639182305877</v>
      </c>
      <c r="J210" s="259" t="n">
        <f aca="false">I210-H210</f>
        <v>-45.4692828941235</v>
      </c>
      <c r="L210" s="240" t="n">
        <v>42948</v>
      </c>
      <c r="M210" s="180" t="n">
        <f aca="false">IF($L$1=1,VLOOKUP(L210,'Super Peak Curve Simulation'!$B$7:$N$225,12),VLOOKUP(L210,'PJM Curve Simulation'!$B$9:$J$246,9))</f>
        <v>109.699996948242</v>
      </c>
      <c r="N210" s="180" t="n">
        <f aca="false">P210+Q210</f>
        <v>46.9583576480008</v>
      </c>
      <c r="P210" s="180" t="n">
        <f aca="false">IF($L$1=1,VLOOKUP(L210,'Fuel Curve'!$B$7:$H$246,7),VLOOKUP(L210,'Revenues &amp; Expenses'!$K$9:$S$246,9))</f>
        <v>43.7562113793104</v>
      </c>
      <c r="Q210" s="180" t="n">
        <f aca="false">'Revenues &amp; Expenses'!$AM$5*1000*'Revenues &amp; Expenses'!O218</f>
        <v>3.20214626869047</v>
      </c>
      <c r="S210" s="204" t="n">
        <f aca="false">IF(M210&gt;N210,1,0)</f>
        <v>1</v>
      </c>
      <c r="T210" s="204" t="n">
        <f aca="false">'Revenues &amp; Expenses'!$S$3</f>
        <v>310.66</v>
      </c>
      <c r="U210" s="212" t="n">
        <f aca="false">T210*'Revenues &amp; Expenses'!F218*4</f>
        <v>28580.72</v>
      </c>
      <c r="W210" s="212" t="n">
        <f aca="false">IF(S210&gt;0,(M210-N210)*U210,0)</f>
        <v>1793201.22518119</v>
      </c>
    </row>
    <row r="211" customFormat="false" ht="12.75" hidden="false" customHeight="false" outlineLevel="0" collapsed="false">
      <c r="B211" s="240" t="n">
        <v>42979</v>
      </c>
      <c r="C211" s="218" t="n">
        <f aca="false">VLOOKUP(B211,'Company Gas Prices'!$B$25:$C$259,2)</f>
        <v>3.91979167</v>
      </c>
      <c r="D211" s="180" t="n">
        <f aca="false">VLOOKUP(B211,'Fuel Curve'!$B$7:$F$268,5)</f>
        <v>4.66275862068966</v>
      </c>
      <c r="E211" s="180" t="n">
        <f aca="false">D211-C211</f>
        <v>0.742966950689656</v>
      </c>
      <c r="G211" s="240" t="n">
        <v>42979</v>
      </c>
      <c r="H211" s="180" t="n">
        <f aca="false">VLOOKUP(G211,'Company Power Prices'!$B$25:$C$259,2)</f>
        <v>60.13343162</v>
      </c>
      <c r="I211" s="180" t="n">
        <f aca="false">VLOOKUP(G211,'Super Peak Curve Simulation'!$B$4:$C$225,2)</f>
        <v>46.1162864838868</v>
      </c>
      <c r="J211" s="259" t="n">
        <f aca="false">I211-H211</f>
        <v>-14.0171451361132</v>
      </c>
      <c r="L211" s="240" t="n">
        <v>42979</v>
      </c>
      <c r="M211" s="180" t="n">
        <f aca="false">IF($L$1=1,VLOOKUP(L211,'Super Peak Curve Simulation'!$B$7:$N$225,12),VLOOKUP(L211,'PJM Curve Simulation'!$B$9:$J$246,9))</f>
        <v>39.9249984741211</v>
      </c>
      <c r="N211" s="180" t="n">
        <f aca="false">P211+Q211</f>
        <v>47.873828273974</v>
      </c>
      <c r="P211" s="180" t="n">
        <f aca="false">IF($L$1=1,VLOOKUP(L211,'Fuel Curve'!$B$7:$H$246,7),VLOOKUP(L211,'Revenues &amp; Expenses'!$K$9:$S$246,9))</f>
        <v>44.6645648275862</v>
      </c>
      <c r="Q211" s="180" t="n">
        <f aca="false">'Revenues &amp; Expenses'!$AM$5*1000*'Revenues &amp; Expenses'!O219</f>
        <v>3.20926344638779</v>
      </c>
      <c r="S211" s="204" t="n">
        <f aca="false">IF(M211&gt;N211,1,0)</f>
        <v>0</v>
      </c>
      <c r="T211" s="204" t="n">
        <f aca="false">'Revenues &amp; Expenses'!$S$3</f>
        <v>310.66</v>
      </c>
      <c r="U211" s="212" t="n">
        <f aca="false">T211*'Revenues &amp; Expenses'!F219*4</f>
        <v>24852.8</v>
      </c>
      <c r="W211" s="212" t="n">
        <f aca="false">IF(S211&gt;0,(M211-N211)*U211,0)</f>
        <v>0</v>
      </c>
    </row>
    <row r="212" customFormat="false" ht="12.75" hidden="false" customHeight="false" outlineLevel="0" collapsed="false">
      <c r="B212" s="240" t="n">
        <v>43009</v>
      </c>
      <c r="C212" s="218" t="n">
        <f aca="false">VLOOKUP(B212,'Company Gas Prices'!$B$25:$C$259,2)</f>
        <v>3.88020833</v>
      </c>
      <c r="D212" s="180" t="n">
        <f aca="false">VLOOKUP(B212,'Fuel Curve'!$B$7:$F$268,5)</f>
        <v>4.75534482758621</v>
      </c>
      <c r="E212" s="180" t="n">
        <f aca="false">D212-C212</f>
        <v>0.875136497586207</v>
      </c>
      <c r="G212" s="240" t="n">
        <v>43009</v>
      </c>
      <c r="H212" s="180" t="n">
        <f aca="false">VLOOKUP(G212,'Company Power Prices'!$B$25:$C$259,2)</f>
        <v>49.71153984</v>
      </c>
      <c r="I212" s="180" t="n">
        <f aca="false">VLOOKUP(G212,'Super Peak Curve Simulation'!$B$4:$C$225,2)</f>
        <v>37.385623573122</v>
      </c>
      <c r="J212" s="259" t="n">
        <f aca="false">I212-H212</f>
        <v>-12.325916266878</v>
      </c>
      <c r="L212" s="240" t="n">
        <v>43009</v>
      </c>
      <c r="M212" s="180" t="n">
        <f aca="false">IF($L$1=1,VLOOKUP(L212,'Super Peak Curve Simulation'!$B$7:$N$225,12),VLOOKUP(L212,'PJM Curve Simulation'!$B$9:$J$246,9))</f>
        <v>31.8250003814697</v>
      </c>
      <c r="N212" s="180" t="n">
        <f aca="false">P212+Q212</f>
        <v>48.7678445463668</v>
      </c>
      <c r="P212" s="180" t="n">
        <f aca="false">IF($L$1=1,VLOOKUP(L212,'Fuel Curve'!$B$7:$H$246,7),VLOOKUP(L212,'Revenues &amp; Expenses'!$K$9:$S$246,9))</f>
        <v>45.5514481034483</v>
      </c>
      <c r="Q212" s="180" t="n">
        <f aca="false">'Revenues &amp; Expenses'!$AM$5*1000*'Revenues &amp; Expenses'!O220</f>
        <v>3.21639644291851</v>
      </c>
      <c r="S212" s="204" t="n">
        <f aca="false">IF(M212&gt;N212,1,0)</f>
        <v>0</v>
      </c>
      <c r="T212" s="204" t="n">
        <f aca="false">'Revenues &amp; Expenses'!$S$3</f>
        <v>310.66</v>
      </c>
      <c r="U212" s="212" t="n">
        <f aca="false">T212*'Revenues &amp; Expenses'!F220*4</f>
        <v>28580.72</v>
      </c>
      <c r="W212" s="212" t="n">
        <f aca="false">IF(S212&gt;0,(M212-N212)*U212,0)</f>
        <v>0</v>
      </c>
    </row>
    <row r="213" customFormat="false" ht="12.75" hidden="false" customHeight="false" outlineLevel="0" collapsed="false">
      <c r="B213" s="240" t="n">
        <v>43040</v>
      </c>
      <c r="C213" s="218" t="n">
        <f aca="false">VLOOKUP(B213,'Company Gas Prices'!$B$25:$C$259,2)</f>
        <v>3.88020833</v>
      </c>
      <c r="D213" s="180" t="n">
        <f aca="false">VLOOKUP(B213,'Fuel Curve'!$B$7:$F$268,5)</f>
        <v>4.80465517241379</v>
      </c>
      <c r="E213" s="180" t="n">
        <f aca="false">D213-C213</f>
        <v>0.924446842413794</v>
      </c>
      <c r="G213" s="240" t="n">
        <v>43040</v>
      </c>
      <c r="H213" s="180" t="n">
        <f aca="false">VLOOKUP(G213,'Company Power Prices'!$B$25:$C$259,2)</f>
        <v>51.3302315</v>
      </c>
      <c r="I213" s="180" t="n">
        <f aca="false">VLOOKUP(G213,'Super Peak Curve Simulation'!$B$4:$C$225,2)</f>
        <v>37.5080093472672</v>
      </c>
      <c r="J213" s="259" t="n">
        <f aca="false">I213-H213</f>
        <v>-13.8222221527328</v>
      </c>
      <c r="L213" s="240" t="n">
        <v>43040</v>
      </c>
      <c r="M213" s="180" t="n">
        <f aca="false">IF($L$1=1,VLOOKUP(L213,'Super Peak Curve Simulation'!$B$7:$N$225,12),VLOOKUP(L213,'PJM Curve Simulation'!$B$9:$J$246,9))</f>
        <v>31.4974990844727</v>
      </c>
      <c r="N213" s="180" t="n">
        <f aca="false">P213+Q213</f>
        <v>49.2473371899937</v>
      </c>
      <c r="P213" s="180" t="n">
        <f aca="false">IF($L$1=1,VLOOKUP(L213,'Fuel Curve'!$B$7:$H$246,7),VLOOKUP(L213,'Revenues &amp; Expenses'!$K$9:$S$246,9))</f>
        <v>46.0237918965517</v>
      </c>
      <c r="Q213" s="180" t="n">
        <f aca="false">'Revenues &amp; Expenses'!$AM$5*1000*'Revenues &amp; Expenses'!O221</f>
        <v>3.22354529344202</v>
      </c>
      <c r="S213" s="204" t="n">
        <f aca="false">IF(M213&gt;N213,1,0)</f>
        <v>0</v>
      </c>
      <c r="T213" s="204" t="n">
        <f aca="false">'Revenues &amp; Expenses'!$S$3</f>
        <v>310.66</v>
      </c>
      <c r="U213" s="212" t="n">
        <f aca="false">T213*'Revenues &amp; Expenses'!F221*4</f>
        <v>27338.08</v>
      </c>
      <c r="W213" s="212" t="n">
        <f aca="false">IF(S213&gt;0,(M213-N213)*U213,0)</f>
        <v>0</v>
      </c>
    </row>
    <row r="214" customFormat="false" ht="12.75" hidden="false" customHeight="false" outlineLevel="0" collapsed="false">
      <c r="B214" s="240" t="n">
        <v>43070</v>
      </c>
      <c r="C214" s="218" t="n">
        <f aca="false">VLOOKUP(B214,'Company Gas Prices'!$B$25:$C$259,2)</f>
        <v>3.88020833</v>
      </c>
      <c r="D214" s="180" t="n">
        <f aca="false">VLOOKUP(B214,'Fuel Curve'!$B$7:$F$268,5)</f>
        <v>4.84741379310345</v>
      </c>
      <c r="E214" s="180" t="n">
        <f aca="false">D214-C214</f>
        <v>0.967205463103449</v>
      </c>
      <c r="G214" s="240" t="n">
        <v>43070</v>
      </c>
      <c r="H214" s="180" t="n">
        <f aca="false">VLOOKUP(G214,'Company Power Prices'!$B$25:$C$259,2)</f>
        <v>51.3302315</v>
      </c>
      <c r="I214" s="180" t="n">
        <f aca="false">VLOOKUP(G214,'Super Peak Curve Simulation'!$B$4:$C$225,2)</f>
        <v>40.0982988922511</v>
      </c>
      <c r="J214" s="259" t="n">
        <f aca="false">I214-H214</f>
        <v>-11.2319326077489</v>
      </c>
      <c r="L214" s="240" t="n">
        <v>43070</v>
      </c>
      <c r="M214" s="180" t="n">
        <f aca="false">IF($L$1=1,VLOOKUP(L214,'Super Peak Curve Simulation'!$B$7:$N$225,12),VLOOKUP(L214,'PJM Curve Simulation'!$B$9:$J$246,9))</f>
        <v>33.2499996185303</v>
      </c>
      <c r="N214" s="180" t="n">
        <f aca="false">P214+Q214</f>
        <v>49.6640867573338</v>
      </c>
      <c r="P214" s="180" t="n">
        <f aca="false">IF($L$1=1,VLOOKUP(L214,'Fuel Curve'!$B$7:$H$246,7),VLOOKUP(L214,'Revenues &amp; Expenses'!$K$9:$S$246,9))</f>
        <v>46.4333767241379</v>
      </c>
      <c r="Q214" s="180" t="n">
        <f aca="false">'Revenues &amp; Expenses'!$AM$5*1000*'Revenues &amp; Expenses'!O222</f>
        <v>3.23071003319582</v>
      </c>
      <c r="S214" s="204" t="n">
        <f aca="false">IF(M214&gt;N214,1,0)</f>
        <v>0</v>
      </c>
      <c r="T214" s="204" t="n">
        <f aca="false">'Revenues &amp; Expenses'!$S$3</f>
        <v>310.66</v>
      </c>
      <c r="U214" s="212" t="n">
        <f aca="false">T214*'Revenues &amp; Expenses'!F222*4</f>
        <v>26095.44</v>
      </c>
      <c r="W214" s="212" t="n">
        <f aca="false">IF(S214&gt;0,(M214-N214)*U214,0)</f>
        <v>0</v>
      </c>
    </row>
    <row r="215" customFormat="false" ht="12.75" hidden="false" customHeight="false" outlineLevel="0" collapsed="false">
      <c r="B215" s="240" t="n">
        <v>43101</v>
      </c>
      <c r="C215" s="218" t="n">
        <f aca="false">VLOOKUP(B215,'Company Gas Prices'!$B$25:$C$259,2)</f>
        <v>3.9375</v>
      </c>
      <c r="D215" s="180" t="n">
        <f aca="false">VLOOKUP(B215,'Fuel Curve'!$B$7:$F$268,5)</f>
        <v>4.79017241379311</v>
      </c>
      <c r="E215" s="180" t="n">
        <f aca="false">D215-C215</f>
        <v>0.852672413793105</v>
      </c>
      <c r="G215" s="240" t="n">
        <v>43101</v>
      </c>
      <c r="H215" s="180" t="n">
        <f aca="false">VLOOKUP(G215,'Company Power Prices'!$B$25:$C$259,2)</f>
        <v>48.23143288</v>
      </c>
      <c r="I215" s="180" t="n">
        <f aca="false">VLOOKUP(G215,'Super Peak Curve Simulation'!$B$4:$C$225,2)</f>
        <v>51.2865554926271</v>
      </c>
      <c r="J215" s="259" t="n">
        <f aca="false">I215-H215</f>
        <v>3.05512261262707</v>
      </c>
      <c r="L215" s="240" t="n">
        <v>43101</v>
      </c>
      <c r="M215" s="180" t="n">
        <f aca="false">IF($L$1=1,VLOOKUP(L215,'Super Peak Curve Simulation'!$B$7:$N$225,12),VLOOKUP(L215,'PJM Curve Simulation'!$B$9:$J$246,9))</f>
        <v>41.8249984741211</v>
      </c>
      <c r="N215" s="180" t="n">
        <f aca="false">P215+Q215</f>
        <v>49.1229522492199</v>
      </c>
      <c r="P215" s="180" t="n">
        <f aca="false">IF($L$1=1,VLOOKUP(L215,'Fuel Curve'!$B$7:$H$246,7),VLOOKUP(L215,'Revenues &amp; Expenses'!$K$9:$S$246,9))</f>
        <v>45.8850615517242</v>
      </c>
      <c r="Q215" s="180" t="n">
        <f aca="false">'Revenues &amp; Expenses'!$AM$5*1000*'Revenues &amp; Expenses'!O223</f>
        <v>3.23789069749575</v>
      </c>
      <c r="S215" s="204" t="n">
        <f aca="false">IF(M215&gt;N215,1,0)</f>
        <v>0</v>
      </c>
      <c r="T215" s="204" t="n">
        <f aca="false">'Revenues &amp; Expenses'!$S$3</f>
        <v>310.66</v>
      </c>
      <c r="U215" s="212" t="n">
        <f aca="false">T215*'Revenues &amp; Expenses'!F223*4</f>
        <v>28580.72</v>
      </c>
      <c r="W215" s="212" t="n">
        <f aca="false">IF(S215&gt;0,(M215-N215)*U215,0)</f>
        <v>0</v>
      </c>
    </row>
    <row r="216" customFormat="false" ht="12.75" hidden="false" customHeight="false" outlineLevel="0" collapsed="false">
      <c r="B216" s="240" t="n">
        <v>43132</v>
      </c>
      <c r="C216" s="218" t="n">
        <f aca="false">VLOOKUP(B216,'Company Gas Prices'!$B$25:$C$259,2)</f>
        <v>3.9375</v>
      </c>
      <c r="D216" s="180" t="n">
        <f aca="false">VLOOKUP(B216,'Fuel Curve'!$B$7:$F$268,5)</f>
        <v>4.69103448275862</v>
      </c>
      <c r="E216" s="180" t="n">
        <f aca="false">D216-C216</f>
        <v>0.753534482758622</v>
      </c>
      <c r="G216" s="240" t="n">
        <v>43132</v>
      </c>
      <c r="H216" s="180" t="n">
        <f aca="false">VLOOKUP(G216,'Company Power Prices'!$B$25:$C$259,2)</f>
        <v>42.63475858</v>
      </c>
      <c r="I216" s="180" t="n">
        <f aca="false">VLOOKUP(G216,'Super Peak Curve Simulation'!$B$4:$C$225,2)</f>
        <v>51.2865554926271</v>
      </c>
      <c r="J216" s="259" t="n">
        <f aca="false">I216-H216</f>
        <v>8.65179691262707</v>
      </c>
      <c r="L216" s="240" t="n">
        <v>43132</v>
      </c>
      <c r="M216" s="180" t="n">
        <f aca="false">IF($L$1=1,VLOOKUP(L216,'Super Peak Curve Simulation'!$B$7:$N$225,12),VLOOKUP(L216,'PJM Curve Simulation'!$B$9:$J$246,9))</f>
        <v>41.8249984741211</v>
      </c>
      <c r="N216" s="180" t="n">
        <f aca="false">P216+Q216</f>
        <v>48.180506632081</v>
      </c>
      <c r="P216" s="180" t="n">
        <f aca="false">IF($L$1=1,VLOOKUP(L216,'Fuel Curve'!$B$7:$H$246,7),VLOOKUP(L216,'Revenues &amp; Expenses'!$K$9:$S$246,9))</f>
        <v>44.9354193103448</v>
      </c>
      <c r="Q216" s="180" t="n">
        <f aca="false">'Revenues &amp; Expenses'!$AM$5*1000*'Revenues &amp; Expenses'!O224</f>
        <v>3.24508732173615</v>
      </c>
      <c r="S216" s="204" t="n">
        <f aca="false">IF(M216&gt;N216,1,0)</f>
        <v>0</v>
      </c>
      <c r="T216" s="204" t="n">
        <f aca="false">'Revenues &amp; Expenses'!$S$3</f>
        <v>310.66</v>
      </c>
      <c r="U216" s="212" t="n">
        <f aca="false">T216*'Revenues &amp; Expenses'!F224*4</f>
        <v>24852.8</v>
      </c>
      <c r="W216" s="212" t="n">
        <f aca="false">IF(S216&gt;0,(M216-N216)*U216,0)</f>
        <v>0</v>
      </c>
    </row>
    <row r="217" customFormat="false" ht="12.75" hidden="false" customHeight="false" outlineLevel="0" collapsed="false">
      <c r="B217" s="240" t="n">
        <v>43160</v>
      </c>
      <c r="C217" s="218" t="n">
        <f aca="false">VLOOKUP(B217,'Company Gas Prices'!$B$25:$C$259,2)</f>
        <v>3.9375</v>
      </c>
      <c r="D217" s="180" t="n">
        <f aca="false">VLOOKUP(B217,'Fuel Curve'!$B$7:$F$268,5)</f>
        <v>4.59396551724138</v>
      </c>
      <c r="E217" s="180" t="n">
        <f aca="false">D217-C217</f>
        <v>0.65646551724138</v>
      </c>
      <c r="G217" s="240" t="n">
        <v>43160</v>
      </c>
      <c r="H217" s="180" t="n">
        <f aca="false">VLOOKUP(G217,'Company Power Prices'!$B$25:$C$259,2)</f>
        <v>42.63475858</v>
      </c>
      <c r="I217" s="180" t="n">
        <f aca="false">VLOOKUP(G217,'Super Peak Curve Simulation'!$B$4:$C$225,2)</f>
        <v>38.371899677906</v>
      </c>
      <c r="J217" s="259" t="n">
        <f aca="false">I217-H217</f>
        <v>-4.26285890209397</v>
      </c>
      <c r="L217" s="240" t="n">
        <v>43160</v>
      </c>
      <c r="M217" s="180" t="n">
        <f aca="false">IF($L$1=1,VLOOKUP(L217,'Super Peak Curve Simulation'!$B$7:$N$225,12),VLOOKUP(L217,'PJM Curve Simulation'!$B$9:$J$246,9))</f>
        <v>31.5500007629395</v>
      </c>
      <c r="N217" s="180" t="n">
        <f aca="false">P217+Q217</f>
        <v>47.2578956310452</v>
      </c>
      <c r="P217" s="180" t="n">
        <f aca="false">IF($L$1=1,VLOOKUP(L217,'Fuel Curve'!$B$7:$H$246,7),VLOOKUP(L217,'Revenues &amp; Expenses'!$K$9:$S$246,9))</f>
        <v>44.0055956896552</v>
      </c>
      <c r="Q217" s="180" t="n">
        <f aca="false">'Revenues &amp; Expenses'!$AM$5*1000*'Revenues &amp; Expenses'!O225</f>
        <v>3.25229994139001</v>
      </c>
      <c r="S217" s="204" t="n">
        <f aca="false">IF(M217&gt;N217,1,0)</f>
        <v>0</v>
      </c>
      <c r="T217" s="204" t="n">
        <f aca="false">'Revenues &amp; Expenses'!$S$3</f>
        <v>310.66</v>
      </c>
      <c r="U217" s="212" t="n">
        <f aca="false">T217*'Revenues &amp; Expenses'!F225*4</f>
        <v>26095.44</v>
      </c>
      <c r="W217" s="212" t="n">
        <f aca="false">IF(S217&gt;0,(M217-N217)*U217,0)</f>
        <v>0</v>
      </c>
    </row>
    <row r="218" customFormat="false" ht="12.75" hidden="false" customHeight="false" outlineLevel="0" collapsed="false">
      <c r="B218" s="240" t="n">
        <v>43191</v>
      </c>
      <c r="C218" s="218" t="n">
        <f aca="false">VLOOKUP(B218,'Company Gas Prices'!$B$25:$C$259,2)</f>
        <v>4.08229167</v>
      </c>
      <c r="D218" s="180" t="n">
        <f aca="false">VLOOKUP(B218,'Fuel Curve'!$B$7:$F$268,5)</f>
        <v>4.49396551724138</v>
      </c>
      <c r="E218" s="180" t="n">
        <f aca="false">D218-C218</f>
        <v>0.41167384724138</v>
      </c>
      <c r="G218" s="240" t="n">
        <v>43191</v>
      </c>
      <c r="H218" s="180" t="n">
        <f aca="false">VLOOKUP(G218,'Company Power Prices'!$B$25:$C$259,2)</f>
        <v>47.3161731</v>
      </c>
      <c r="I218" s="180" t="n">
        <f aca="false">VLOOKUP(G218,'Super Peak Curve Simulation'!$B$4:$C$225,2)</f>
        <v>35.5338996121314</v>
      </c>
      <c r="J218" s="259" t="n">
        <f aca="false">I218-H218</f>
        <v>-11.7822734878687</v>
      </c>
      <c r="L218" s="240" t="n">
        <v>43191</v>
      </c>
      <c r="M218" s="180" t="n">
        <f aca="false">IF($L$1=1,VLOOKUP(L218,'Super Peak Curve Simulation'!$B$7:$N$225,12),VLOOKUP(L218,'PJM Curve Simulation'!$B$9:$J$246,9))</f>
        <v>31.3250007629395</v>
      </c>
      <c r="N218" s="180" t="n">
        <f aca="false">P218+Q218</f>
        <v>46.3072242816644</v>
      </c>
      <c r="P218" s="180" t="n">
        <f aca="false">IF($L$1=1,VLOOKUP(L218,'Fuel Curve'!$B$7:$H$246,7),VLOOKUP(L218,'Revenues &amp; Expenses'!$K$9:$S$246,9))</f>
        <v>43.0476956896552</v>
      </c>
      <c r="Q218" s="180" t="n">
        <f aca="false">'Revenues &amp; Expenses'!$AM$5*1000*'Revenues &amp; Expenses'!O226</f>
        <v>3.25952859200918</v>
      </c>
      <c r="S218" s="204" t="n">
        <f aca="false">IF(M218&gt;N218,1,0)</f>
        <v>0</v>
      </c>
      <c r="T218" s="204" t="n">
        <f aca="false">'Revenues &amp; Expenses'!$S$3</f>
        <v>310.66</v>
      </c>
      <c r="U218" s="212" t="n">
        <f aca="false">T218*'Revenues &amp; Expenses'!F226*4</f>
        <v>27338.08</v>
      </c>
      <c r="W218" s="212" t="n">
        <f aca="false">IF(S218&gt;0,(M218-N218)*U218,0)</f>
        <v>0</v>
      </c>
    </row>
    <row r="219" customFormat="false" ht="12.75" hidden="false" customHeight="false" outlineLevel="0" collapsed="false">
      <c r="B219" s="240" t="n">
        <v>43221</v>
      </c>
      <c r="C219" s="218" t="n">
        <f aca="false">VLOOKUP(B219,'Company Gas Prices'!$B$25:$C$259,2)</f>
        <v>3.91979167</v>
      </c>
      <c r="D219" s="180" t="n">
        <f aca="false">VLOOKUP(B219,'Fuel Curve'!$B$7:$F$268,5)</f>
        <v>4.42672413793104</v>
      </c>
      <c r="E219" s="180" t="n">
        <f aca="false">D219-C219</f>
        <v>0.506932467931035</v>
      </c>
      <c r="G219" s="240" t="n">
        <v>43221</v>
      </c>
      <c r="H219" s="180" t="n">
        <f aca="false">VLOOKUP(G219,'Company Power Prices'!$B$25:$C$259,2)</f>
        <v>60.23774956</v>
      </c>
      <c r="I219" s="180" t="n">
        <f aca="false">VLOOKUP(G219,'Super Peak Curve Simulation'!$B$4:$C$225,2)</f>
        <v>43.1711496568723</v>
      </c>
      <c r="J219" s="259" t="n">
        <f aca="false">I219-H219</f>
        <v>-17.0665999031277</v>
      </c>
      <c r="L219" s="240" t="n">
        <v>43221</v>
      </c>
      <c r="M219" s="180" t="n">
        <f aca="false">IF($L$1=1,VLOOKUP(L219,'Super Peak Curve Simulation'!$B$7:$N$225,12),VLOOKUP(L219,'PJM Curve Simulation'!$B$9:$J$246,9))</f>
        <v>39.325</v>
      </c>
      <c r="N219" s="180" t="n">
        <f aca="false">P219+Q219</f>
        <v>45.6703638264659</v>
      </c>
      <c r="P219" s="180" t="n">
        <f aca="false">IF($L$1=1,VLOOKUP(L219,'Fuel Curve'!$B$7:$H$246,7),VLOOKUP(L219,'Revenues &amp; Expenses'!$K$9:$S$246,9))</f>
        <v>42.4035905172414</v>
      </c>
      <c r="Q219" s="180" t="n">
        <f aca="false">'Revenues &amp; Expenses'!$AM$5*1000*'Revenues &amp; Expenses'!O227</f>
        <v>3.26677330922452</v>
      </c>
      <c r="S219" s="204" t="n">
        <f aca="false">IF(M219&gt;N219,1,0)</f>
        <v>0</v>
      </c>
      <c r="T219" s="204" t="n">
        <f aca="false">'Revenues &amp; Expenses'!$S$3</f>
        <v>310.66</v>
      </c>
      <c r="U219" s="212" t="n">
        <f aca="false">T219*'Revenues &amp; Expenses'!F227*4</f>
        <v>28580.72</v>
      </c>
      <c r="W219" s="212" t="n">
        <f aca="false">IF(S219&gt;0,(M219-N219)*U219,0)</f>
        <v>0</v>
      </c>
    </row>
    <row r="220" customFormat="false" ht="12.75" hidden="false" customHeight="false" outlineLevel="0" collapsed="false">
      <c r="B220" s="240" t="n">
        <v>43252</v>
      </c>
      <c r="C220" s="218" t="n">
        <f aca="false">VLOOKUP(B220,'Company Gas Prices'!$B$25:$C$259,2)</f>
        <v>3.9125</v>
      </c>
      <c r="D220" s="180" t="n">
        <f aca="false">VLOOKUP(B220,'Fuel Curve'!$B$7:$F$268,5)</f>
        <v>4.42017241379311</v>
      </c>
      <c r="E220" s="180" t="n">
        <f aca="false">D220-C220</f>
        <v>0.507672413793105</v>
      </c>
      <c r="G220" s="240" t="n">
        <v>43252</v>
      </c>
      <c r="H220" s="180" t="n">
        <f aca="false">VLOOKUP(G220,'Company Power Prices'!$B$25:$C$259,2)</f>
        <v>110.4394211</v>
      </c>
      <c r="I220" s="180" t="n">
        <f aca="false">VLOOKUP(G220,'Super Peak Curve Simulation'!$B$4:$C$225,2)</f>
        <v>84.3420003819235</v>
      </c>
      <c r="J220" s="259" t="n">
        <f aca="false">I220-H220</f>
        <v>-26.0974207180766</v>
      </c>
      <c r="L220" s="240" t="n">
        <v>43252</v>
      </c>
      <c r="M220" s="180" t="n">
        <f aca="false">IF($L$1=1,VLOOKUP(L220,'Super Peak Curve Simulation'!$B$7:$N$225,12),VLOOKUP(L220,'PJM Curve Simulation'!$B$9:$J$246,9))</f>
        <v>68.3499984741211</v>
      </c>
      <c r="N220" s="180" t="n">
        <f aca="false">P220+Q220</f>
        <v>45.6148656804702</v>
      </c>
      <c r="P220" s="180" t="n">
        <f aca="false">IF($L$1=1,VLOOKUP(L220,'Fuel Curve'!$B$7:$H$246,7),VLOOKUP(L220,'Revenues &amp; Expenses'!$K$9:$S$246,9))</f>
        <v>42.3408315517242</v>
      </c>
      <c r="Q220" s="180" t="n">
        <f aca="false">'Revenues &amp; Expenses'!$AM$5*1000*'Revenues &amp; Expenses'!O228</f>
        <v>3.27403412874608</v>
      </c>
      <c r="S220" s="204" t="n">
        <f aca="false">IF(M220&gt;N220,1,0)</f>
        <v>1</v>
      </c>
      <c r="T220" s="204" t="n">
        <f aca="false">'Revenues &amp; Expenses'!$S$3</f>
        <v>310.66</v>
      </c>
      <c r="U220" s="212" t="n">
        <f aca="false">T220*'Revenues &amp; Expenses'!F228*4</f>
        <v>24852.8</v>
      </c>
      <c r="W220" s="212" t="n">
        <f aca="false">IF(S220&gt;0,(M220-N220)*U220,0)</f>
        <v>565031.708294046</v>
      </c>
    </row>
    <row r="221" customFormat="false" ht="12.75" hidden="false" customHeight="false" outlineLevel="0" collapsed="false">
      <c r="B221" s="240" t="n">
        <v>43282</v>
      </c>
      <c r="C221" s="218" t="n">
        <f aca="false">VLOOKUP(B221,'Company Gas Prices'!$B$25:$C$259,2)</f>
        <v>3.87395833</v>
      </c>
      <c r="D221" s="180" t="n">
        <f aca="false">VLOOKUP(B221,'Fuel Curve'!$B$7:$F$268,5)</f>
        <v>4.47741379310345</v>
      </c>
      <c r="E221" s="180" t="n">
        <f aca="false">D221-C221</f>
        <v>0.603455463103449</v>
      </c>
      <c r="G221" s="240" t="n">
        <v>43282</v>
      </c>
      <c r="H221" s="180" t="n">
        <f aca="false">VLOOKUP(G221,'Company Power Prices'!$B$25:$C$259,2)</f>
        <v>180.7367205</v>
      </c>
      <c r="I221" s="180" t="n">
        <f aca="false">VLOOKUP(G221,'Super Peak Curve Simulation'!$B$4:$C$225,2)</f>
        <v>164.06756314574</v>
      </c>
      <c r="J221" s="259" t="n">
        <f aca="false">I221-H221</f>
        <v>-16.6691573542599</v>
      </c>
      <c r="L221" s="240" t="n">
        <v>43282</v>
      </c>
      <c r="M221" s="180" t="n">
        <f aca="false">IF($L$1=1,VLOOKUP(L221,'Super Peak Curve Simulation'!$B$7:$N$225,12),VLOOKUP(L221,'PJM Curve Simulation'!$B$9:$J$246,9))</f>
        <v>124.949996948242</v>
      </c>
      <c r="N221" s="180" t="n">
        <f aca="false">P221+Q221</f>
        <v>46.1704578105012</v>
      </c>
      <c r="P221" s="180" t="n">
        <f aca="false">IF($L$1=1,VLOOKUP(L221,'Fuel Curve'!$B$7:$H$246,7),VLOOKUP(L221,'Revenues &amp; Expenses'!$K$9:$S$246,9))</f>
        <v>42.8891467241379</v>
      </c>
      <c r="Q221" s="180" t="n">
        <f aca="false">'Revenues &amp; Expenses'!$AM$5*1000*'Revenues &amp; Expenses'!O229</f>
        <v>3.28131108636329</v>
      </c>
      <c r="S221" s="204" t="n">
        <f aca="false">IF(M221&gt;N221,1,0)</f>
        <v>1</v>
      </c>
      <c r="T221" s="204" t="n">
        <f aca="false">'Revenues &amp; Expenses'!$S$3</f>
        <v>310.66</v>
      </c>
      <c r="U221" s="212" t="n">
        <f aca="false">T221*'Revenues &amp; Expenses'!F229*4</f>
        <v>28580.72</v>
      </c>
      <c r="W221" s="212" t="n">
        <f aca="false">IF(S221&gt;0,(M221-N221)*U221,0)</f>
        <v>2251575.94982482</v>
      </c>
    </row>
    <row r="222" customFormat="false" ht="12.75" hidden="false" customHeight="false" outlineLevel="0" collapsed="false">
      <c r="B222" s="240" t="n">
        <v>43313</v>
      </c>
      <c r="C222" s="218" t="n">
        <f aca="false">VLOOKUP(B222,'Company Gas Prices'!$B$25:$C$259,2)</f>
        <v>3.87395833</v>
      </c>
      <c r="D222" s="180" t="n">
        <f aca="false">VLOOKUP(B222,'Fuel Curve'!$B$7:$F$268,5)</f>
        <v>4.56793103448276</v>
      </c>
      <c r="E222" s="180" t="n">
        <f aca="false">D222-C222</f>
        <v>0.69397270448276</v>
      </c>
      <c r="G222" s="240" t="n">
        <v>43313</v>
      </c>
      <c r="H222" s="180" t="n">
        <f aca="false">VLOOKUP(G222,'Company Power Prices'!$B$25:$C$259,2)</f>
        <v>180.7367205</v>
      </c>
      <c r="I222" s="180" t="n">
        <f aca="false">VLOOKUP(G222,'Super Peak Curve Simulation'!$B$4:$C$225,2)</f>
        <v>137.400697060805</v>
      </c>
      <c r="J222" s="259" t="n">
        <f aca="false">I222-H222</f>
        <v>-43.3360234391946</v>
      </c>
      <c r="L222" s="240" t="n">
        <v>43313</v>
      </c>
      <c r="M222" s="180" t="n">
        <f aca="false">IF($L$1=1,VLOOKUP(L222,'Super Peak Curve Simulation'!$B$7:$N$225,12),VLOOKUP(L222,'PJM Curve Simulation'!$B$9:$J$246,9))</f>
        <v>111.949996948242</v>
      </c>
      <c r="N222" s="180" t="n">
        <f aca="false">P222+Q222</f>
        <v>47.0448155972555</v>
      </c>
      <c r="P222" s="180" t="n">
        <f aca="false">IF($L$1=1,VLOOKUP(L222,'Fuel Curve'!$B$7:$H$246,7),VLOOKUP(L222,'Revenues &amp; Expenses'!$K$9:$S$246,9))</f>
        <v>43.7562113793104</v>
      </c>
      <c r="Q222" s="180" t="n">
        <f aca="false">'Revenues &amp; Expenses'!$AM$5*1000*'Revenues &amp; Expenses'!O230</f>
        <v>3.28860421794512</v>
      </c>
      <c r="S222" s="204" t="n">
        <f aca="false">IF(M222&gt;N222,1,0)</f>
        <v>1</v>
      </c>
      <c r="T222" s="204" t="n">
        <f aca="false">'Revenues &amp; Expenses'!$S$3</f>
        <v>310.66</v>
      </c>
      <c r="U222" s="212" t="n">
        <f aca="false">T222*'Revenues &amp; Expenses'!F230*4</f>
        <v>27338.08</v>
      </c>
      <c r="W222" s="212" t="n">
        <f aca="false">IF(S222&gt;0,(M222-N222)*U222,0)</f>
        <v>1774383.04018778</v>
      </c>
    </row>
    <row r="223" customFormat="false" ht="12.75" hidden="false" customHeight="false" outlineLevel="0" collapsed="false">
      <c r="B223" s="240" t="n">
        <v>43344</v>
      </c>
      <c r="C223" s="218" t="n">
        <f aca="false">VLOOKUP(B223,'Company Gas Prices'!$B$25:$C$259,2)</f>
        <v>3.91979167</v>
      </c>
      <c r="D223" s="180" t="n">
        <f aca="false">VLOOKUP(B223,'Fuel Curve'!$B$7:$F$268,5)</f>
        <v>4.66275862068966</v>
      </c>
      <c r="E223" s="180" t="n">
        <f aca="false">D223-C223</f>
        <v>0.742966950689656</v>
      </c>
      <c r="G223" s="240" t="n">
        <v>43344</v>
      </c>
      <c r="H223" s="180" t="n">
        <f aca="false">VLOOKUP(G223,'Company Power Prices'!$B$25:$C$259,2)</f>
        <v>60.23774956</v>
      </c>
      <c r="I223" s="180" t="n">
        <f aca="false">I211</f>
        <v>46.1162864838868</v>
      </c>
      <c r="J223" s="259" t="n">
        <f aca="false">I223-H223</f>
        <v>-14.1214630761132</v>
      </c>
      <c r="L223" s="240" t="n">
        <v>43344</v>
      </c>
      <c r="M223" s="180" t="n">
        <f aca="false">M211</f>
        <v>39.9249984741211</v>
      </c>
      <c r="N223" s="180" t="n">
        <f aca="false">P223+Q223</f>
        <v>47.9604783870265</v>
      </c>
      <c r="P223" s="180" t="n">
        <f aca="false">IF($L$1=1,VLOOKUP(L223,'Fuel Curve'!$B$7:$H$246,7),VLOOKUP(L223,'Revenues &amp; Expenses'!$K$9:$S$246,9))</f>
        <v>44.6645648275862</v>
      </c>
      <c r="Q223" s="180" t="n">
        <f aca="false">'Revenues &amp; Expenses'!$AM$5*1000*'Revenues &amp; Expenses'!O231</f>
        <v>3.29591355944026</v>
      </c>
      <c r="S223" s="204" t="n">
        <f aca="false">IF(M223&gt;N223,1,0)</f>
        <v>0</v>
      </c>
      <c r="T223" s="204" t="n">
        <f aca="false">'Revenues &amp; Expenses'!$S$3</f>
        <v>310.66</v>
      </c>
      <c r="U223" s="212" t="n">
        <f aca="false">T223*'Revenues &amp; Expenses'!F231*4</f>
        <v>26095.44</v>
      </c>
      <c r="W223" s="212" t="n">
        <f aca="false">IF(S223&gt;0,(M223-N223)*U223,0)</f>
        <v>0</v>
      </c>
    </row>
    <row r="224" customFormat="false" ht="12.75" hidden="false" customHeight="false" outlineLevel="0" collapsed="false">
      <c r="B224" s="240" t="n">
        <v>43374</v>
      </c>
      <c r="C224" s="218" t="n">
        <f aca="false">VLOOKUP(B224,'Company Gas Prices'!$B$25:$C$259,2)</f>
        <v>3.88020833</v>
      </c>
      <c r="D224" s="180" t="n">
        <f aca="false">VLOOKUP(B224,'Fuel Curve'!$B$7:$F$268,5)</f>
        <v>4.75534482758621</v>
      </c>
      <c r="E224" s="180" t="n">
        <f aca="false">D224-C224</f>
        <v>0.875136497586207</v>
      </c>
      <c r="G224" s="240" t="n">
        <v>43374</v>
      </c>
      <c r="H224" s="180" t="n">
        <f aca="false">VLOOKUP(G224,'Company Power Prices'!$B$25:$C$259,2)</f>
        <v>49.70697593</v>
      </c>
      <c r="I224" s="180" t="n">
        <f aca="false">I212</f>
        <v>37.385623573122</v>
      </c>
      <c r="J224" s="259" t="n">
        <f aca="false">I224-H224</f>
        <v>-12.321352356878</v>
      </c>
      <c r="L224" s="240" t="n">
        <v>43374</v>
      </c>
      <c r="M224" s="180" t="n">
        <f aca="false">M212</f>
        <v>31.8250003814697</v>
      </c>
      <c r="N224" s="180" t="n">
        <f aca="false">P224+Q224</f>
        <v>48.8546872503256</v>
      </c>
      <c r="P224" s="180" t="n">
        <f aca="false">IF($L$1=1,VLOOKUP(L224,'Fuel Curve'!$B$7:$H$246,7),VLOOKUP(L224,'Revenues &amp; Expenses'!$K$9:$S$246,9))</f>
        <v>45.5514481034483</v>
      </c>
      <c r="Q224" s="180" t="n">
        <f aca="false">'Revenues &amp; Expenses'!$AM$5*1000*'Revenues &amp; Expenses'!O232</f>
        <v>3.30323914687731</v>
      </c>
      <c r="S224" s="204" t="n">
        <f aca="false">IF(M224&gt;N224,1,0)</f>
        <v>0</v>
      </c>
      <c r="T224" s="204" t="n">
        <f aca="false">'Revenues &amp; Expenses'!$S$3</f>
        <v>310.66</v>
      </c>
      <c r="U224" s="212" t="n">
        <f aca="false">T224*'Revenues &amp; Expenses'!F232*4</f>
        <v>28580.72</v>
      </c>
      <c r="W224" s="212" t="n">
        <f aca="false">IF(S224&gt;0,(M224-N224)*U224,0)</f>
        <v>0</v>
      </c>
    </row>
    <row r="225" customFormat="false" ht="12.75" hidden="false" customHeight="false" outlineLevel="0" collapsed="false">
      <c r="B225" s="240" t="n">
        <v>43405</v>
      </c>
      <c r="C225" s="218" t="n">
        <f aca="false">VLOOKUP(B225,'Company Gas Prices'!$B$25:$C$259,2)</f>
        <v>3.88020833</v>
      </c>
      <c r="D225" s="180" t="n">
        <f aca="false">VLOOKUP(B225,'Fuel Curve'!$B$7:$F$268,5)</f>
        <v>4.80465517241379</v>
      </c>
      <c r="E225" s="180" t="n">
        <f aca="false">D225-C225</f>
        <v>0.924446842413794</v>
      </c>
      <c r="G225" s="240" t="n">
        <v>43405</v>
      </c>
      <c r="H225" s="180" t="n">
        <f aca="false">VLOOKUP(G225,'Company Power Prices'!$B$25:$C$259,2)</f>
        <v>51.33692819</v>
      </c>
      <c r="I225" s="180" t="n">
        <f aca="false">I213</f>
        <v>37.5080093472672</v>
      </c>
      <c r="J225" s="259" t="n">
        <f aca="false">I225-H225</f>
        <v>-13.8289188427328</v>
      </c>
      <c r="L225" s="240" t="n">
        <v>43405</v>
      </c>
      <c r="M225" s="180" t="n">
        <f aca="false">M213</f>
        <v>31.4974990844727</v>
      </c>
      <c r="N225" s="180" t="n">
        <f aca="false">P225+Q225</f>
        <v>49.3343729129167</v>
      </c>
      <c r="P225" s="180" t="n">
        <f aca="false">IF($L$1=1,VLOOKUP(L225,'Fuel Curve'!$B$7:$H$246,7),VLOOKUP(L225,'Revenues &amp; Expenses'!$K$9:$S$246,9))</f>
        <v>46.0237918965517</v>
      </c>
      <c r="Q225" s="180" t="n">
        <f aca="false">'Revenues &amp; Expenses'!$AM$5*1000*'Revenues &amp; Expenses'!O233</f>
        <v>3.31058101636495</v>
      </c>
      <c r="S225" s="204" t="n">
        <f aca="false">IF(M225&gt;N225,1,0)</f>
        <v>0</v>
      </c>
      <c r="T225" s="204" t="n">
        <f aca="false">'Revenues &amp; Expenses'!$S$3</f>
        <v>310.66</v>
      </c>
      <c r="U225" s="212" t="n">
        <f aca="false">T225*'Revenues &amp; Expenses'!F233*4</f>
        <v>26095.44</v>
      </c>
      <c r="W225" s="212" t="n">
        <f aca="false">IF(S225&gt;0,(M225-N225)*U225,0)</f>
        <v>0</v>
      </c>
    </row>
    <row r="226" customFormat="false" ht="12.75" hidden="false" customHeight="false" outlineLevel="0" collapsed="false">
      <c r="B226" s="240" t="n">
        <v>43435</v>
      </c>
      <c r="C226" s="218" t="n">
        <f aca="false">VLOOKUP(B226,'Company Gas Prices'!$B$25:$C$259,2)</f>
        <v>3.88020833</v>
      </c>
      <c r="D226" s="180" t="n">
        <f aca="false">VLOOKUP(B226,'Fuel Curve'!$B$7:$F$268,5)</f>
        <v>4.84741379310345</v>
      </c>
      <c r="E226" s="180" t="n">
        <f aca="false">D226-C226</f>
        <v>0.967205463103449</v>
      </c>
      <c r="G226" s="240" t="n">
        <v>43435</v>
      </c>
      <c r="H226" s="180" t="n">
        <f aca="false">VLOOKUP(G226,'Company Power Prices'!$B$25:$C$259,2)</f>
        <v>51.33692819</v>
      </c>
      <c r="I226" s="180" t="n">
        <f aca="false">I214</f>
        <v>40.0982988922511</v>
      </c>
      <c r="J226" s="259" t="n">
        <f aca="false">I226-H226</f>
        <v>-11.2386292977489</v>
      </c>
      <c r="L226" s="240" t="n">
        <v>43435</v>
      </c>
      <c r="M226" s="180" t="n">
        <f aca="false">M214</f>
        <v>33.2499996185303</v>
      </c>
      <c r="N226" s="180" t="n">
        <f aca="false">P226+Q226</f>
        <v>49.75131592823</v>
      </c>
      <c r="P226" s="180" t="n">
        <f aca="false">IF($L$1=1,VLOOKUP(L226,'Fuel Curve'!$B$7:$H$246,7),VLOOKUP(L226,'Revenues &amp; Expenses'!$K$9:$S$246,9))</f>
        <v>46.4333767241379</v>
      </c>
      <c r="Q226" s="180" t="n">
        <f aca="false">'Revenues &amp; Expenses'!$AM$5*1000*'Revenues &amp; Expenses'!O234</f>
        <v>3.31793920409211</v>
      </c>
      <c r="S226" s="204" t="n">
        <f aca="false">IF(M226&gt;N226,1,0)</f>
        <v>0</v>
      </c>
      <c r="T226" s="204" t="n">
        <f aca="false">'Revenues &amp; Expenses'!$S$3</f>
        <v>310.66</v>
      </c>
      <c r="U226" s="212" t="n">
        <f aca="false">T226*'Revenues &amp; Expenses'!F234*4</f>
        <v>27338.08</v>
      </c>
      <c r="W226" s="212" t="n">
        <f aca="false">IF(S226&gt;0,(M226-N226)*U226,0)</f>
        <v>0</v>
      </c>
    </row>
    <row r="227" customFormat="false" ht="12.75" hidden="false" customHeight="false" outlineLevel="0" collapsed="false">
      <c r="B227" s="240" t="n">
        <v>43466</v>
      </c>
      <c r="C227" s="218" t="n">
        <f aca="false">VLOOKUP(B227,'Company Gas Prices'!$B$25:$C$259,2)</f>
        <v>3.9375</v>
      </c>
      <c r="D227" s="180" t="n">
        <f aca="false">VLOOKUP(B227,'Fuel Curve'!$B$7:$F$268,5)</f>
        <v>4.79017241379311</v>
      </c>
      <c r="E227" s="180" t="n">
        <f aca="false">D227-C227</f>
        <v>0.852672413793105</v>
      </c>
      <c r="G227" s="240" t="n">
        <v>43466</v>
      </c>
      <c r="H227" s="180" t="n">
        <f aca="false">VLOOKUP(G227,'Company Power Prices'!$B$25:$C$259,2)</f>
        <v>48.19317752</v>
      </c>
      <c r="I227" s="180" t="n">
        <f aca="false">I215</f>
        <v>51.2865554926271</v>
      </c>
      <c r="J227" s="259" t="n">
        <f aca="false">I227-H227</f>
        <v>3.09337797262707</v>
      </c>
      <c r="L227" s="240" t="n">
        <v>43466</v>
      </c>
      <c r="M227" s="180" t="n">
        <f aca="false">M215</f>
        <v>41.8249984741211</v>
      </c>
      <c r="N227" s="180" t="n">
        <f aca="false">P227+Q227</f>
        <v>49.2103752980523</v>
      </c>
      <c r="P227" s="180" t="n">
        <f aca="false">IF($L$1=1,VLOOKUP(L227,'Fuel Curve'!$B$7:$H$246,7),VLOOKUP(L227,'Revenues &amp; Expenses'!$K$9:$S$246,9))</f>
        <v>45.8850615517242</v>
      </c>
      <c r="Q227" s="180" t="n">
        <f aca="false">'Revenues &amp; Expenses'!$AM$5*1000*'Revenues &amp; Expenses'!O235</f>
        <v>3.32531374632814</v>
      </c>
      <c r="S227" s="204" t="n">
        <f aca="false">IF(M227&gt;N227,1,0)</f>
        <v>0</v>
      </c>
      <c r="T227" s="204" t="n">
        <f aca="false">'Revenues &amp; Expenses'!$S$3</f>
        <v>310.66</v>
      </c>
      <c r="U227" s="212" t="n">
        <f aca="false">T227*'Revenues &amp; Expenses'!F235*4</f>
        <v>28580.72</v>
      </c>
      <c r="W227" s="212" t="n">
        <f aca="false">IF(S227&gt;0,(M227-N227)*U227,0)</f>
        <v>0</v>
      </c>
    </row>
    <row r="228" customFormat="false" ht="12.75" hidden="false" customHeight="false" outlineLevel="0" collapsed="false">
      <c r="B228" s="240" t="n">
        <v>43497</v>
      </c>
      <c r="C228" s="218" t="n">
        <f aca="false">VLOOKUP(B228,'Company Gas Prices'!$B$25:$C$259,2)</f>
        <v>3.9375</v>
      </c>
      <c r="D228" s="180" t="n">
        <f aca="false">VLOOKUP(B228,'Fuel Curve'!$B$7:$F$268,5)</f>
        <v>4.69103448275862</v>
      </c>
      <c r="E228" s="180" t="n">
        <f aca="false">D228-C228</f>
        <v>0.753534482758622</v>
      </c>
      <c r="G228" s="240" t="n">
        <v>43497</v>
      </c>
      <c r="H228" s="180" t="n">
        <f aca="false">VLOOKUP(G228,'Company Power Prices'!$B$25:$C$259,2)</f>
        <v>42.62686693</v>
      </c>
      <c r="I228" s="180" t="n">
        <f aca="false">I216</f>
        <v>51.2865554926271</v>
      </c>
      <c r="J228" s="259" t="n">
        <f aca="false">I228-H228</f>
        <v>8.65968856262708</v>
      </c>
      <c r="L228" s="240" t="n">
        <v>43497</v>
      </c>
      <c r="M228" s="180" t="n">
        <f aca="false">M216</f>
        <v>41.8249984741211</v>
      </c>
      <c r="N228" s="180" t="n">
        <f aca="false">P228+Q228</f>
        <v>48.2681239897679</v>
      </c>
      <c r="P228" s="180" t="n">
        <f aca="false">IF($L$1=1,VLOOKUP(L228,'Fuel Curve'!$B$7:$H$246,7),VLOOKUP(L228,'Revenues &amp; Expenses'!$K$9:$S$246,9))</f>
        <v>44.9354193103448</v>
      </c>
      <c r="Q228" s="180" t="n">
        <f aca="false">'Revenues &amp; Expenses'!$AM$5*1000*'Revenues &amp; Expenses'!O236</f>
        <v>3.33270467942303</v>
      </c>
      <c r="S228" s="204" t="n">
        <f aca="false">IF(M228&gt;N228,1,0)</f>
        <v>0</v>
      </c>
      <c r="T228" s="204" t="n">
        <f aca="false">'Revenues &amp; Expenses'!$S$3</f>
        <v>310.66</v>
      </c>
      <c r="U228" s="212" t="n">
        <f aca="false">T228*'Revenues &amp; Expenses'!F236*4</f>
        <v>24852.8</v>
      </c>
      <c r="W228" s="212" t="n">
        <f aca="false">IF(S228&gt;0,(M228-N228)*U228,0)</f>
        <v>0</v>
      </c>
    </row>
    <row r="229" customFormat="false" ht="12.75" hidden="false" customHeight="false" outlineLevel="0" collapsed="false">
      <c r="B229" s="240" t="n">
        <v>43525</v>
      </c>
      <c r="C229" s="218" t="n">
        <f aca="false">VLOOKUP(B229,'Company Gas Prices'!$B$25:$C$259,2)</f>
        <v>3.9375</v>
      </c>
      <c r="D229" s="180" t="n">
        <f aca="false">VLOOKUP(B229,'Fuel Curve'!$B$7:$F$268,5)</f>
        <v>4.59396551724138</v>
      </c>
      <c r="E229" s="180" t="n">
        <f aca="false">D229-C229</f>
        <v>0.65646551724138</v>
      </c>
      <c r="G229" s="240" t="n">
        <v>43525</v>
      </c>
      <c r="H229" s="180" t="n">
        <f aca="false">VLOOKUP(G229,'Company Power Prices'!$B$25:$C$259,2)</f>
        <v>42.62686693</v>
      </c>
      <c r="I229" s="180" t="n">
        <f aca="false">I217</f>
        <v>38.371899677906</v>
      </c>
      <c r="J229" s="259" t="n">
        <f aca="false">I229-H229</f>
        <v>-4.25496725209396</v>
      </c>
      <c r="L229" s="240" t="n">
        <v>43525</v>
      </c>
      <c r="M229" s="180" t="n">
        <f aca="false">M217</f>
        <v>31.5500007629395</v>
      </c>
      <c r="N229" s="180" t="n">
        <f aca="false">P229+Q229</f>
        <v>47.3457077294627</v>
      </c>
      <c r="P229" s="180" t="n">
        <f aca="false">IF($L$1=1,VLOOKUP(L229,'Fuel Curve'!$B$7:$H$246,7),VLOOKUP(L229,'Revenues &amp; Expenses'!$K$9:$S$246,9))</f>
        <v>44.0055956896552</v>
      </c>
      <c r="Q229" s="180" t="n">
        <f aca="false">'Revenues &amp; Expenses'!$AM$5*1000*'Revenues &amp; Expenses'!O237</f>
        <v>3.34011203980755</v>
      </c>
      <c r="S229" s="204" t="n">
        <f aca="false">IF(M229&gt;N229,1,0)</f>
        <v>0</v>
      </c>
      <c r="T229" s="204" t="n">
        <f aca="false">'Revenues &amp; Expenses'!$S$3</f>
        <v>310.66</v>
      </c>
      <c r="U229" s="212" t="n">
        <f aca="false">T229*'Revenues &amp; Expenses'!F237*4</f>
        <v>26095.44</v>
      </c>
      <c r="W229" s="212" t="n">
        <f aca="false">IF(S229&gt;0,(M229-N229)*U229,0)</f>
        <v>0</v>
      </c>
    </row>
    <row r="230" customFormat="false" ht="12.75" hidden="false" customHeight="false" outlineLevel="0" collapsed="false">
      <c r="B230" s="240" t="n">
        <v>43556</v>
      </c>
      <c r="C230" s="218" t="n">
        <f aca="false">VLOOKUP(B230,'Company Gas Prices'!$B$25:$C$259,2)</f>
        <v>4.08229167</v>
      </c>
      <c r="D230" s="180" t="n">
        <f aca="false">VLOOKUP(B230,'Fuel Curve'!$B$7:$F$268,5)</f>
        <v>4.49396551724138</v>
      </c>
      <c r="E230" s="180" t="n">
        <f aca="false">D230-C230</f>
        <v>0.41167384724138</v>
      </c>
      <c r="G230" s="240" t="n">
        <v>43556</v>
      </c>
      <c r="H230" s="180" t="n">
        <f aca="false">VLOOKUP(G230,'Company Power Prices'!$B$25:$C$259,2)</f>
        <v>47.34689014</v>
      </c>
      <c r="I230" s="180" t="n">
        <f aca="false">I218</f>
        <v>35.5338996121314</v>
      </c>
      <c r="J230" s="259" t="n">
        <f aca="false">I230-H230</f>
        <v>-11.8129905278687</v>
      </c>
      <c r="L230" s="240" t="n">
        <v>43556</v>
      </c>
      <c r="M230" s="180" t="n">
        <f aca="false">M218</f>
        <v>31.3250007629395</v>
      </c>
      <c r="N230" s="180" t="n">
        <f aca="false">P230+Q230</f>
        <v>46.3952315536486</v>
      </c>
      <c r="P230" s="180" t="n">
        <f aca="false">IF($L$1=1,VLOOKUP(L230,'Fuel Curve'!$B$7:$H$246,7),VLOOKUP(L230,'Revenues &amp; Expenses'!$K$9:$S$246,9))</f>
        <v>43.0476956896552</v>
      </c>
      <c r="Q230" s="180" t="n">
        <f aca="false">'Revenues &amp; Expenses'!$AM$5*1000*'Revenues &amp; Expenses'!O238</f>
        <v>3.34753586399343</v>
      </c>
      <c r="S230" s="204" t="n">
        <f aca="false">IF(M230&gt;N230,1,0)</f>
        <v>0</v>
      </c>
      <c r="T230" s="204" t="n">
        <f aca="false">'Revenues &amp; Expenses'!$S$3</f>
        <v>310.66</v>
      </c>
      <c r="U230" s="212" t="n">
        <f aca="false">T230*'Revenues &amp; Expenses'!F238*4</f>
        <v>27338.08</v>
      </c>
      <c r="W230" s="212" t="n">
        <f aca="false">IF(S230&gt;0,(M230-N230)*U230,0)</f>
        <v>0</v>
      </c>
    </row>
    <row r="231" customFormat="false" ht="12.75" hidden="false" customHeight="false" outlineLevel="0" collapsed="false">
      <c r="B231" s="240" t="n">
        <v>43586</v>
      </c>
      <c r="C231" s="218" t="n">
        <f aca="false">VLOOKUP(B231,'Company Gas Prices'!$B$25:$C$259,2)</f>
        <v>3.91979167</v>
      </c>
      <c r="D231" s="180" t="n">
        <f aca="false">VLOOKUP(B231,'Fuel Curve'!$B$7:$F$268,5)</f>
        <v>4.42672413793104</v>
      </c>
      <c r="E231" s="180" t="n">
        <f aca="false">D231-C231</f>
        <v>0.506932467931035</v>
      </c>
      <c r="G231" s="240" t="n">
        <v>43586</v>
      </c>
      <c r="H231" s="180" t="n">
        <f aca="false">VLOOKUP(G231,'Company Power Prices'!$B$25:$C$259,2)</f>
        <v>57.7472557</v>
      </c>
      <c r="I231" s="180" t="n">
        <f aca="false">I219</f>
        <v>43.1711496568723</v>
      </c>
      <c r="J231" s="259" t="n">
        <f aca="false">I231-H231</f>
        <v>-14.5761060431277</v>
      </c>
      <c r="L231" s="240" t="n">
        <v>43586</v>
      </c>
      <c r="M231" s="180" t="n">
        <f aca="false">M219</f>
        <v>39.325</v>
      </c>
      <c r="N231" s="180" t="n">
        <f aca="false">P231+Q231</f>
        <v>45.758566705815</v>
      </c>
      <c r="P231" s="180" t="n">
        <f aca="false">IF($L$1=1,VLOOKUP(L231,'Fuel Curve'!$B$7:$H$246,7),VLOOKUP(L231,'Revenues &amp; Expenses'!$K$9:$S$246,9))</f>
        <v>42.4035905172414</v>
      </c>
      <c r="Q231" s="180" t="n">
        <f aca="false">'Revenues &amp; Expenses'!$AM$5*1000*'Revenues &amp; Expenses'!O239</f>
        <v>3.35497618857358</v>
      </c>
      <c r="S231" s="204" t="n">
        <f aca="false">IF(M231&gt;N231,1,0)</f>
        <v>0</v>
      </c>
      <c r="T231" s="204" t="n">
        <f aca="false">'Revenues &amp; Expenses'!$S$3</f>
        <v>310.66</v>
      </c>
      <c r="U231" s="212" t="n">
        <f aca="false">T231*'Revenues &amp; Expenses'!F239*4</f>
        <v>27338.08</v>
      </c>
      <c r="W231" s="212" t="n">
        <f aca="false">IF(S231&gt;0,(M231-N231)*U231,0)</f>
        <v>0</v>
      </c>
    </row>
    <row r="232" customFormat="false" ht="12.75" hidden="false" customHeight="false" outlineLevel="0" collapsed="false">
      <c r="B232" s="240" t="n">
        <v>43617</v>
      </c>
      <c r="C232" s="218" t="n">
        <f aca="false">VLOOKUP(B232,'Company Gas Prices'!$B$25:$C$259,2)</f>
        <v>3.9125</v>
      </c>
      <c r="D232" s="180" t="n">
        <f aca="false">VLOOKUP(B232,'Fuel Curve'!$B$7:$F$268,5)</f>
        <v>4.42017241379311</v>
      </c>
      <c r="E232" s="180" t="n">
        <f aca="false">D232-C232</f>
        <v>0.507672413793105</v>
      </c>
      <c r="G232" s="240" t="n">
        <v>43617</v>
      </c>
      <c r="H232" s="180" t="n">
        <f aca="false">VLOOKUP(G232,'Company Power Prices'!$B$25:$C$259,2)</f>
        <v>104.0923138</v>
      </c>
      <c r="I232" s="180" t="n">
        <f aca="false">I220</f>
        <v>84.3420003819235</v>
      </c>
      <c r="J232" s="259" t="n">
        <f aca="false">I232-H232</f>
        <v>-19.7503134180765</v>
      </c>
      <c r="L232" s="240" t="n">
        <v>43617</v>
      </c>
      <c r="M232" s="180" t="n">
        <f aca="false">M220</f>
        <v>68.3499984741211</v>
      </c>
      <c r="N232" s="180" t="n">
        <f aca="false">P232+Q232</f>
        <v>45.7032646019464</v>
      </c>
      <c r="P232" s="180" t="n">
        <f aca="false">IF($L$1=1,VLOOKUP(L232,'Fuel Curve'!$B$7:$H$246,7),VLOOKUP(L232,'Revenues &amp; Expenses'!$K$9:$S$246,9))</f>
        <v>42.3408315517242</v>
      </c>
      <c r="Q232" s="180" t="n">
        <f aca="false">'Revenues &amp; Expenses'!$AM$5*1000*'Revenues &amp; Expenses'!O240</f>
        <v>3.36243305022223</v>
      </c>
      <c r="S232" s="204" t="n">
        <f aca="false">IF(M232&gt;N232,1,0)</f>
        <v>1</v>
      </c>
      <c r="T232" s="204" t="n">
        <f aca="false">'Revenues &amp; Expenses'!$S$3</f>
        <v>310.66</v>
      </c>
      <c r="U232" s="212" t="n">
        <f aca="false">T232*'Revenues &amp; Expenses'!F240*4</f>
        <v>26095.44</v>
      </c>
      <c r="W232" s="212" t="n">
        <f aca="false">IF(S232&gt;0,(M232-N232)*U232,0)</f>
        <v>590976.484957303</v>
      </c>
    </row>
    <row r="233" customFormat="false" ht="12.75" hidden="false" customHeight="false" outlineLevel="0" collapsed="false">
      <c r="B233" s="240" t="n">
        <v>43647</v>
      </c>
      <c r="C233" s="218" t="n">
        <f aca="false">VLOOKUP(B233,'Company Gas Prices'!$B$25:$C$259,2)</f>
        <v>3.87395833</v>
      </c>
      <c r="D233" s="180" t="n">
        <f aca="false">VLOOKUP(B233,'Fuel Curve'!$B$7:$F$268,5)</f>
        <v>4.47741379310345</v>
      </c>
      <c r="E233" s="180" t="n">
        <f aca="false">D233-C233</f>
        <v>0.603455463103449</v>
      </c>
      <c r="G233" s="240" t="n">
        <v>43647</v>
      </c>
      <c r="H233" s="180" t="n">
        <f aca="false">VLOOKUP(G233,'Company Power Prices'!$B$25:$C$259,2)</f>
        <v>162.3593968</v>
      </c>
      <c r="I233" s="180" t="n">
        <f aca="false">I221</f>
        <v>164.06756314574</v>
      </c>
      <c r="J233" s="259" t="n">
        <f aca="false">I233-H233</f>
        <v>1.70816634574012</v>
      </c>
      <c r="L233" s="240" t="n">
        <v>43647</v>
      </c>
      <c r="M233" s="180" t="n">
        <f aca="false">M221</f>
        <v>124.949996948242</v>
      </c>
      <c r="N233" s="180" t="n">
        <f aca="false">P233+Q233</f>
        <v>46.259053209833</v>
      </c>
      <c r="P233" s="180" t="n">
        <f aca="false">IF($L$1=1,VLOOKUP(L233,'Fuel Curve'!$B$7:$H$246,7),VLOOKUP(L233,'Revenues &amp; Expenses'!$K$9:$S$246,9))</f>
        <v>42.8891467241379</v>
      </c>
      <c r="Q233" s="180" t="n">
        <f aca="false">'Revenues &amp; Expenses'!$AM$5*1000*'Revenues &amp; Expenses'!O241</f>
        <v>3.3699064856951</v>
      </c>
      <c r="S233" s="204" t="n">
        <f aca="false">IF(M233&gt;N233,1,0)</f>
        <v>1</v>
      </c>
      <c r="T233" s="204" t="n">
        <f aca="false">'Revenues &amp; Expenses'!$S$3</f>
        <v>310.66</v>
      </c>
      <c r="U233" s="212" t="n">
        <f aca="false">T233*'Revenues &amp; Expenses'!F241*4</f>
        <v>28580.72</v>
      </c>
      <c r="W233" s="212" t="n">
        <f aca="false">IF(S233&gt;0,(M233-N233)*U233,0)</f>
        <v>2249043.82952323</v>
      </c>
    </row>
    <row r="234" customFormat="false" ht="12.75" hidden="false" customHeight="false" outlineLevel="0" collapsed="false">
      <c r="B234" s="240" t="n">
        <v>43678</v>
      </c>
      <c r="C234" s="218" t="n">
        <f aca="false">VLOOKUP(B234,'Company Gas Prices'!$B$25:$C$259,2)</f>
        <v>3.87395833</v>
      </c>
      <c r="D234" s="180" t="n">
        <f aca="false">VLOOKUP(B234,'Fuel Curve'!$B$7:$F$268,5)</f>
        <v>4.56793103448276</v>
      </c>
      <c r="E234" s="180" t="n">
        <f aca="false">D234-C234</f>
        <v>0.69397270448276</v>
      </c>
      <c r="G234" s="240" t="n">
        <v>43678</v>
      </c>
      <c r="H234" s="180" t="n">
        <f aca="false">VLOOKUP(G234,'Company Power Prices'!$B$25:$C$259,2)</f>
        <v>162.3593968</v>
      </c>
      <c r="I234" s="180" t="n">
        <f aca="false">I222</f>
        <v>137.400697060805</v>
      </c>
      <c r="J234" s="259" t="n">
        <f aca="false">I234-H234</f>
        <v>-24.9586997391947</v>
      </c>
      <c r="L234" s="240" t="n">
        <v>43678</v>
      </c>
      <c r="M234" s="180" t="n">
        <f aca="false">M222</f>
        <v>111.949996948242</v>
      </c>
      <c r="N234" s="180" t="n">
        <f aca="false">P234+Q234</f>
        <v>47.13360791114</v>
      </c>
      <c r="P234" s="180" t="n">
        <f aca="false">IF($L$1=1,VLOOKUP(L234,'Fuel Curve'!$B$7:$H$246,7),VLOOKUP(L234,'Revenues &amp; Expenses'!$K$9:$S$246,9))</f>
        <v>43.7562113793104</v>
      </c>
      <c r="Q234" s="180" t="n">
        <f aca="false">'Revenues &amp; Expenses'!$AM$5*1000*'Revenues &amp; Expenses'!O242</f>
        <v>3.37739653182963</v>
      </c>
      <c r="S234" s="204" t="n">
        <f aca="false">IF(M234&gt;N234,1,0)</f>
        <v>1</v>
      </c>
      <c r="T234" s="204" t="n">
        <f aca="false">'Revenues &amp; Expenses'!$S$3</f>
        <v>310.66</v>
      </c>
      <c r="U234" s="212" t="n">
        <f aca="false">T234*'Revenues &amp; Expenses'!F242*4</f>
        <v>26095.44</v>
      </c>
      <c r="W234" s="212" t="n">
        <f aca="false">IF(S234&gt;0,(M234-N234)*U234,0)</f>
        <v>1691412.19113436</v>
      </c>
    </row>
    <row r="235" customFormat="false" ht="12.75" hidden="false" customHeight="false" outlineLevel="0" collapsed="false">
      <c r="B235" s="240" t="n">
        <v>43709</v>
      </c>
      <c r="C235" s="218" t="n">
        <f aca="false">VLOOKUP(B235,'Company Gas Prices'!$B$25:$C$259,2)</f>
        <v>3.91979167</v>
      </c>
      <c r="D235" s="180" t="n">
        <f aca="false">VLOOKUP(B235,'Fuel Curve'!$B$7:$F$268,5)</f>
        <v>4.66275862068966</v>
      </c>
      <c r="E235" s="180" t="n">
        <f aca="false">D235-C235</f>
        <v>0.742966950689656</v>
      </c>
      <c r="G235" s="240" t="n">
        <v>43709</v>
      </c>
      <c r="H235" s="180" t="n">
        <f aca="false">VLOOKUP(G235,'Company Power Prices'!$B$25:$C$259,2)</f>
        <v>57.7472557</v>
      </c>
      <c r="I235" s="180" t="n">
        <f aca="false">I223</f>
        <v>46.1162864838868</v>
      </c>
      <c r="J235" s="259" t="n">
        <f aca="false">I235-H235</f>
        <v>-11.6309692161132</v>
      </c>
      <c r="L235" s="240" t="n">
        <v>43709</v>
      </c>
      <c r="M235" s="180" t="n">
        <f aca="false">M223</f>
        <v>39.9249984741211</v>
      </c>
      <c r="N235" s="180" t="n">
        <f aca="false">P235+Q235</f>
        <v>48.0494680531314</v>
      </c>
      <c r="P235" s="180" t="n">
        <f aca="false">IF($L$1=1,VLOOKUP(L235,'Fuel Curve'!$B$7:$H$246,7),VLOOKUP(L235,'Revenues &amp; Expenses'!$K$9:$S$246,9))</f>
        <v>44.6645648275862</v>
      </c>
      <c r="Q235" s="180" t="n">
        <f aca="false">'Revenues &amp; Expenses'!$AM$5*1000*'Revenues &amp; Expenses'!O243</f>
        <v>3.38490322554515</v>
      </c>
      <c r="S235" s="204" t="n">
        <f aca="false">IF(M235&gt;N235,1,0)</f>
        <v>0</v>
      </c>
      <c r="T235" s="204" t="n">
        <f aca="false">'Revenues &amp; Expenses'!$S$3</f>
        <v>310.66</v>
      </c>
      <c r="U235" s="212" t="n">
        <f aca="false">T235*'Revenues &amp; Expenses'!F243*4</f>
        <v>27338.08</v>
      </c>
      <c r="W235" s="212" t="n">
        <f aca="false">IF(S235&gt;0,(M235-N235)*U235,0)</f>
        <v>0</v>
      </c>
    </row>
    <row r="236" customFormat="false" ht="12.75" hidden="false" customHeight="false" outlineLevel="0" collapsed="false">
      <c r="B236" s="240" t="n">
        <v>43739</v>
      </c>
      <c r="C236" s="218" t="n">
        <f aca="false">VLOOKUP(B236,'Company Gas Prices'!$B$25:$C$259,2)</f>
        <v>3.88020833</v>
      </c>
      <c r="D236" s="180" t="n">
        <f aca="false">VLOOKUP(B236,'Fuel Curve'!$B$7:$F$268,5)</f>
        <v>4.75534482758621</v>
      </c>
      <c r="E236" s="180" t="n">
        <f aca="false">D236-C236</f>
        <v>0.875136497586207</v>
      </c>
      <c r="G236" s="240" t="n">
        <v>43739</v>
      </c>
      <c r="H236" s="180" t="n">
        <f aca="false">VLOOKUP(G236,'Company Power Prices'!$B$25:$C$259,2)</f>
        <v>49.72050225</v>
      </c>
      <c r="I236" s="180" t="n">
        <f aca="false">I224</f>
        <v>37.385623573122</v>
      </c>
      <c r="J236" s="259" t="n">
        <f aca="false">I236-H236</f>
        <v>-12.334878676878</v>
      </c>
      <c r="L236" s="240" t="n">
        <v>43739</v>
      </c>
      <c r="M236" s="180" t="n">
        <f aca="false">M224</f>
        <v>31.8250003814697</v>
      </c>
      <c r="N236" s="180" t="n">
        <f aca="false">P236+Q236</f>
        <v>48.9438747072913</v>
      </c>
      <c r="P236" s="180" t="n">
        <f aca="false">IF($L$1=1,VLOOKUP(L236,'Fuel Curve'!$B$7:$H$246,7),VLOOKUP(L236,'Revenues &amp; Expenses'!$K$9:$S$246,9))</f>
        <v>45.5514481034483</v>
      </c>
      <c r="Q236" s="180" t="n">
        <f aca="false">'Revenues &amp; Expenses'!$AM$5*1000*'Revenues &amp; Expenses'!O244</f>
        <v>3.392426603843</v>
      </c>
      <c r="S236" s="204" t="n">
        <f aca="false">IF(M236&gt;N236,1,0)</f>
        <v>0</v>
      </c>
      <c r="T236" s="204" t="n">
        <f aca="false">'Revenues &amp; Expenses'!$S$3</f>
        <v>310.66</v>
      </c>
      <c r="U236" s="212" t="n">
        <f aca="false">T236*'Revenues &amp; Expenses'!F244*4</f>
        <v>28580.72</v>
      </c>
      <c r="W236" s="212" t="n">
        <f aca="false">IF(S236&gt;0,(M236-N236)*U236,0)</f>
        <v>0</v>
      </c>
    </row>
    <row r="237" customFormat="false" ht="12.75" hidden="false" customHeight="false" outlineLevel="0" collapsed="false">
      <c r="B237" s="240" t="n">
        <v>43770</v>
      </c>
      <c r="C237" s="218" t="n">
        <f aca="false">VLOOKUP(B237,'Company Gas Prices'!$B$25:$C$259,2)</f>
        <v>3.88020833</v>
      </c>
      <c r="D237" s="180" t="n">
        <f aca="false">VLOOKUP(B237,'Fuel Curve'!$B$7:$F$268,5)</f>
        <v>4.80465517241379</v>
      </c>
      <c r="E237" s="180" t="n">
        <f aca="false">D237-C237</f>
        <v>0.924446842413794</v>
      </c>
      <c r="G237" s="240" t="n">
        <v>43770</v>
      </c>
      <c r="H237" s="180" t="n">
        <f aca="false">VLOOKUP(G237,'Company Power Prices'!$B$25:$C$259,2)</f>
        <v>51.33249949</v>
      </c>
      <c r="I237" s="180" t="n">
        <f aca="false">I225</f>
        <v>37.5080093472672</v>
      </c>
      <c r="J237" s="259" t="n">
        <f aca="false">I237-H237</f>
        <v>-13.8244901427328</v>
      </c>
      <c r="L237" s="240" t="n">
        <v>43770</v>
      </c>
      <c r="M237" s="180" t="n">
        <f aca="false">M225</f>
        <v>31.4974990844727</v>
      </c>
      <c r="N237" s="180" t="n">
        <f aca="false">P237+Q237</f>
        <v>49.4237586003585</v>
      </c>
      <c r="P237" s="180" t="n">
        <f aca="false">IF($L$1=1,VLOOKUP(L237,'Fuel Curve'!$B$7:$H$246,7),VLOOKUP(L237,'Revenues &amp; Expenses'!$K$9:$S$246,9))</f>
        <v>46.0237918965517</v>
      </c>
      <c r="Q237" s="180" t="n">
        <f aca="false">'Revenues &amp; Expenses'!$AM$5*1000*'Revenues &amp; Expenses'!O245</f>
        <v>3.39996670380681</v>
      </c>
      <c r="S237" s="204" t="n">
        <f aca="false">IF(M237&gt;N237,1,0)</f>
        <v>0</v>
      </c>
      <c r="T237" s="204" t="n">
        <f aca="false">'Revenues &amp; Expenses'!$S$3</f>
        <v>310.66</v>
      </c>
      <c r="U237" s="212" t="n">
        <f aca="false">T237*'Revenues &amp; Expenses'!F245*4</f>
        <v>24852.8</v>
      </c>
      <c r="W237" s="212" t="n">
        <f aca="false">IF(S237&gt;0,(M237-N237)*U237,0)</f>
        <v>0</v>
      </c>
    </row>
    <row r="238" customFormat="false" ht="12.75" hidden="false" customHeight="false" outlineLevel="0" collapsed="false">
      <c r="B238" s="240" t="n">
        <v>43800</v>
      </c>
      <c r="C238" s="218" t="n">
        <f aca="false">VLOOKUP(B238,'Company Gas Prices'!$B$25:$C$259,2)</f>
        <v>3.88020833</v>
      </c>
      <c r="D238" s="180" t="n">
        <f aca="false">VLOOKUP(B238,'Fuel Curve'!$B$7:$F$268,5)</f>
        <v>4.84741379310345</v>
      </c>
      <c r="E238" s="180" t="n">
        <f aca="false">D238-C238</f>
        <v>0.967205463103449</v>
      </c>
      <c r="G238" s="240" t="n">
        <v>43800</v>
      </c>
      <c r="H238" s="180" t="n">
        <f aca="false">VLOOKUP(G238,'Company Power Prices'!$B$25:$C$259,2)</f>
        <v>51.33249949</v>
      </c>
      <c r="I238" s="180" t="n">
        <f aca="false">I226</f>
        <v>40.0982988922511</v>
      </c>
      <c r="J238" s="259" t="n">
        <f aca="false">I238-H238</f>
        <v>-11.2342005977489</v>
      </c>
      <c r="L238" s="240" t="n">
        <v>43800</v>
      </c>
      <c r="M238" s="180" t="n">
        <f aca="false">M226</f>
        <v>33.2499996185303</v>
      </c>
      <c r="N238" s="180" t="n">
        <f aca="false">P238+Q238</f>
        <v>49.8409002867405</v>
      </c>
      <c r="P238" s="180" t="n">
        <f aca="false">IF($L$1=1,VLOOKUP(L238,'Fuel Curve'!$B$7:$H$246,7),VLOOKUP(L238,'Revenues &amp; Expenses'!$K$9:$S$246,9))</f>
        <v>46.4333767241379</v>
      </c>
      <c r="Q238" s="180" t="n">
        <f aca="false">'Revenues &amp; Expenses'!$AM$5*1000*'Revenues &amp; Expenses'!O246</f>
        <v>3.40752356260259</v>
      </c>
      <c r="S238" s="204" t="n">
        <f aca="false">IF(M238&gt;N238,1,0)</f>
        <v>0</v>
      </c>
      <c r="T238" s="204" t="n">
        <f aca="false">'Revenues &amp; Expenses'!$S$3</f>
        <v>310.66</v>
      </c>
      <c r="U238" s="212" t="n">
        <f aca="false">T238*'Revenues &amp; Expenses'!F246*4</f>
        <v>28580.72</v>
      </c>
      <c r="W238" s="212" t="n">
        <f aca="false">IF(S238&gt;0,(M238-N238)*U238,0)</f>
        <v>0</v>
      </c>
    </row>
  </sheetData>
  <mergeCells count="1">
    <mergeCell ref="C2:E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74" activeCellId="0" sqref="J74"/>
    </sheetView>
  </sheetViews>
  <sheetFormatPr defaultColWidth="12.5625" defaultRowHeight="15.75" customHeight="true" zeroHeight="false" outlineLevelRow="0" outlineLevelCol="0"/>
  <cols>
    <col collapsed="false" customWidth="true" hidden="false" outlineLevel="0" max="1" min="1" style="333" width="1.85"/>
    <col collapsed="false" customWidth="true" hidden="false" outlineLevel="0" max="2" min="2" style="333" width="13.28"/>
    <col collapsed="false" customWidth="true" hidden="false" outlineLevel="0" max="3" min="3" style="333" width="9.7"/>
    <col collapsed="false" customWidth="true" hidden="false" outlineLevel="0" max="4" min="4" style="333" width="11.56"/>
    <col collapsed="false" customWidth="true" hidden="false" outlineLevel="0" max="6" min="5" style="333" width="9.7"/>
    <col collapsed="false" customWidth="true" hidden="false" outlineLevel="0" max="8" min="7" style="333" width="11.56"/>
    <col collapsed="false" customWidth="true" hidden="false" outlineLevel="0" max="9" min="9" style="333" width="13.7"/>
    <col collapsed="false" customWidth="true" hidden="false" outlineLevel="0" max="11" min="10" style="333" width="14.7"/>
    <col collapsed="false" customWidth="true" hidden="false" outlineLevel="0" max="22" min="12" style="333" width="9.7"/>
    <col collapsed="false" customWidth="false" hidden="false" outlineLevel="0" max="257" min="23" style="333" width="12.56"/>
  </cols>
  <sheetData>
    <row r="1" customFormat="false" ht="8.25" hidden="false" customHeight="false" outlineLevel="0" collapsed="false">
      <c r="A1" s="334"/>
      <c r="B1" s="334"/>
      <c r="C1" s="334" t="n">
        <v>1</v>
      </c>
      <c r="D1" s="334" t="n">
        <f aca="false">C1+1</f>
        <v>2</v>
      </c>
      <c r="E1" s="334" t="n">
        <f aca="false">D1+1</f>
        <v>3</v>
      </c>
      <c r="F1" s="334" t="n">
        <f aca="false">E1+1</f>
        <v>4</v>
      </c>
      <c r="G1" s="334" t="n">
        <f aca="false">F1+1</f>
        <v>5</v>
      </c>
      <c r="H1" s="334" t="n">
        <f aca="false">G1+1</f>
        <v>6</v>
      </c>
      <c r="I1" s="334" t="n">
        <f aca="false">H1+1</f>
        <v>7</v>
      </c>
      <c r="J1" s="334" t="n">
        <f aca="false">I1+1</f>
        <v>8</v>
      </c>
      <c r="K1" s="334" t="n">
        <f aca="false">J1+1</f>
        <v>9</v>
      </c>
      <c r="L1" s="334" t="n">
        <f aca="false">K1+1</f>
        <v>10</v>
      </c>
      <c r="M1" s="334" t="n">
        <f aca="false">L1+1</f>
        <v>11</v>
      </c>
      <c r="N1" s="334" t="n">
        <f aca="false">M1+1</f>
        <v>12</v>
      </c>
      <c r="O1" s="334" t="n">
        <f aca="false">N1+1</f>
        <v>13</v>
      </c>
      <c r="P1" s="334" t="n">
        <f aca="false">O1+1</f>
        <v>14</v>
      </c>
      <c r="Q1" s="334" t="n">
        <f aca="false">P1+1</f>
        <v>15</v>
      </c>
      <c r="R1" s="334" t="n">
        <f aca="false">Q1+1</f>
        <v>16</v>
      </c>
      <c r="S1" s="334" t="n">
        <f aca="false">R1+1</f>
        <v>17</v>
      </c>
      <c r="T1" s="334" t="n">
        <f aca="false">S1+1</f>
        <v>18</v>
      </c>
      <c r="U1" s="334" t="n">
        <f aca="false">T1+1</f>
        <v>19</v>
      </c>
      <c r="V1" s="334" t="n">
        <f aca="false">U1+1</f>
        <v>20</v>
      </c>
      <c r="W1" s="334"/>
      <c r="X1" s="334"/>
      <c r="Y1" s="334"/>
      <c r="Z1" s="334"/>
      <c r="AA1" s="334"/>
      <c r="AB1" s="334"/>
      <c r="AC1" s="334"/>
      <c r="AD1" s="334"/>
      <c r="AE1" s="334"/>
      <c r="AF1" s="334"/>
      <c r="AG1" s="334"/>
      <c r="AH1" s="334"/>
      <c r="AI1" s="334"/>
      <c r="AJ1" s="334"/>
      <c r="AK1" s="334"/>
      <c r="AL1" s="334"/>
      <c r="AM1" s="334"/>
      <c r="AN1" s="334"/>
      <c r="AO1" s="334"/>
      <c r="AP1" s="334"/>
      <c r="AQ1" s="334"/>
      <c r="AR1" s="334"/>
      <c r="AS1" s="334"/>
      <c r="AT1" s="334"/>
      <c r="AU1" s="334"/>
      <c r="AV1" s="334"/>
      <c r="AW1" s="334"/>
      <c r="AX1" s="334"/>
      <c r="AY1" s="334"/>
      <c r="AZ1" s="334"/>
      <c r="BA1" s="334"/>
      <c r="BB1" s="334"/>
      <c r="BC1" s="334"/>
      <c r="BD1" s="334"/>
      <c r="BE1" s="334"/>
      <c r="BF1" s="334"/>
      <c r="BG1" s="334"/>
      <c r="BH1" s="334"/>
      <c r="BI1" s="334"/>
      <c r="BJ1" s="334"/>
      <c r="BK1" s="334"/>
      <c r="BL1" s="334"/>
      <c r="BM1" s="334"/>
      <c r="BN1" s="334"/>
      <c r="BO1" s="334"/>
      <c r="BP1" s="334"/>
      <c r="BQ1" s="334"/>
      <c r="BR1" s="334"/>
      <c r="BS1" s="334"/>
      <c r="BT1" s="334"/>
      <c r="BU1" s="334"/>
      <c r="BV1" s="334"/>
      <c r="BW1" s="334"/>
      <c r="BX1" s="334"/>
      <c r="BY1" s="334"/>
      <c r="BZ1" s="334"/>
      <c r="CA1" s="334"/>
      <c r="CB1" s="334"/>
      <c r="CC1" s="334"/>
      <c r="CD1" s="334"/>
      <c r="CE1" s="334"/>
      <c r="CF1" s="334"/>
      <c r="CG1" s="334"/>
      <c r="CH1" s="334"/>
      <c r="CI1" s="334"/>
      <c r="CJ1" s="334"/>
      <c r="CK1" s="334"/>
      <c r="CL1" s="334"/>
      <c r="CM1" s="334"/>
      <c r="CN1" s="334"/>
      <c r="CO1" s="334"/>
      <c r="CP1" s="334"/>
      <c r="CQ1" s="334"/>
      <c r="CR1" s="334"/>
      <c r="CS1" s="334"/>
      <c r="CT1" s="334"/>
      <c r="CU1" s="334"/>
      <c r="CV1" s="334"/>
      <c r="CW1" s="334"/>
      <c r="CX1" s="334"/>
      <c r="CY1" s="334"/>
      <c r="CZ1" s="334"/>
      <c r="DA1" s="334"/>
      <c r="DB1" s="334"/>
      <c r="DC1" s="334"/>
      <c r="DD1" s="334"/>
      <c r="DE1" s="334"/>
      <c r="DF1" s="334"/>
      <c r="DG1" s="334"/>
      <c r="DH1" s="334"/>
      <c r="DI1" s="334"/>
      <c r="DJ1" s="334"/>
      <c r="DK1" s="334"/>
      <c r="DL1" s="334"/>
      <c r="DM1" s="334"/>
      <c r="DN1" s="334"/>
      <c r="DO1" s="334"/>
      <c r="DP1" s="334"/>
      <c r="DQ1" s="334"/>
      <c r="DR1" s="334"/>
      <c r="DS1" s="334"/>
      <c r="DT1" s="334"/>
      <c r="DU1" s="334"/>
      <c r="DV1" s="334"/>
      <c r="DW1" s="334"/>
      <c r="DX1" s="334"/>
      <c r="DY1" s="334"/>
      <c r="DZ1" s="334"/>
      <c r="EA1" s="334"/>
      <c r="EB1" s="334"/>
      <c r="EC1" s="334"/>
      <c r="ED1" s="334"/>
      <c r="EE1" s="334"/>
      <c r="EF1" s="334"/>
      <c r="EG1" s="334"/>
      <c r="EH1" s="334"/>
      <c r="EI1" s="334"/>
      <c r="EJ1" s="334"/>
      <c r="EK1" s="334"/>
      <c r="EL1" s="334"/>
      <c r="EM1" s="334"/>
      <c r="EN1" s="334"/>
      <c r="EO1" s="334"/>
      <c r="EP1" s="334"/>
      <c r="EQ1" s="334"/>
      <c r="ER1" s="334"/>
      <c r="ES1" s="334"/>
      <c r="ET1" s="334"/>
      <c r="EU1" s="334"/>
      <c r="EV1" s="334"/>
      <c r="EW1" s="334"/>
      <c r="EX1" s="334"/>
      <c r="EY1" s="334"/>
      <c r="EZ1" s="334"/>
      <c r="FA1" s="334"/>
      <c r="FB1" s="334"/>
      <c r="FC1" s="334"/>
      <c r="FD1" s="334"/>
      <c r="FE1" s="334"/>
      <c r="FF1" s="334"/>
      <c r="FG1" s="334"/>
      <c r="FH1" s="334"/>
      <c r="FI1" s="334"/>
      <c r="FJ1" s="334"/>
      <c r="FK1" s="334"/>
      <c r="FL1" s="334"/>
      <c r="FM1" s="334"/>
      <c r="FN1" s="334"/>
      <c r="FO1" s="334"/>
      <c r="FP1" s="334"/>
      <c r="FQ1" s="334"/>
      <c r="FR1" s="334"/>
      <c r="FS1" s="334"/>
      <c r="FT1" s="334"/>
      <c r="FU1" s="334"/>
      <c r="FV1" s="334"/>
      <c r="FW1" s="334"/>
      <c r="FX1" s="334"/>
      <c r="FY1" s="334"/>
      <c r="FZ1" s="334"/>
      <c r="GA1" s="334"/>
      <c r="GB1" s="334"/>
      <c r="GC1" s="334"/>
      <c r="GD1" s="334"/>
      <c r="GE1" s="334"/>
      <c r="GF1" s="334"/>
      <c r="GG1" s="334"/>
      <c r="GH1" s="334"/>
      <c r="GI1" s="334"/>
      <c r="GJ1" s="334"/>
      <c r="GK1" s="334"/>
      <c r="GL1" s="334"/>
      <c r="GM1" s="334"/>
      <c r="GN1" s="334"/>
      <c r="GO1" s="334"/>
      <c r="GP1" s="334"/>
      <c r="GQ1" s="334"/>
      <c r="GR1" s="334"/>
      <c r="GS1" s="334"/>
      <c r="GT1" s="334"/>
      <c r="GU1" s="334"/>
      <c r="GV1" s="334"/>
      <c r="GW1" s="334"/>
      <c r="GX1" s="334"/>
      <c r="GY1" s="334"/>
      <c r="GZ1" s="334"/>
      <c r="HA1" s="334"/>
      <c r="HB1" s="334"/>
      <c r="HC1" s="334"/>
      <c r="HD1" s="334"/>
      <c r="HE1" s="334"/>
      <c r="HF1" s="334"/>
      <c r="HG1" s="334"/>
      <c r="HH1" s="334"/>
      <c r="HI1" s="334"/>
      <c r="HJ1" s="334"/>
      <c r="HK1" s="334"/>
      <c r="HL1" s="334"/>
      <c r="HM1" s="334"/>
      <c r="HN1" s="334"/>
      <c r="HO1" s="334"/>
      <c r="HP1" s="334"/>
      <c r="HQ1" s="334"/>
      <c r="HR1" s="334"/>
      <c r="HS1" s="334"/>
      <c r="HT1" s="334"/>
      <c r="HU1" s="334"/>
      <c r="HV1" s="334"/>
      <c r="HW1" s="334"/>
      <c r="HX1" s="334"/>
      <c r="HY1" s="334"/>
      <c r="HZ1" s="334"/>
      <c r="IA1" s="334"/>
      <c r="IB1" s="334"/>
      <c r="IC1" s="334"/>
      <c r="ID1" s="334"/>
      <c r="IE1" s="334"/>
      <c r="IF1" s="334"/>
      <c r="IG1" s="334"/>
      <c r="IH1" s="334"/>
      <c r="II1" s="334"/>
      <c r="IJ1" s="334"/>
      <c r="IK1" s="334"/>
      <c r="IL1" s="334"/>
      <c r="IM1" s="334"/>
      <c r="IN1" s="334"/>
      <c r="IO1" s="334"/>
      <c r="IP1" s="334"/>
      <c r="IQ1" s="334"/>
      <c r="IR1" s="334"/>
      <c r="IS1" s="334"/>
      <c r="IT1" s="334"/>
      <c r="IU1" s="334"/>
      <c r="IV1" s="334"/>
      <c r="IW1" s="334"/>
    </row>
    <row r="2" customFormat="false" ht="15.75" hidden="false" customHeight="false" outlineLevel="0" collapsed="false">
      <c r="B2" s="335" t="s">
        <v>162</v>
      </c>
      <c r="C2" s="336" t="n">
        <v>2000</v>
      </c>
      <c r="D2" s="336" t="n">
        <v>2001</v>
      </c>
      <c r="E2" s="336" t="n">
        <v>2002</v>
      </c>
      <c r="F2" s="336" t="n">
        <v>2003</v>
      </c>
      <c r="G2" s="336" t="n">
        <v>2004</v>
      </c>
      <c r="H2" s="336" t="n">
        <v>2005</v>
      </c>
      <c r="I2" s="336" t="n">
        <v>2006</v>
      </c>
      <c r="J2" s="336" t="n">
        <v>2007</v>
      </c>
      <c r="K2" s="336" t="n">
        <v>2008</v>
      </c>
      <c r="L2" s="336" t="n">
        <v>2009</v>
      </c>
      <c r="M2" s="336" t="n">
        <v>2010</v>
      </c>
      <c r="N2" s="336" t="n">
        <v>2011</v>
      </c>
      <c r="O2" s="336" t="n">
        <v>2012</v>
      </c>
      <c r="P2" s="336" t="n">
        <v>2013</v>
      </c>
      <c r="Q2" s="336" t="n">
        <v>2014</v>
      </c>
      <c r="R2" s="336" t="n">
        <v>2015</v>
      </c>
      <c r="S2" s="336" t="n">
        <v>2016</v>
      </c>
      <c r="T2" s="336" t="n">
        <v>2017</v>
      </c>
      <c r="U2" s="336" t="n">
        <v>2018</v>
      </c>
      <c r="V2" s="336" t="n">
        <v>2019</v>
      </c>
    </row>
    <row r="3" customFormat="false" ht="16.5" hidden="false" customHeight="false" outlineLevel="0" collapsed="false">
      <c r="B3" s="335" t="s">
        <v>163</v>
      </c>
      <c r="C3" s="337" t="n">
        <v>7</v>
      </c>
      <c r="D3" s="337" t="n">
        <v>12</v>
      </c>
      <c r="E3" s="337" t="n">
        <v>12</v>
      </c>
      <c r="F3" s="337" t="n">
        <v>12</v>
      </c>
      <c r="G3" s="337" t="n">
        <v>12</v>
      </c>
      <c r="H3" s="337" t="n">
        <v>12</v>
      </c>
      <c r="I3" s="337" t="n">
        <v>12</v>
      </c>
      <c r="J3" s="337" t="n">
        <v>12</v>
      </c>
      <c r="K3" s="337" t="n">
        <v>12</v>
      </c>
      <c r="L3" s="337" t="n">
        <v>12</v>
      </c>
      <c r="M3" s="337" t="n">
        <v>12</v>
      </c>
      <c r="N3" s="337" t="n">
        <v>12</v>
      </c>
      <c r="O3" s="337" t="n">
        <v>12</v>
      </c>
      <c r="P3" s="337" t="n">
        <v>12</v>
      </c>
      <c r="Q3" s="337" t="n">
        <v>12</v>
      </c>
      <c r="R3" s="337" t="n">
        <v>12</v>
      </c>
      <c r="S3" s="337" t="n">
        <v>12</v>
      </c>
      <c r="T3" s="337" t="n">
        <v>12</v>
      </c>
      <c r="U3" s="337" t="n">
        <v>12</v>
      </c>
      <c r="V3" s="337" t="n">
        <v>12</v>
      </c>
    </row>
    <row r="4" customFormat="false" ht="15.75" hidden="false" customHeight="false" outlineLevel="0" collapsed="false">
      <c r="B4" s="335"/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</row>
    <row r="5" customFormat="false" ht="15.75" hidden="false" customHeight="false" outlineLevel="0" collapsed="false">
      <c r="A5" s="334" t="n">
        <v>1</v>
      </c>
      <c r="B5" s="333" t="s">
        <v>164</v>
      </c>
      <c r="C5" s="338" t="n">
        <v>0</v>
      </c>
      <c r="D5" s="338" t="n">
        <v>8959.67747221866</v>
      </c>
      <c r="E5" s="338" t="n">
        <v>20049.0845675338</v>
      </c>
      <c r="F5" s="338" t="n">
        <v>19619.5999184049</v>
      </c>
      <c r="G5" s="338" t="n">
        <v>17580.8268410009</v>
      </c>
      <c r="H5" s="338" t="n">
        <v>16643.5579708751</v>
      </c>
      <c r="I5" s="338" t="n">
        <v>17347.4110189924</v>
      </c>
      <c r="J5" s="338" t="n">
        <v>18013.9173680884</v>
      </c>
      <c r="K5" s="338" t="n">
        <v>17916.3073077053</v>
      </c>
      <c r="L5" s="338" t="n">
        <v>17006.6244538462</v>
      </c>
      <c r="M5" s="338" t="n">
        <v>16153.3852733711</v>
      </c>
      <c r="N5" s="338" t="n">
        <v>16126.6492199058</v>
      </c>
      <c r="O5" s="338" t="n">
        <v>16838.5655785044</v>
      </c>
      <c r="P5" s="338" t="n">
        <v>17438.0181096613</v>
      </c>
      <c r="Q5" s="338" t="n">
        <v>17301.3636406956</v>
      </c>
      <c r="R5" s="338" t="n">
        <v>14630.4579680249</v>
      </c>
      <c r="S5" s="338" t="n">
        <v>13836.2099636662</v>
      </c>
      <c r="T5" s="338" t="n">
        <v>14369.0338688431</v>
      </c>
      <c r="U5" s="338" t="n">
        <v>14846.4738565733</v>
      </c>
      <c r="V5" s="338" t="n">
        <v>14724.4615222258</v>
      </c>
    </row>
    <row r="6" customFormat="false" ht="15.75" hidden="false" customHeight="false" outlineLevel="0" collapsed="false">
      <c r="A6" s="334" t="n">
        <v>2</v>
      </c>
      <c r="B6" s="333" t="s">
        <v>165</v>
      </c>
      <c r="C6" s="338" t="n">
        <v>0</v>
      </c>
      <c r="D6" s="338" t="n">
        <v>462.114819270222</v>
      </c>
      <c r="E6" s="338" t="n">
        <v>926.552155383555</v>
      </c>
      <c r="F6" s="338" t="n">
        <v>870.001850666666</v>
      </c>
      <c r="G6" s="338" t="n">
        <v>761.887923007555</v>
      </c>
      <c r="H6" s="338" t="n">
        <v>761.887923007555</v>
      </c>
      <c r="I6" s="338" t="n">
        <v>752.763413745778</v>
      </c>
      <c r="J6" s="338" t="n">
        <v>721.889261582222</v>
      </c>
      <c r="K6" s="338" t="n">
        <v>712.976950852444</v>
      </c>
      <c r="L6" s="338" t="n">
        <v>699.608044902667</v>
      </c>
      <c r="M6" s="338" t="n">
        <v>688.891853844444</v>
      </c>
      <c r="N6" s="338" t="n">
        <v>670.643735741778</v>
      </c>
      <c r="O6" s="338" t="n">
        <v>670.643735741778</v>
      </c>
      <c r="P6" s="338" t="n">
        <v>626.400405431111</v>
      </c>
      <c r="Q6" s="338" t="n">
        <v>626.400405431111</v>
      </c>
      <c r="R6" s="338" t="n">
        <v>450.066859364889</v>
      </c>
      <c r="S6" s="338" t="n">
        <v>462.161908422667</v>
      </c>
      <c r="T6" s="338" t="n">
        <v>451.658228528889</v>
      </c>
      <c r="U6" s="338" t="n">
        <v>436.697953415111</v>
      </c>
      <c r="V6" s="338" t="n">
        <v>421.950755557333</v>
      </c>
    </row>
    <row r="7" customFormat="false" ht="15.75" hidden="false" customHeight="false" outlineLevel="0" collapsed="false">
      <c r="A7" s="334" t="n">
        <v>3</v>
      </c>
      <c r="B7" s="333" t="s">
        <v>166</v>
      </c>
      <c r="C7" s="338" t="n">
        <v>0</v>
      </c>
      <c r="D7" s="338" t="n">
        <v>462.114819270222</v>
      </c>
      <c r="E7" s="338" t="n">
        <v>926.552155383555</v>
      </c>
      <c r="F7" s="338" t="n">
        <v>870.001850666666</v>
      </c>
      <c r="G7" s="338" t="n">
        <v>761.887923007555</v>
      </c>
      <c r="H7" s="338" t="n">
        <v>761.887923007555</v>
      </c>
      <c r="I7" s="338" t="n">
        <v>752.763413745778</v>
      </c>
      <c r="J7" s="338" t="n">
        <v>721.889261582222</v>
      </c>
      <c r="K7" s="338" t="n">
        <v>712.976950852444</v>
      </c>
      <c r="L7" s="338" t="n">
        <v>699.608044902667</v>
      </c>
      <c r="M7" s="338" t="n">
        <v>688.891853844444</v>
      </c>
      <c r="N7" s="338" t="n">
        <v>670.643735741778</v>
      </c>
      <c r="O7" s="338" t="n">
        <v>670.643735741778</v>
      </c>
      <c r="P7" s="338" t="n">
        <v>626.400405431111</v>
      </c>
      <c r="Q7" s="338" t="n">
        <v>626.400405431111</v>
      </c>
      <c r="R7" s="338" t="n">
        <v>450.066859364889</v>
      </c>
      <c r="S7" s="338" t="n">
        <v>462.161908422667</v>
      </c>
      <c r="T7" s="338" t="n">
        <v>451.658228528889</v>
      </c>
      <c r="U7" s="338" t="n">
        <v>436.697953415111</v>
      </c>
      <c r="V7" s="338" t="n">
        <v>421.950755557333</v>
      </c>
    </row>
    <row r="8" customFormat="false" ht="15.75" hidden="false" customHeight="false" outlineLevel="0" collapsed="false">
      <c r="A8" s="334" t="n">
        <v>4</v>
      </c>
      <c r="B8" s="333" t="s">
        <v>167</v>
      </c>
      <c r="C8" s="338" t="n">
        <v>0</v>
      </c>
      <c r="D8" s="338" t="n">
        <v>5959.75150852978</v>
      </c>
      <c r="E8" s="338" t="n">
        <v>12055.8894613982</v>
      </c>
      <c r="F8" s="338" t="n">
        <v>11199.2583796551</v>
      </c>
      <c r="G8" s="338" t="n">
        <v>9712.40236905555</v>
      </c>
      <c r="H8" s="338" t="n">
        <v>9170.66669754355</v>
      </c>
      <c r="I8" s="338" t="n">
        <v>8623.62748091911</v>
      </c>
      <c r="J8" s="338" t="n">
        <v>8914.44061966889</v>
      </c>
      <c r="K8" s="338" t="n">
        <v>9285.25334070444</v>
      </c>
      <c r="L8" s="338" t="n">
        <v>9156.87431664756</v>
      </c>
      <c r="M8" s="338" t="n">
        <v>9049.50449365511</v>
      </c>
      <c r="N8" s="338" t="n">
        <v>8508.936632532</v>
      </c>
      <c r="O8" s="338" t="n">
        <v>8401.98934264356</v>
      </c>
      <c r="P8" s="338" t="n">
        <v>8687.71010914178</v>
      </c>
      <c r="Q8" s="338" t="n">
        <v>8599.01185750133</v>
      </c>
      <c r="R8" s="338" t="n">
        <v>7389.92263650044</v>
      </c>
      <c r="S8" s="338" t="n">
        <v>6991.63044670222</v>
      </c>
      <c r="T8" s="338" t="n">
        <v>6578.06214510978</v>
      </c>
      <c r="U8" s="338" t="n">
        <v>6815.61516638178</v>
      </c>
      <c r="V8" s="338" t="n">
        <v>7063.13974937511</v>
      </c>
    </row>
    <row r="9" customFormat="false" ht="15.75" hidden="false" customHeight="false" outlineLevel="0" collapsed="false">
      <c r="A9" s="334" t="n">
        <v>5</v>
      </c>
      <c r="B9" s="333" t="s">
        <v>29</v>
      </c>
      <c r="C9" s="338" t="n">
        <v>0</v>
      </c>
      <c r="D9" s="338" t="n">
        <v>13502.4352856556</v>
      </c>
      <c r="E9" s="338" t="n">
        <v>17367.4145051524</v>
      </c>
      <c r="F9" s="338" t="n">
        <v>18970.9989140436</v>
      </c>
      <c r="G9" s="338" t="n">
        <v>17254.3894068093</v>
      </c>
      <c r="H9" s="338" t="n">
        <v>15970.8764909431</v>
      </c>
      <c r="I9" s="338" t="n">
        <v>17152.2510153742</v>
      </c>
      <c r="J9" s="338" t="n">
        <v>17508.3059011591</v>
      </c>
      <c r="K9" s="338" t="n">
        <v>17783.5345660124</v>
      </c>
      <c r="L9" s="338" t="n">
        <v>16891.3697043031</v>
      </c>
      <c r="M9" s="338" t="n">
        <v>16716.8020650649</v>
      </c>
      <c r="N9" s="338" t="n">
        <v>16689.445243884</v>
      </c>
      <c r="O9" s="338" t="n">
        <v>17184.9594521111</v>
      </c>
      <c r="P9" s="338" t="n">
        <v>16943.1765483836</v>
      </c>
      <c r="Q9" s="338" t="n">
        <v>17483.1175498964</v>
      </c>
      <c r="R9" s="338" t="n">
        <v>16992.5387319987</v>
      </c>
      <c r="S9" s="338" t="n">
        <v>17781.5048920787</v>
      </c>
      <c r="T9" s="338" t="n">
        <v>17594.7584429431</v>
      </c>
      <c r="U9" s="338" t="n">
        <v>17179.0080329653</v>
      </c>
      <c r="V9" s="338" t="n">
        <v>16567.6543775711</v>
      </c>
    </row>
    <row r="10" customFormat="false" ht="15.75" hidden="false" customHeight="false" outlineLevel="0" collapsed="false">
      <c r="A10" s="334" t="n">
        <v>6</v>
      </c>
      <c r="B10" s="333" t="s">
        <v>168</v>
      </c>
      <c r="C10" s="338" t="n">
        <v>12539.362295873</v>
      </c>
      <c r="D10" s="338" t="n">
        <v>32661.2445577538</v>
      </c>
      <c r="E10" s="338" t="n">
        <v>29277.0300260729</v>
      </c>
      <c r="F10" s="338" t="n">
        <v>32361.9967366827</v>
      </c>
      <c r="G10" s="338" t="n">
        <v>33059.5261535529</v>
      </c>
      <c r="H10" s="338" t="n">
        <v>30292.1620016151</v>
      </c>
      <c r="I10" s="338" t="n">
        <v>32157.3695135529</v>
      </c>
      <c r="J10" s="338" t="n">
        <v>32163.9310472418</v>
      </c>
      <c r="K10" s="338" t="n">
        <v>32058.4392990618</v>
      </c>
      <c r="L10" s="338" t="n">
        <v>32784.3680617756</v>
      </c>
      <c r="M10" s="338" t="n">
        <v>32682.8763411827</v>
      </c>
      <c r="N10" s="338" t="n">
        <v>31891.2339763702</v>
      </c>
      <c r="O10" s="338" t="n">
        <v>31246.8057768533</v>
      </c>
      <c r="P10" s="338" t="n">
        <v>28830.0528263689</v>
      </c>
      <c r="Q10" s="338" t="n">
        <v>31276.9467615547</v>
      </c>
      <c r="R10" s="338" t="n">
        <v>33305.3653922391</v>
      </c>
      <c r="S10" s="338" t="n">
        <v>34009.0458633022</v>
      </c>
      <c r="T10" s="338" t="n">
        <v>33747.4211586307</v>
      </c>
      <c r="U10" s="338" t="n">
        <v>32295.2558628342</v>
      </c>
      <c r="V10" s="338" t="n">
        <v>29151.9587726111</v>
      </c>
    </row>
    <row r="11" customFormat="false" ht="15.75" hidden="false" customHeight="false" outlineLevel="0" collapsed="false">
      <c r="A11" s="334" t="n">
        <v>7</v>
      </c>
      <c r="B11" s="333" t="s">
        <v>169</v>
      </c>
      <c r="C11" s="338" t="n">
        <v>19621.4999775397</v>
      </c>
      <c r="D11" s="338" t="n">
        <v>55489.7016748262</v>
      </c>
      <c r="E11" s="338" t="n">
        <v>52644.2173231458</v>
      </c>
      <c r="F11" s="338" t="n">
        <v>53980.5369349058</v>
      </c>
      <c r="G11" s="338" t="n">
        <v>52080.5947256124</v>
      </c>
      <c r="H11" s="338" t="n">
        <v>50413.4087854507</v>
      </c>
      <c r="I11" s="338" t="n">
        <v>51574.4854995067</v>
      </c>
      <c r="J11" s="338" t="n">
        <v>53637.9224916858</v>
      </c>
      <c r="K11" s="338" t="n">
        <v>52294.4063009822</v>
      </c>
      <c r="L11" s="338" t="n">
        <v>51579.8979639876</v>
      </c>
      <c r="M11" s="338" t="n">
        <v>51393.1508481658</v>
      </c>
      <c r="N11" s="338" t="n">
        <v>50841.0314006716</v>
      </c>
      <c r="O11" s="338" t="n">
        <v>53690.5138745578</v>
      </c>
      <c r="P11" s="338" t="n">
        <v>52835.2081453</v>
      </c>
      <c r="Q11" s="338" t="n">
        <v>52286.2860016498</v>
      </c>
      <c r="R11" s="338" t="n">
        <v>51772.057010744</v>
      </c>
      <c r="S11" s="338" t="n">
        <v>52207.7993917511</v>
      </c>
      <c r="T11" s="338" t="n">
        <v>51980.4550535542</v>
      </c>
      <c r="U11" s="338" t="n">
        <v>53178.4376410778</v>
      </c>
      <c r="V11" s="338" t="n">
        <v>51855.3411183671</v>
      </c>
    </row>
    <row r="12" customFormat="false" ht="15.75" hidden="false" customHeight="false" outlineLevel="0" collapsed="false">
      <c r="A12" s="334" t="n">
        <v>8</v>
      </c>
      <c r="B12" s="333" t="s">
        <v>170</v>
      </c>
      <c r="C12" s="338" t="n">
        <v>13080.9999853619</v>
      </c>
      <c r="D12" s="338" t="n">
        <v>36993.1344492267</v>
      </c>
      <c r="E12" s="338" t="n">
        <v>35096.1448817684</v>
      </c>
      <c r="F12" s="338" t="n">
        <v>35987.024623928</v>
      </c>
      <c r="G12" s="338" t="n">
        <v>34720.3964834129</v>
      </c>
      <c r="H12" s="338" t="n">
        <v>33608.9391903004</v>
      </c>
      <c r="I12" s="338" t="n">
        <v>34382.9903330044</v>
      </c>
      <c r="J12" s="338" t="n">
        <v>35758.6149951147</v>
      </c>
      <c r="K12" s="338" t="n">
        <v>34862.9375333307</v>
      </c>
      <c r="L12" s="338" t="n">
        <v>34386.5986429871</v>
      </c>
      <c r="M12" s="338" t="n">
        <v>34262.1005651151</v>
      </c>
      <c r="N12" s="338" t="n">
        <v>33894.0209341098</v>
      </c>
      <c r="O12" s="338" t="n">
        <v>35793.6759170293</v>
      </c>
      <c r="P12" s="338" t="n">
        <v>35223.4720968667</v>
      </c>
      <c r="Q12" s="338" t="n">
        <v>34857.5240017573</v>
      </c>
      <c r="R12" s="338" t="n">
        <v>34514.7046738293</v>
      </c>
      <c r="S12" s="338" t="n">
        <v>34805.199594172</v>
      </c>
      <c r="T12" s="338" t="n">
        <v>34653.636701712</v>
      </c>
      <c r="U12" s="338" t="n">
        <v>35452.291761376</v>
      </c>
      <c r="V12" s="338" t="n">
        <v>34570.227411916</v>
      </c>
    </row>
    <row r="13" customFormat="false" ht="15.75" hidden="false" customHeight="false" outlineLevel="0" collapsed="false">
      <c r="A13" s="334" t="n">
        <v>9</v>
      </c>
      <c r="B13" s="333" t="s">
        <v>171</v>
      </c>
      <c r="C13" s="338" t="n">
        <v>6674.24003292381</v>
      </c>
      <c r="D13" s="338" t="n">
        <v>16502.9764596978</v>
      </c>
      <c r="E13" s="338" t="n">
        <v>21226.8399512898</v>
      </c>
      <c r="F13" s="338" t="n">
        <v>23186.776450936</v>
      </c>
      <c r="G13" s="338" t="n">
        <v>21088.6981635493</v>
      </c>
      <c r="H13" s="338" t="n">
        <v>19519.9601564738</v>
      </c>
      <c r="I13" s="338" t="n">
        <v>20963.8623528911</v>
      </c>
      <c r="J13" s="338" t="n">
        <v>21399.0405457516</v>
      </c>
      <c r="K13" s="338" t="n">
        <v>21735.4311367853</v>
      </c>
      <c r="L13" s="338" t="n">
        <v>20645.0074162609</v>
      </c>
      <c r="M13" s="338" t="n">
        <v>20431.6469685222</v>
      </c>
      <c r="N13" s="338" t="n">
        <v>20398.210853636</v>
      </c>
      <c r="O13" s="338" t="n">
        <v>21003.8393302484</v>
      </c>
      <c r="P13" s="338" t="n">
        <v>20708.3268929071</v>
      </c>
      <c r="Q13" s="338" t="n">
        <v>21368.2547837547</v>
      </c>
      <c r="R13" s="338" t="n">
        <v>20768.6584495631</v>
      </c>
      <c r="S13" s="338" t="n">
        <v>21732.9504229942</v>
      </c>
      <c r="T13" s="338" t="n">
        <v>21504.7047644738</v>
      </c>
      <c r="U13" s="338" t="n">
        <v>20996.5653742818</v>
      </c>
      <c r="V13" s="338" t="n">
        <v>20249.3553512413</v>
      </c>
    </row>
    <row r="14" customFormat="false" ht="15.75" hidden="false" customHeight="false" outlineLevel="0" collapsed="false">
      <c r="A14" s="334" t="n">
        <v>10</v>
      </c>
      <c r="B14" s="333" t="s">
        <v>172</v>
      </c>
      <c r="C14" s="338" t="n">
        <v>1294.19873570794</v>
      </c>
      <c r="D14" s="338" t="n">
        <v>6583.79175991911</v>
      </c>
      <c r="E14" s="338" t="n">
        <v>5314.86290596178</v>
      </c>
      <c r="F14" s="338" t="n">
        <v>4817.05150313333</v>
      </c>
      <c r="G14" s="338" t="n">
        <v>3729.761184184</v>
      </c>
      <c r="H14" s="338" t="n">
        <v>3662.92017130355</v>
      </c>
      <c r="I14" s="338" t="n">
        <v>3790.66232953956</v>
      </c>
      <c r="J14" s="338" t="n">
        <v>3914.15868867956</v>
      </c>
      <c r="K14" s="338" t="n">
        <v>3845.83193596622</v>
      </c>
      <c r="L14" s="338" t="n">
        <v>3645.94291789467</v>
      </c>
      <c r="M14" s="338" t="n">
        <v>3440.11503923111</v>
      </c>
      <c r="N14" s="338" t="n">
        <v>3391.09689036222</v>
      </c>
      <c r="O14" s="338" t="n">
        <v>3704.29835938711</v>
      </c>
      <c r="P14" s="338" t="n">
        <v>3679.89512286978</v>
      </c>
      <c r="Q14" s="338" t="n">
        <v>3645.73270857289</v>
      </c>
      <c r="R14" s="338" t="n">
        <v>3006.38726958578</v>
      </c>
      <c r="S14" s="338" t="n">
        <v>2847.45208691378</v>
      </c>
      <c r="T14" s="338" t="n">
        <v>2945.69821723644</v>
      </c>
      <c r="U14" s="338" t="n">
        <v>3064.95338096578</v>
      </c>
      <c r="V14" s="338" t="n">
        <v>3045.43021362844</v>
      </c>
    </row>
    <row r="15" customFormat="false" ht="15.75" hidden="false" customHeight="false" outlineLevel="0" collapsed="false">
      <c r="A15" s="334" t="n">
        <v>11</v>
      </c>
      <c r="B15" s="333" t="s">
        <v>173</v>
      </c>
      <c r="C15" s="338" t="n">
        <v>2668.21728143175</v>
      </c>
      <c r="D15" s="338" t="n">
        <v>8734.34073334355</v>
      </c>
      <c r="E15" s="338" t="n">
        <v>8487.98169933155</v>
      </c>
      <c r="F15" s="338" t="n">
        <v>8337.430007144</v>
      </c>
      <c r="G15" s="338" t="n">
        <v>8546.17619823333</v>
      </c>
      <c r="H15" s="338" t="n">
        <v>8335.25427271289</v>
      </c>
      <c r="I15" s="338" t="n">
        <v>8111.60044316222</v>
      </c>
      <c r="J15" s="338" t="n">
        <v>8091.070973132</v>
      </c>
      <c r="K15" s="338" t="n">
        <v>8056.85339055022</v>
      </c>
      <c r="L15" s="338" t="n">
        <v>8230.21701419556</v>
      </c>
      <c r="M15" s="338" t="n">
        <v>8417.26740124044</v>
      </c>
      <c r="N15" s="338" t="n">
        <v>8202.20827645644</v>
      </c>
      <c r="O15" s="338" t="n">
        <v>8015.794451476</v>
      </c>
      <c r="P15" s="338" t="n">
        <v>7995.26363229378</v>
      </c>
      <c r="Q15" s="338" t="n">
        <v>7981.57686988044</v>
      </c>
      <c r="R15" s="338" t="n">
        <v>7520.635146164</v>
      </c>
      <c r="S15" s="338" t="n">
        <v>7520.635146164</v>
      </c>
      <c r="T15" s="338" t="n">
        <v>7349.71162072</v>
      </c>
      <c r="U15" s="338" t="n">
        <v>7342.86756395111</v>
      </c>
      <c r="V15" s="338" t="n">
        <v>7342.86756395111</v>
      </c>
    </row>
    <row r="16" customFormat="false" ht="15.75" hidden="false" customHeight="false" outlineLevel="0" collapsed="false">
      <c r="A16" s="334" t="n">
        <v>12</v>
      </c>
      <c r="B16" s="333" t="s">
        <v>174</v>
      </c>
      <c r="C16" s="339" t="n">
        <v>2668.21728143175</v>
      </c>
      <c r="D16" s="339" t="n">
        <v>8734.34073334355</v>
      </c>
      <c r="E16" s="339" t="n">
        <v>8487.98169933155</v>
      </c>
      <c r="F16" s="339" t="n">
        <v>8337.430007144</v>
      </c>
      <c r="G16" s="339" t="n">
        <v>8546.17619823333</v>
      </c>
      <c r="H16" s="339" t="n">
        <v>8335.25427271289</v>
      </c>
      <c r="I16" s="339" t="n">
        <v>8111.60044316222</v>
      </c>
      <c r="J16" s="339" t="n">
        <v>8091.070973132</v>
      </c>
      <c r="K16" s="339" t="n">
        <v>8056.85339055022</v>
      </c>
      <c r="L16" s="339" t="n">
        <v>8230.21701419556</v>
      </c>
      <c r="M16" s="339" t="n">
        <v>8417.26740124044</v>
      </c>
      <c r="N16" s="339" t="n">
        <v>8202.20827645644</v>
      </c>
      <c r="O16" s="339" t="n">
        <v>8015.794451476</v>
      </c>
      <c r="P16" s="339" t="n">
        <v>7995.26363229378</v>
      </c>
      <c r="Q16" s="339" t="n">
        <v>7981.57686988044</v>
      </c>
      <c r="R16" s="339" t="n">
        <v>7520.635146164</v>
      </c>
      <c r="S16" s="339" t="n">
        <v>7520.635146164</v>
      </c>
      <c r="T16" s="339" t="n">
        <v>7349.71162072</v>
      </c>
      <c r="U16" s="339" t="n">
        <v>7342.86756395111</v>
      </c>
      <c r="V16" s="339" t="n">
        <v>7342.86756395111</v>
      </c>
    </row>
    <row r="17" customFormat="false" ht="16.5" hidden="false" customHeight="false" outlineLevel="0" collapsed="false">
      <c r="B17" s="340" t="s">
        <v>175</v>
      </c>
      <c r="C17" s="341" t="n">
        <f aca="false">SUM(C5:C16)</f>
        <v>58546.7355902698</v>
      </c>
      <c r="D17" s="341" t="n">
        <f aca="false">SUM(D5:D16)</f>
        <v>195045.624273055</v>
      </c>
      <c r="E17" s="341" t="n">
        <f aca="false">SUM(E5:E16)</f>
        <v>211860.551331753</v>
      </c>
      <c r="F17" s="341" t="n">
        <f aca="false">SUM(F5:F16)</f>
        <v>218538.107177311</v>
      </c>
      <c r="G17" s="341" t="n">
        <f aca="false">SUM(G5:G16)</f>
        <v>207842.723569659</v>
      </c>
      <c r="H17" s="341" t="n">
        <f aca="false">SUM(H5:H16)</f>
        <v>197476.775855946</v>
      </c>
      <c r="I17" s="341" t="n">
        <f aca="false">SUM(I5:I16)</f>
        <v>203721.387257596</v>
      </c>
      <c r="J17" s="341" t="n">
        <f aca="false">SUM(J5:J16)</f>
        <v>208936.252126818</v>
      </c>
      <c r="K17" s="341" t="n">
        <f aca="false">SUM(K5:K16)</f>
        <v>207321.802103354</v>
      </c>
      <c r="L17" s="341" t="n">
        <f aca="false">SUM(L5:L16)</f>
        <v>203956.333595899</v>
      </c>
      <c r="M17" s="341" t="n">
        <f aca="false">SUM(M5:M16)</f>
        <v>202341.900104478</v>
      </c>
      <c r="N17" s="341" t="n">
        <f aca="false">SUM(N5:N16)</f>
        <v>199486.329175868</v>
      </c>
      <c r="O17" s="341" t="n">
        <f aca="false">SUM(O5:O16)</f>
        <v>205237.524005771</v>
      </c>
      <c r="P17" s="341" t="n">
        <f aca="false">SUM(P5:P16)</f>
        <v>201589.187926949</v>
      </c>
      <c r="Q17" s="341" t="n">
        <f aca="false">SUM(Q5:Q16)</f>
        <v>204034.191856006</v>
      </c>
      <c r="R17" s="341" t="n">
        <f aca="false">SUM(R5:R16)</f>
        <v>198321.496143543</v>
      </c>
      <c r="S17" s="341" t="n">
        <f aca="false">SUM(S5:S16)</f>
        <v>200177.386770754</v>
      </c>
      <c r="T17" s="341" t="n">
        <f aca="false">SUM(T5:T16)</f>
        <v>198976.510051001</v>
      </c>
      <c r="U17" s="341" t="n">
        <f aca="false">SUM(U5:U16)</f>
        <v>199387.732111188</v>
      </c>
      <c r="V17" s="341" t="n">
        <f aca="false">SUM(V5:V16)</f>
        <v>192757.205155953</v>
      </c>
      <c r="W17" s="342" t="n">
        <f aca="false">SUM(C17:V17)</f>
        <v>3915555.75618317</v>
      </c>
    </row>
    <row r="18" customFormat="false" ht="16.5" hidden="false" customHeight="false" outlineLevel="0" collapsed="false">
      <c r="W18" s="342" t="n">
        <f aca="false">SUM(C20:C259)</f>
        <v>3915555.75618317</v>
      </c>
    </row>
    <row r="20" customFormat="false" ht="15.75" hidden="false" customHeight="false" outlineLevel="0" collapsed="false">
      <c r="A20" s="334" t="n">
        <v>1</v>
      </c>
      <c r="B20" s="269" t="n">
        <v>36526</v>
      </c>
      <c r="C20" s="338" t="n">
        <f aca="false">VLOOKUP(A20,$A$5:$C$16,3)</f>
        <v>0</v>
      </c>
    </row>
    <row r="21" customFormat="false" ht="15.75" hidden="false" customHeight="false" outlineLevel="0" collapsed="false">
      <c r="A21" s="334" t="n">
        <v>2</v>
      </c>
      <c r="B21" s="269" t="n">
        <v>36557</v>
      </c>
      <c r="C21" s="338" t="n">
        <f aca="false">VLOOKUP(A21,$A$5:$C$16,3)</f>
        <v>0</v>
      </c>
    </row>
    <row r="22" customFormat="false" ht="15.75" hidden="false" customHeight="false" outlineLevel="0" collapsed="false">
      <c r="A22" s="334" t="n">
        <v>3</v>
      </c>
      <c r="B22" s="269" t="n">
        <v>36586</v>
      </c>
      <c r="C22" s="338" t="n">
        <f aca="false">VLOOKUP(A22,$A$5:$C$16,3)</f>
        <v>0</v>
      </c>
      <c r="K22" s="343"/>
      <c r="L22" s="343"/>
      <c r="M22" s="343"/>
      <c r="N22" s="343"/>
      <c r="O22" s="343"/>
      <c r="P22" s="343"/>
      <c r="Q22" s="343"/>
      <c r="R22" s="343"/>
      <c r="S22" s="343"/>
      <c r="T22" s="343"/>
      <c r="U22" s="343"/>
      <c r="V22" s="343"/>
      <c r="W22" s="343"/>
      <c r="X22" s="343"/>
      <c r="Y22" s="343"/>
    </row>
    <row r="23" customFormat="false" ht="15.75" hidden="false" customHeight="false" outlineLevel="0" collapsed="false">
      <c r="A23" s="334" t="n">
        <v>4</v>
      </c>
      <c r="B23" s="269" t="n">
        <v>36617</v>
      </c>
      <c r="C23" s="338" t="n">
        <f aca="false">VLOOKUP(A23,$A$5:$C$16,3)</f>
        <v>0</v>
      </c>
      <c r="G23" s="344" t="s">
        <v>176</v>
      </c>
      <c r="H23" s="344" t="s">
        <v>177</v>
      </c>
      <c r="I23" s="344" t="s">
        <v>176</v>
      </c>
      <c r="J23" s="344" t="s">
        <v>94</v>
      </c>
      <c r="K23" s="345"/>
      <c r="L23" s="346"/>
      <c r="M23" s="346"/>
      <c r="N23" s="346"/>
      <c r="O23" s="343"/>
      <c r="P23" s="343"/>
      <c r="Q23" s="343"/>
      <c r="R23" s="343"/>
      <c r="S23" s="343"/>
      <c r="T23" s="343"/>
      <c r="U23" s="343"/>
      <c r="V23" s="343"/>
      <c r="W23" s="343"/>
      <c r="X23" s="343"/>
      <c r="Y23" s="343"/>
    </row>
    <row r="24" customFormat="false" ht="15.75" hidden="false" customHeight="false" outlineLevel="0" collapsed="false">
      <c r="A24" s="334" t="n">
        <v>5</v>
      </c>
      <c r="B24" s="269" t="n">
        <v>36647</v>
      </c>
      <c r="C24" s="338" t="n">
        <f aca="false">VLOOKUP(A24,$A$5:$C$16,3)</f>
        <v>0</v>
      </c>
      <c r="G24" s="347" t="s">
        <v>178</v>
      </c>
      <c r="H24" s="347" t="s">
        <v>178</v>
      </c>
      <c r="I24" s="347" t="s">
        <v>161</v>
      </c>
      <c r="J24" s="347" t="s">
        <v>179</v>
      </c>
      <c r="K24" s="347" t="s">
        <v>180</v>
      </c>
      <c r="L24" s="346"/>
      <c r="M24" s="346"/>
      <c r="N24" s="346"/>
      <c r="O24" s="343"/>
      <c r="P24" s="343"/>
      <c r="Q24" s="343"/>
      <c r="R24" s="343"/>
      <c r="S24" s="343"/>
      <c r="T24" s="343"/>
      <c r="U24" s="343"/>
      <c r="V24" s="343"/>
      <c r="W24" s="343"/>
      <c r="X24" s="343"/>
      <c r="Y24" s="343"/>
    </row>
    <row r="25" customFormat="false" ht="15.75" hidden="false" customHeight="false" outlineLevel="0" collapsed="false">
      <c r="A25" s="334" t="n">
        <v>6</v>
      </c>
      <c r="B25" s="269" t="n">
        <v>36678</v>
      </c>
      <c r="C25" s="338" t="n">
        <f aca="false">VLOOKUP(A25,$A$5:$C$16,3)</f>
        <v>12539.362295873</v>
      </c>
      <c r="F25" s="348" t="n">
        <f aca="false">C25*'Revenues &amp; Expenses'!N12</f>
        <v>12262.8747184054</v>
      </c>
      <c r="I25" s="348" t="n">
        <f aca="false">F25*'Company Power Prices'!C25</f>
        <v>1467844.79582201</v>
      </c>
      <c r="J25" s="349"/>
      <c r="K25" s="348" t="n">
        <f aca="false">F25*'Company Gas Prices'!E25</f>
        <v>735233.312851911</v>
      </c>
      <c r="L25" s="343"/>
      <c r="M25" s="343"/>
      <c r="N25" s="343"/>
      <c r="O25" s="343"/>
      <c r="P25" s="343"/>
      <c r="Q25" s="343"/>
      <c r="R25" s="343"/>
      <c r="S25" s="343"/>
      <c r="T25" s="343"/>
      <c r="U25" s="343"/>
      <c r="V25" s="343"/>
      <c r="W25" s="343"/>
      <c r="X25" s="343"/>
      <c r="Y25" s="343"/>
    </row>
    <row r="26" customFormat="false" ht="15.75" hidden="false" customHeight="false" outlineLevel="0" collapsed="false">
      <c r="A26" s="334" t="n">
        <v>7</v>
      </c>
      <c r="B26" s="269" t="n">
        <v>36708</v>
      </c>
      <c r="C26" s="338" t="n">
        <f aca="false">VLOOKUP(A26,$A$5:$C$16,3)</f>
        <v>19621.4999775397</v>
      </c>
      <c r="F26" s="348" t="n">
        <f aca="false">C26*'Revenues &amp; Expenses'!N13</f>
        <v>19084.5074372017</v>
      </c>
      <c r="I26" s="348" t="n">
        <f aca="false">F26*'Company Power Prices'!C26</f>
        <v>3831207.32772935</v>
      </c>
      <c r="J26" s="349"/>
      <c r="K26" s="348" t="n">
        <f aca="false">F26*'Company Gas Prices'!E26</f>
        <v>1137437.77667895</v>
      </c>
      <c r="L26" s="343"/>
      <c r="M26" s="343"/>
      <c r="N26" s="343"/>
      <c r="O26" s="343"/>
      <c r="P26" s="343"/>
      <c r="Q26" s="343"/>
      <c r="R26" s="343"/>
      <c r="S26" s="343"/>
      <c r="T26" s="343"/>
      <c r="U26" s="343"/>
      <c r="V26" s="343"/>
      <c r="W26" s="343"/>
      <c r="X26" s="343"/>
      <c r="Y26" s="343"/>
    </row>
    <row r="27" customFormat="false" ht="15.75" hidden="false" customHeight="false" outlineLevel="0" collapsed="false">
      <c r="A27" s="334" t="n">
        <v>8</v>
      </c>
      <c r="B27" s="269" t="n">
        <v>36739</v>
      </c>
      <c r="C27" s="338" t="n">
        <f aca="false">VLOOKUP(A27,$A$5:$C$16,3)</f>
        <v>13080.9999853619</v>
      </c>
      <c r="F27" s="348" t="n">
        <f aca="false">C27*'Revenues &amp; Expenses'!N14</f>
        <v>12651.879203408</v>
      </c>
      <c r="I27" s="348" t="n">
        <f aca="false">F27*'Company Power Prices'!C27</f>
        <v>2539859.75132668</v>
      </c>
      <c r="J27" s="349"/>
      <c r="K27" s="348" t="n">
        <f aca="false">F27*'Company Gas Prices'!E27</f>
        <v>754599.920648926</v>
      </c>
      <c r="L27" s="343"/>
      <c r="M27" s="343"/>
      <c r="N27" s="343"/>
      <c r="O27" s="343"/>
      <c r="P27" s="343"/>
      <c r="Q27" s="343"/>
      <c r="R27" s="343"/>
      <c r="S27" s="343"/>
      <c r="T27" s="343"/>
      <c r="U27" s="343"/>
      <c r="V27" s="343"/>
      <c r="W27" s="343"/>
      <c r="X27" s="343"/>
      <c r="Y27" s="343"/>
    </row>
    <row r="28" customFormat="false" ht="15.75" hidden="false" customHeight="false" outlineLevel="0" collapsed="false">
      <c r="A28" s="334" t="n">
        <v>9</v>
      </c>
      <c r="B28" s="269" t="n">
        <v>36770</v>
      </c>
      <c r="C28" s="338" t="n">
        <f aca="false">VLOOKUP(A28,$A$5:$C$16,3)</f>
        <v>6674.24003292381</v>
      </c>
      <c r="F28" s="348" t="n">
        <f aca="false">C28*'Revenues &amp; Expenses'!N15</f>
        <v>6418.53181243132</v>
      </c>
      <c r="I28" s="348" t="n">
        <f aca="false">F28*'Company Power Prices'!C28</f>
        <v>420252.635240307</v>
      </c>
      <c r="J28" s="349"/>
      <c r="K28" s="348" t="n">
        <f aca="false">F28*'Company Gas Prices'!E28</f>
        <v>386238.872715962</v>
      </c>
      <c r="L28" s="343"/>
      <c r="M28" s="343"/>
      <c r="N28" s="343"/>
      <c r="O28" s="343"/>
      <c r="P28" s="343"/>
      <c r="Q28" s="343"/>
      <c r="R28" s="343"/>
      <c r="S28" s="343"/>
      <c r="T28" s="343"/>
      <c r="U28" s="343"/>
      <c r="V28" s="343"/>
      <c r="W28" s="343"/>
      <c r="X28" s="343"/>
      <c r="Y28" s="343"/>
    </row>
    <row r="29" customFormat="false" ht="15.75" hidden="false" customHeight="false" outlineLevel="0" collapsed="false">
      <c r="A29" s="334" t="n">
        <v>10</v>
      </c>
      <c r="B29" s="269" t="n">
        <v>36800</v>
      </c>
      <c r="C29" s="338" t="n">
        <f aca="false">VLOOKUP(A29,$A$5:$C$16,3)</f>
        <v>1294.19873570794</v>
      </c>
      <c r="F29" s="348" t="n">
        <f aca="false">C29*'Revenues &amp; Expenses'!N16</f>
        <v>1237.664093569</v>
      </c>
      <c r="I29" s="348" t="n">
        <f aca="false">F29*'Company Power Prices'!C29</f>
        <v>65182.0758529961</v>
      </c>
      <c r="J29" s="349"/>
      <c r="K29" s="348" t="n">
        <f aca="false">F29*'Company Gas Prices'!E29</f>
        <v>73999.8876238102</v>
      </c>
      <c r="L29" s="343"/>
      <c r="M29" s="343"/>
      <c r="N29" s="343"/>
      <c r="O29" s="343"/>
      <c r="P29" s="343"/>
      <c r="Q29" s="343"/>
      <c r="R29" s="343"/>
      <c r="S29" s="343"/>
      <c r="T29" s="343"/>
      <c r="U29" s="343"/>
      <c r="V29" s="343"/>
      <c r="W29" s="343"/>
      <c r="X29" s="343"/>
      <c r="Y29" s="343"/>
    </row>
    <row r="30" customFormat="false" ht="15.75" hidden="false" customHeight="false" outlineLevel="0" collapsed="false">
      <c r="A30" s="334" t="n">
        <v>11</v>
      </c>
      <c r="B30" s="269" t="n">
        <v>36831</v>
      </c>
      <c r="C30" s="338" t="n">
        <f aca="false">VLOOKUP(A30,$A$5:$C$16,3)</f>
        <v>2668.21728143175</v>
      </c>
      <c r="F30" s="348" t="n">
        <f aca="false">C30*'Revenues &amp; Expenses'!N17</f>
        <v>2536.83290139274</v>
      </c>
      <c r="I30" s="348" t="n">
        <f aca="false">F30*'Company Power Prices'!C30</f>
        <v>136300.310105756</v>
      </c>
      <c r="J30" s="349"/>
      <c r="K30" s="348" t="n">
        <f aca="false">F30*'Company Gas Prices'!E30</f>
        <v>151787.585883921</v>
      </c>
      <c r="L30" s="343"/>
      <c r="M30" s="343"/>
      <c r="N30" s="343"/>
      <c r="O30" s="343"/>
      <c r="P30" s="343"/>
      <c r="Q30" s="343"/>
      <c r="R30" s="343"/>
      <c r="S30" s="343"/>
      <c r="T30" s="343"/>
      <c r="U30" s="343"/>
      <c r="V30" s="343"/>
      <c r="W30" s="343"/>
      <c r="X30" s="343"/>
      <c r="Y30" s="343"/>
    </row>
    <row r="31" customFormat="false" ht="15.75" hidden="false" customHeight="false" outlineLevel="0" collapsed="false">
      <c r="A31" s="334" t="n">
        <v>12</v>
      </c>
      <c r="B31" s="269" t="n">
        <v>36861</v>
      </c>
      <c r="C31" s="338" t="n">
        <f aca="false">VLOOKUP(A31,$A$5:$C$16,3)</f>
        <v>2668.21728143175</v>
      </c>
      <c r="D31" s="342" t="n">
        <f aca="false">SUM(C20:C31)</f>
        <v>58546.7355902698</v>
      </c>
      <c r="E31" s="333" t="n">
        <v>1</v>
      </c>
      <c r="F31" s="348" t="n">
        <f aca="false">C31*'Revenues &amp; Expenses'!N18</f>
        <v>2522.35790663395</v>
      </c>
      <c r="G31" s="350" t="n">
        <f aca="false">SUM(F25:F31)</f>
        <v>56714.6480730421</v>
      </c>
      <c r="H31" s="342" t="n">
        <f aca="false">D31</f>
        <v>58546.7355902698</v>
      </c>
      <c r="I31" s="348" t="n">
        <f aca="false">F31*'Company Power Prices'!C31</f>
        <v>135522.589873051</v>
      </c>
      <c r="J31" s="349" t="n">
        <f aca="false">SUM(I25:I31)/SUM(F25:F31)</f>
        <v>151.568770644213</v>
      </c>
      <c r="K31" s="348" t="n">
        <f aca="false">F31*'Company Gas Prices'!E31</f>
        <v>151031.55638088</v>
      </c>
      <c r="L31" s="349" t="n">
        <f aca="false">SUM(K25:K31)/SUM(F25:F31)</f>
        <v>59.7787172798462</v>
      </c>
    </row>
    <row r="32" customFormat="false" ht="15.75" hidden="false" customHeight="false" outlineLevel="0" collapsed="false">
      <c r="A32" s="334" t="n">
        <v>1</v>
      </c>
      <c r="B32" s="269" t="n">
        <v>36892</v>
      </c>
      <c r="C32" s="338" t="n">
        <f aca="false">VLOOKUP(A32,$A$5:$D$16,4)</f>
        <v>8959.67747221866</v>
      </c>
      <c r="E32" s="333" t="n">
        <f aca="false">E31+1</f>
        <v>2</v>
      </c>
      <c r="F32" s="348" t="n">
        <f aca="false">C32*'Revenues &amp; Expenses'!N19</f>
        <v>8419.43217679186</v>
      </c>
      <c r="I32" s="348" t="n">
        <f aca="false">F32*'Company Power Prices'!C32</f>
        <v>423296.821273054</v>
      </c>
      <c r="J32" s="349"/>
      <c r="K32" s="348" t="n">
        <f aca="false">F32*'Company Gas Prices'!E32</f>
        <v>475348.116388746</v>
      </c>
    </row>
    <row r="33" customFormat="false" ht="15.75" hidden="false" customHeight="false" outlineLevel="0" collapsed="false">
      <c r="A33" s="334" t="n">
        <v>2</v>
      </c>
      <c r="B33" s="269" t="n">
        <v>36923</v>
      </c>
      <c r="C33" s="338" t="n">
        <f aca="false">VLOOKUP(A33,$A$5:$D$16,4)</f>
        <v>462.114819270222</v>
      </c>
      <c r="E33" s="333" t="n">
        <f aca="false">E32+1</f>
        <v>3</v>
      </c>
      <c r="F33" s="348" t="n">
        <f aca="false">C33*'Revenues &amp; Expenses'!N20</f>
        <v>431.644603461932</v>
      </c>
      <c r="I33" s="348" t="n">
        <f aca="false">F33*'Company Power Prices'!C33</f>
        <v>18050.231883076</v>
      </c>
      <c r="J33" s="349"/>
      <c r="K33" s="348" t="n">
        <f aca="false">F33*'Company Gas Prices'!E33</f>
        <v>24388.9046966369</v>
      </c>
    </row>
    <row r="34" customFormat="false" ht="15.75" hidden="false" customHeight="false" outlineLevel="0" collapsed="false">
      <c r="A34" s="334" t="n">
        <v>3</v>
      </c>
      <c r="B34" s="269" t="n">
        <v>36951</v>
      </c>
      <c r="C34" s="338" t="n">
        <f aca="false">VLOOKUP(A34,$A$5:$D$16,4)</f>
        <v>462.114819270222</v>
      </c>
      <c r="E34" s="333" t="n">
        <f aca="false">E33+1</f>
        <v>4</v>
      </c>
      <c r="F34" s="348" t="n">
        <f aca="false">C34*'Revenues &amp; Expenses'!N21</f>
        <v>429.276362308213</v>
      </c>
      <c r="I34" s="348" t="n">
        <f aca="false">F34*'Company Power Prices'!C34</f>
        <v>17951.1983225106</v>
      </c>
      <c r="J34" s="349"/>
      <c r="K34" s="348" t="n">
        <f aca="false">F34*'Company Gas Prices'!E34</f>
        <v>24273.9498026205</v>
      </c>
    </row>
    <row r="35" customFormat="false" ht="15.75" hidden="false" customHeight="false" outlineLevel="0" collapsed="false">
      <c r="A35" s="334" t="n">
        <v>4</v>
      </c>
      <c r="B35" s="269" t="n">
        <v>36982</v>
      </c>
      <c r="C35" s="338" t="n">
        <f aca="false">VLOOKUP(A35,$A$5:$D$16,4)</f>
        <v>5959.75150852978</v>
      </c>
      <c r="E35" s="333" t="n">
        <f aca="false">E34+1</f>
        <v>5</v>
      </c>
      <c r="F35" s="348" t="n">
        <f aca="false">C35*'Revenues &amp; Expenses'!N22</f>
        <v>5502.50936500942</v>
      </c>
      <c r="I35" s="348" t="n">
        <f aca="false">F35*'Company Power Prices'!C35</f>
        <v>251160.954705933</v>
      </c>
      <c r="J35" s="349"/>
      <c r="K35" s="348" t="n">
        <f aca="false">F35*'Company Gas Prices'!E35</f>
        <v>319020.024185958</v>
      </c>
    </row>
    <row r="36" customFormat="false" ht="15.75" hidden="false" customHeight="false" outlineLevel="0" collapsed="false">
      <c r="A36" s="334" t="n">
        <v>5</v>
      </c>
      <c r="B36" s="269" t="n">
        <v>37012</v>
      </c>
      <c r="C36" s="338" t="n">
        <f aca="false">VLOOKUP(A36,$A$5:$D$16,4)</f>
        <v>13502.4352856556</v>
      </c>
      <c r="E36" s="333" t="n">
        <f aca="false">E35+1</f>
        <v>6</v>
      </c>
      <c r="F36" s="348" t="n">
        <f aca="false">C36*'Revenues &amp; Expenses'!N23</f>
        <v>12393.3802931707</v>
      </c>
      <c r="I36" s="348" t="n">
        <f aca="false">F36*'Company Power Prices'!C36</f>
        <v>727356.130377416</v>
      </c>
      <c r="J36" s="349"/>
      <c r="K36" s="348" t="n">
        <f aca="false">F36*'Company Gas Prices'!E36</f>
        <v>699788.77468259</v>
      </c>
    </row>
    <row r="37" customFormat="false" ht="15.75" hidden="false" customHeight="false" outlineLevel="0" collapsed="false">
      <c r="A37" s="334" t="n">
        <v>6</v>
      </c>
      <c r="B37" s="269" t="n">
        <v>37043</v>
      </c>
      <c r="C37" s="338" t="n">
        <f aca="false">VLOOKUP(A37,$A$5:$D$16,4)</f>
        <v>32661.2445577538</v>
      </c>
      <c r="E37" s="333" t="n">
        <f aca="false">E36+1</f>
        <v>7</v>
      </c>
      <c r="F37" s="348" t="n">
        <f aca="false">C37*'Revenues &amp; Expenses'!N24</f>
        <v>29795.225195581</v>
      </c>
      <c r="I37" s="348" t="n">
        <f aca="false">F37*'Company Power Prices'!C37</f>
        <v>3255982.7694335</v>
      </c>
      <c r="J37" s="349"/>
      <c r="K37" s="348" t="n">
        <f aca="false">F37*'Company Gas Prices'!E37</f>
        <v>1681318.22210803</v>
      </c>
    </row>
    <row r="38" customFormat="false" ht="15.75" hidden="false" customHeight="false" outlineLevel="0" collapsed="false">
      <c r="A38" s="334" t="n">
        <v>7</v>
      </c>
      <c r="B38" s="269" t="n">
        <v>37073</v>
      </c>
      <c r="C38" s="338" t="n">
        <f aca="false">VLOOKUP(A38,$A$5:$D$16,4)</f>
        <v>55489.7016748262</v>
      </c>
      <c r="E38" s="333" t="n">
        <f aca="false">E37+1</f>
        <v>8</v>
      </c>
      <c r="F38" s="348" t="n">
        <f aca="false">C38*'Revenues &amp; Expenses'!N25</f>
        <v>50319.5975783887</v>
      </c>
      <c r="I38" s="348" t="n">
        <f aca="false">F38*'Company Power Prices'!C38</f>
        <v>8930781.19806842</v>
      </c>
      <c r="J38" s="349"/>
      <c r="K38" s="348" t="n">
        <f aca="false">F38*'Company Gas Prices'!E38</f>
        <v>2823645.0104656</v>
      </c>
    </row>
    <row r="39" customFormat="false" ht="15.75" hidden="false" customHeight="false" outlineLevel="0" collapsed="false">
      <c r="A39" s="334" t="n">
        <v>8</v>
      </c>
      <c r="B39" s="269" t="n">
        <v>37104</v>
      </c>
      <c r="C39" s="338" t="n">
        <f aca="false">VLOOKUP(A39,$A$5:$D$16,4)</f>
        <v>36993.1344492267</v>
      </c>
      <c r="E39" s="333" t="n">
        <f aca="false">E38+1</f>
        <v>9</v>
      </c>
      <c r="F39" s="348" t="n">
        <f aca="false">C39*'Revenues &amp; Expenses'!N26</f>
        <v>33340.4256325875</v>
      </c>
      <c r="I39" s="348" t="n">
        <f aca="false">F39*'Company Power Prices'!C39</f>
        <v>5917297.84625686</v>
      </c>
      <c r="J39" s="349"/>
      <c r="K39" s="348" t="n">
        <f aca="false">F39*'Company Gas Prices'!E39</f>
        <v>1872352.84535349</v>
      </c>
    </row>
    <row r="40" customFormat="false" ht="15.75" hidden="false" customHeight="false" outlineLevel="0" collapsed="false">
      <c r="A40" s="334" t="n">
        <v>9</v>
      </c>
      <c r="B40" s="269" t="n">
        <v>37135</v>
      </c>
      <c r="C40" s="338" t="n">
        <f aca="false">VLOOKUP(A40,$A$5:$D$16,4)</f>
        <v>16502.9764596978</v>
      </c>
      <c r="E40" s="333" t="n">
        <f aca="false">E39+1</f>
        <v>10</v>
      </c>
      <c r="F40" s="348" t="n">
        <f aca="false">C40*'Revenues &amp; Expenses'!N27</f>
        <v>14781.4651988515</v>
      </c>
      <c r="I40" s="348" t="n">
        <f aca="false">F40*'Company Power Prices'!C40</f>
        <v>867510.64471648</v>
      </c>
      <c r="J40" s="349"/>
      <c r="K40" s="348" t="n">
        <f aca="false">F40*'Company Gas Prices'!E40</f>
        <v>837254.537360179</v>
      </c>
    </row>
    <row r="41" customFormat="false" ht="15.75" hidden="false" customHeight="false" outlineLevel="0" collapsed="false">
      <c r="A41" s="334" t="n">
        <v>10</v>
      </c>
      <c r="B41" s="269" t="n">
        <v>37165</v>
      </c>
      <c r="C41" s="338" t="n">
        <f aca="false">VLOOKUP(A41,$A$5:$D$16,4)</f>
        <v>6583.79175991911</v>
      </c>
      <c r="E41" s="333" t="n">
        <f aca="false">E40+1</f>
        <v>11</v>
      </c>
      <c r="F41" s="348" t="n">
        <f aca="false">C41*'Revenues &amp; Expenses'!N28</f>
        <v>5861.65241705722</v>
      </c>
      <c r="I41" s="348" t="n">
        <f aca="false">F41*'Company Power Prices'!C41</f>
        <v>268402.311310609</v>
      </c>
      <c r="J41" s="349"/>
      <c r="K41" s="348" t="n">
        <f aca="false">F41*'Company Gas Prices'!E41</f>
        <v>330055.773705707</v>
      </c>
    </row>
    <row r="42" customFormat="false" ht="15.75" hidden="false" customHeight="false" outlineLevel="0" collapsed="false">
      <c r="A42" s="334" t="n">
        <v>11</v>
      </c>
      <c r="B42" s="269" t="n">
        <v>37196</v>
      </c>
      <c r="C42" s="338" t="n">
        <f aca="false">VLOOKUP(A42,$A$5:$D$16,4)</f>
        <v>8734.34073334355</v>
      </c>
      <c r="E42" s="333" t="n">
        <f aca="false">E41+1</f>
        <v>12</v>
      </c>
      <c r="F42" s="348" t="n">
        <f aca="false">C42*'Revenues &amp; Expenses'!N29</f>
        <v>7728.31575248502</v>
      </c>
      <c r="I42" s="348" t="n">
        <f aca="false">F42*'Company Power Prices'!C42</f>
        <v>383549.238536804</v>
      </c>
      <c r="J42" s="349"/>
      <c r="K42" s="348" t="n">
        <f aca="false">F42*'Company Gas Prices'!E42</f>
        <v>435508.720520739</v>
      </c>
    </row>
    <row r="43" customFormat="false" ht="15.75" hidden="false" customHeight="false" outlineLevel="0" collapsed="false">
      <c r="A43" s="334" t="n">
        <v>12</v>
      </c>
      <c r="B43" s="269" t="n">
        <v>37226</v>
      </c>
      <c r="C43" s="338" t="n">
        <f aca="false">VLOOKUP(A43,$A$5:$D$16,4)</f>
        <v>8734.34073334355</v>
      </c>
      <c r="D43" s="342" t="n">
        <f aca="false">SUM(C32:C43)</f>
        <v>195045.624273055</v>
      </c>
      <c r="E43" s="333" t="n">
        <f aca="false">E42+1</f>
        <v>13</v>
      </c>
      <c r="F43" s="348" t="n">
        <f aca="false">C43*'Revenues &amp; Expenses'!N30</f>
        <v>7681.87583656524</v>
      </c>
      <c r="G43" s="350" t="n">
        <f aca="false">SUM(F32:F43)</f>
        <v>176684.800412258</v>
      </c>
      <c r="H43" s="342" t="n">
        <f aca="false">D43</f>
        <v>195045.624273055</v>
      </c>
      <c r="I43" s="348" t="n">
        <f aca="false">F43*'Company Power Prices'!C43</f>
        <v>381244.468007336</v>
      </c>
      <c r="J43" s="349" t="n">
        <f aca="false">SUM(I32:I43)/SUM(F32:F43)</f>
        <v>121.360658997605</v>
      </c>
      <c r="K43" s="348" t="n">
        <f aca="false">F43*'Company Gas Prices'!E43</f>
        <v>433235.961888081</v>
      </c>
      <c r="L43" s="349" t="n">
        <f aca="false">SUM(K32:K43)/SUM(F32:F43)</f>
        <v>56.3500132321943</v>
      </c>
    </row>
    <row r="44" customFormat="false" ht="15.75" hidden="false" customHeight="false" outlineLevel="0" collapsed="false">
      <c r="A44" s="334" t="n">
        <v>1</v>
      </c>
      <c r="B44" s="269" t="n">
        <v>37257</v>
      </c>
      <c r="C44" s="338" t="n">
        <f aca="false">VLOOKUP(A44,$A$5:$E$16,5)</f>
        <v>20049.0845675338</v>
      </c>
      <c r="E44" s="333" t="n">
        <f aca="false">E43+1</f>
        <v>14</v>
      </c>
      <c r="F44" s="348" t="n">
        <f aca="false">C44*'Revenues &amp; Expenses'!N31</f>
        <v>17523.4855141885</v>
      </c>
      <c r="I44" s="348" t="n">
        <f aca="false">F44*'Company Power Prices'!C44</f>
        <v>863768.783662478</v>
      </c>
      <c r="J44" s="349"/>
      <c r="K44" s="348" t="n">
        <f aca="false">F44*'Company Gas Prices'!E44</f>
        <v>998678.614412023</v>
      </c>
    </row>
    <row r="45" customFormat="false" ht="15.75" hidden="false" customHeight="false" outlineLevel="0" collapsed="false">
      <c r="A45" s="334" t="n">
        <v>2</v>
      </c>
      <c r="B45" s="269" t="n">
        <v>37288</v>
      </c>
      <c r="C45" s="338" t="n">
        <f aca="false">VLOOKUP(A45,$A$5:$E$16,5)</f>
        <v>926.552155383555</v>
      </c>
      <c r="E45" s="333" t="n">
        <f aca="false">E44+1</f>
        <v>15</v>
      </c>
      <c r="F45" s="348" t="n">
        <f aca="false">C45*'Revenues &amp; Expenses'!N32</f>
        <v>804.790544231533</v>
      </c>
      <c r="I45" s="348" t="n">
        <f aca="false">F45*'Company Power Prices'!C45</f>
        <v>33598.6445461976</v>
      </c>
      <c r="J45" s="349"/>
      <c r="K45" s="348" t="n">
        <f aca="false">F45*'Company Gas Prices'!E45</f>
        <v>45901.9347444607</v>
      </c>
    </row>
    <row r="46" customFormat="false" ht="15.75" hidden="false" customHeight="false" outlineLevel="0" collapsed="false">
      <c r="A46" s="334" t="n">
        <v>3</v>
      </c>
      <c r="B46" s="269" t="n">
        <v>37316</v>
      </c>
      <c r="C46" s="338" t="n">
        <f aca="false">VLOOKUP(A46,$A$5:$E$16,5)</f>
        <v>926.552155383555</v>
      </c>
      <c r="E46" s="333" t="n">
        <f aca="false">E45+1</f>
        <v>16</v>
      </c>
      <c r="F46" s="348" t="n">
        <f aca="false">C46*'Revenues &amp; Expenses'!N33</f>
        <v>800.240433528963</v>
      </c>
      <c r="I46" s="348" t="n">
        <f aca="false">F46*'Company Power Prices'!C46</f>
        <v>33408.6851173284</v>
      </c>
      <c r="J46" s="349"/>
      <c r="K46" s="348" t="n">
        <f aca="false">F46*'Company Gas Prices'!E46</f>
        <v>45678.5151384421</v>
      </c>
    </row>
    <row r="47" customFormat="false" ht="15.75" hidden="false" customHeight="false" outlineLevel="0" collapsed="false">
      <c r="A47" s="334" t="n">
        <v>4</v>
      </c>
      <c r="B47" s="269" t="n">
        <v>37347</v>
      </c>
      <c r="C47" s="338" t="n">
        <f aca="false">VLOOKUP(A47,$A$5:$E$16,5)</f>
        <v>12055.8894613982</v>
      </c>
      <c r="E47" s="333" t="n">
        <f aca="false">E46+1</f>
        <v>17</v>
      </c>
      <c r="F47" s="348" t="n">
        <f aca="false">C47*'Revenues &amp; Expenses'!N34</f>
        <v>10347.4418476035</v>
      </c>
      <c r="I47" s="348" t="n">
        <f aca="false">F47*'Company Power Prices'!C47</f>
        <v>475020.004826928</v>
      </c>
      <c r="J47" s="349"/>
      <c r="K47" s="348" t="n">
        <f aca="false">F47*'Company Gas Prices'!E47</f>
        <v>605461.516796926</v>
      </c>
    </row>
    <row r="48" customFormat="false" ht="15.75" hidden="false" customHeight="false" outlineLevel="0" collapsed="false">
      <c r="A48" s="334" t="n">
        <v>5</v>
      </c>
      <c r="B48" s="269" t="n">
        <v>37377</v>
      </c>
      <c r="C48" s="338" t="n">
        <f aca="false">VLOOKUP(A48,$A$5:$E$16,5)</f>
        <v>17367.4145051524</v>
      </c>
      <c r="E48" s="333" t="n">
        <f aca="false">E47+1</f>
        <v>18</v>
      </c>
      <c r="F48" s="348" t="n">
        <f aca="false">C48*'Revenues &amp; Expenses'!N35</f>
        <v>14817.0799209761</v>
      </c>
      <c r="I48" s="348" t="n">
        <f aca="false">F48*'Company Power Prices'!C48</f>
        <v>860884.508231327</v>
      </c>
      <c r="J48" s="349"/>
      <c r="K48" s="348" t="n">
        <f aca="false">F48*'Company Gas Prices'!E48</f>
        <v>844601.475077642</v>
      </c>
    </row>
    <row r="49" customFormat="false" ht="15.75" hidden="false" customHeight="false" outlineLevel="0" collapsed="false">
      <c r="A49" s="334" t="n">
        <v>6</v>
      </c>
      <c r="B49" s="269" t="n">
        <v>37408</v>
      </c>
      <c r="C49" s="338" t="n">
        <f aca="false">VLOOKUP(A49,$A$5:$E$16,5)</f>
        <v>29277.0300260729</v>
      </c>
      <c r="E49" s="333" t="n">
        <f aca="false">E48+1</f>
        <v>19</v>
      </c>
      <c r="F49" s="348" t="n">
        <f aca="false">C49*'Revenues &amp; Expenses'!N36</f>
        <v>24822.8672742401</v>
      </c>
      <c r="I49" s="348" t="n">
        <f aca="false">F49*'Company Power Prices'!C49</f>
        <v>2666250.35212195</v>
      </c>
      <c r="J49" s="349"/>
      <c r="K49" s="348" t="n">
        <f aca="false">F49*'Company Gas Prices'!E49</f>
        <v>1414096.00041109</v>
      </c>
    </row>
    <row r="50" customFormat="false" ht="15.75" hidden="false" customHeight="false" outlineLevel="0" collapsed="false">
      <c r="A50" s="334" t="n">
        <v>7</v>
      </c>
      <c r="B50" s="269" t="n">
        <v>37438</v>
      </c>
      <c r="C50" s="338" t="n">
        <f aca="false">VLOOKUP(A50,$A$5:$E$16,5)</f>
        <v>52644.2173231458</v>
      </c>
      <c r="E50" s="333" t="n">
        <f aca="false">E49+1</f>
        <v>20</v>
      </c>
      <c r="F50" s="348" t="n">
        <f aca="false">C50*'Revenues &amp; Expenses'!N37</f>
        <v>44367.1064732167</v>
      </c>
      <c r="I50" s="348" t="n">
        <f aca="false">F50*'Company Power Prices'!C50</f>
        <v>7552925.69128331</v>
      </c>
      <c r="J50" s="349"/>
      <c r="K50" s="348" t="n">
        <f aca="false">F50*'Company Gas Prices'!E50</f>
        <v>2513563.99845451</v>
      </c>
    </row>
    <row r="51" customFormat="false" ht="15.75" hidden="false" customHeight="false" outlineLevel="0" collapsed="false">
      <c r="A51" s="334" t="n">
        <v>8</v>
      </c>
      <c r="B51" s="269" t="n">
        <v>37469</v>
      </c>
      <c r="C51" s="338" t="n">
        <f aca="false">VLOOKUP(A51,$A$5:$E$16,5)</f>
        <v>35096.1448817684</v>
      </c>
      <c r="E51" s="333" t="n">
        <f aca="false">E50+1</f>
        <v>21</v>
      </c>
      <c r="F51" s="348" t="n">
        <f aca="false">C51*'Revenues &amp; Expenses'!N38</f>
        <v>29395.2026177454</v>
      </c>
      <c r="I51" s="348" t="n">
        <f aca="false">F51*'Company Power Prices'!C51</f>
        <v>5004152.82177743</v>
      </c>
      <c r="J51" s="349"/>
      <c r="K51" s="348" t="n">
        <f aca="false">F51*'Company Gas Prices'!E51</f>
        <v>1666690.00987226</v>
      </c>
    </row>
    <row r="52" customFormat="false" ht="15.75" hidden="false" customHeight="false" outlineLevel="0" collapsed="false">
      <c r="A52" s="334" t="n">
        <v>9</v>
      </c>
      <c r="B52" s="269" t="n">
        <v>37500</v>
      </c>
      <c r="C52" s="338" t="n">
        <f aca="false">VLOOKUP(A52,$A$5:$E$16,5)</f>
        <v>21226.8399512898</v>
      </c>
      <c r="E52" s="333" t="n">
        <f aca="false">E51+1</f>
        <v>22</v>
      </c>
      <c r="F52" s="348" t="n">
        <f aca="false">C52*'Revenues &amp; Expenses'!N39</f>
        <v>17668.5669264771</v>
      </c>
      <c r="I52" s="348" t="n">
        <f aca="false">F52*'Company Power Prices'!C52</f>
        <v>1026558.24432176</v>
      </c>
      <c r="J52" s="349"/>
      <c r="K52" s="348" t="n">
        <f aca="false">F52*'Company Gas Prices'!E52</f>
        <v>1010361.84323375</v>
      </c>
    </row>
    <row r="53" customFormat="false" ht="15.75" hidden="false" customHeight="false" outlineLevel="0" collapsed="false">
      <c r="A53" s="334" t="n">
        <v>10</v>
      </c>
      <c r="B53" s="269" t="n">
        <v>37530</v>
      </c>
      <c r="C53" s="338" t="n">
        <f aca="false">VLOOKUP(A53,$A$5:$E$16,5)</f>
        <v>5314.86290596178</v>
      </c>
      <c r="E53" s="333" t="n">
        <f aca="false">E52+1</f>
        <v>23</v>
      </c>
      <c r="F53" s="348" t="n">
        <f aca="false">C53*'Revenues &amp; Expenses'!N40</f>
        <v>4397.40252587703</v>
      </c>
      <c r="I53" s="348" t="n">
        <f aca="false">F53*'Company Power Prices'!C53</f>
        <v>204819.886337715</v>
      </c>
      <c r="J53" s="349"/>
      <c r="K53" s="348" t="n">
        <f aca="false">F53*'Company Gas Prices'!E53</f>
        <v>249995.813694711</v>
      </c>
    </row>
    <row r="54" customFormat="false" ht="15.75" hidden="false" customHeight="false" outlineLevel="0" collapsed="false">
      <c r="A54" s="334" t="n">
        <v>11</v>
      </c>
      <c r="B54" s="269" t="n">
        <v>37561</v>
      </c>
      <c r="C54" s="338" t="n">
        <f aca="false">VLOOKUP(A54,$A$5:$E$16,5)</f>
        <v>8487.98169933155</v>
      </c>
      <c r="E54" s="333" t="n">
        <f aca="false">E53+1</f>
        <v>24</v>
      </c>
      <c r="F54" s="348" t="n">
        <f aca="false">C54*'Revenues &amp; Expenses'!N41</f>
        <v>6979.37779530568</v>
      </c>
      <c r="I54" s="348" t="n">
        <f aca="false">F54*'Company Power Prices'!C54</f>
        <v>347871.827472513</v>
      </c>
      <c r="J54" s="349"/>
      <c r="K54" s="348" t="n">
        <f aca="false">F54*'Company Gas Prices'!E54</f>
        <v>397103.642579997</v>
      </c>
    </row>
    <row r="55" customFormat="false" ht="15.75" hidden="false" customHeight="false" outlineLevel="0" collapsed="false">
      <c r="A55" s="334" t="n">
        <v>12</v>
      </c>
      <c r="B55" s="269" t="n">
        <v>37591</v>
      </c>
      <c r="C55" s="338" t="n">
        <f aca="false">VLOOKUP(A55,$A$5:$E$16,5)</f>
        <v>8487.98169933155</v>
      </c>
      <c r="D55" s="342" t="n">
        <f aca="false">SUM(C44:C55)</f>
        <v>211860.551331753</v>
      </c>
      <c r="E55" s="333" t="n">
        <f aca="false">E54+1</f>
        <v>25</v>
      </c>
      <c r="F55" s="348" t="n">
        <f aca="false">C55*'Revenues &amp; Expenses'!N42</f>
        <v>6937.54392928074</v>
      </c>
      <c r="G55" s="350" t="n">
        <f aca="false">SUM(F44:F55)</f>
        <v>178861.105802671</v>
      </c>
      <c r="H55" s="342" t="n">
        <f aca="false">D55</f>
        <v>211860.551331753</v>
      </c>
      <c r="I55" s="348" t="n">
        <f aca="false">F55*'Company Power Prices'!C55</f>
        <v>345786.709880208</v>
      </c>
      <c r="J55" s="349" t="n">
        <f aca="false">SUM(I44:I55)/SUM(F44:F55)</f>
        <v>108.548172462932</v>
      </c>
      <c r="K55" s="348" t="n">
        <f aca="false">F55*'Company Gas Prices'!E55</f>
        <v>395042.711695708</v>
      </c>
      <c r="L55" s="349" t="n">
        <f aca="false">SUM(K44:K55)/SUM(F44:F55)</f>
        <v>56.9557927666539</v>
      </c>
    </row>
    <row r="56" customFormat="false" ht="15.75" hidden="false" customHeight="false" outlineLevel="0" collapsed="false">
      <c r="A56" s="334" t="n">
        <v>1</v>
      </c>
      <c r="B56" s="269" t="n">
        <v>37622</v>
      </c>
      <c r="C56" s="338" t="n">
        <f aca="false">VLOOKUP(A56,$A$5:$F$16,6)</f>
        <v>19619.5999184049</v>
      </c>
      <c r="E56" s="333" t="n">
        <f aca="false">E55+1</f>
        <v>26</v>
      </c>
      <c r="F56" s="348" t="n">
        <f aca="false">C56*'Revenues &amp; Expenses'!N43</f>
        <v>15936.2909058268</v>
      </c>
      <c r="I56" s="348" t="n">
        <f aca="false">F56*'Company Power Prices'!C56</f>
        <v>778832.580769894</v>
      </c>
      <c r="J56" s="349"/>
      <c r="K56" s="348" t="n">
        <f aca="false">F56*'Company Gas Prices'!E56</f>
        <v>916936.792822094</v>
      </c>
    </row>
    <row r="57" customFormat="false" ht="15.75" hidden="false" customHeight="false" outlineLevel="0" collapsed="false">
      <c r="A57" s="334" t="n">
        <v>2</v>
      </c>
      <c r="B57" s="269" t="n">
        <v>37653</v>
      </c>
      <c r="C57" s="338" t="n">
        <f aca="false">VLOOKUP(A57,$A$5:$F$16,6)</f>
        <v>870.001850666666</v>
      </c>
      <c r="E57" s="333" t="n">
        <f aca="false">E56+1</f>
        <v>27</v>
      </c>
      <c r="F57" s="348" t="n">
        <f aca="false">C57*'Revenues &amp; Expenses'!N44</f>
        <v>702.274210188382</v>
      </c>
      <c r="I57" s="348" t="n">
        <f aca="false">F57*'Company Power Prices'!C57</f>
        <v>29301.9841010683</v>
      </c>
      <c r="J57" s="349"/>
      <c r="K57" s="348" t="n">
        <f aca="false">F57*'Company Gas Prices'!E57</f>
        <v>40439.6743256219</v>
      </c>
    </row>
    <row r="58" customFormat="false" ht="15.75" hidden="false" customHeight="false" outlineLevel="0" collapsed="false">
      <c r="A58" s="334" t="n">
        <v>3</v>
      </c>
      <c r="B58" s="269" t="n">
        <v>37681</v>
      </c>
      <c r="C58" s="338" t="n">
        <f aca="false">VLOOKUP(A58,$A$5:$F$16,6)</f>
        <v>870.001850666666</v>
      </c>
      <c r="E58" s="333" t="n">
        <f aca="false">E57+1</f>
        <v>28</v>
      </c>
      <c r="F58" s="348" t="n">
        <f aca="false">C58*'Revenues &amp; Expenses'!N45</f>
        <v>698.317819367008</v>
      </c>
      <c r="I58" s="348" t="n">
        <f aca="false">F58*'Company Power Prices'!C58</f>
        <v>29136.9059887532</v>
      </c>
      <c r="J58" s="349"/>
      <c r="K58" s="348" t="n">
        <f aca="false">F58*'Company Gas Prices'!E58</f>
        <v>40244.2026248601</v>
      </c>
    </row>
    <row r="59" customFormat="false" ht="15.75" hidden="false" customHeight="false" outlineLevel="0" collapsed="false">
      <c r="A59" s="334" t="n">
        <v>4</v>
      </c>
      <c r="B59" s="269" t="n">
        <v>37712</v>
      </c>
      <c r="C59" s="338" t="n">
        <f aca="false">VLOOKUP(A59,$A$5:$F$16,6)</f>
        <v>11199.2583796551</v>
      </c>
      <c r="E59" s="333" t="n">
        <f aca="false">E58+1</f>
        <v>29</v>
      </c>
      <c r="F59" s="348" t="n">
        <f aca="false">C59*'Revenues &amp; Expenses'!N46</f>
        <v>8933.34880887751</v>
      </c>
      <c r="I59" s="348" t="n">
        <f aca="false">F59*'Company Power Prices'!C59</f>
        <v>410868.724472541</v>
      </c>
      <c r="J59" s="349"/>
      <c r="K59" s="348" t="n">
        <f aca="false">F59*'Company Gas Prices'!E59</f>
        <v>527635.756247034</v>
      </c>
    </row>
    <row r="60" customFormat="false" ht="15.75" hidden="false" customHeight="false" outlineLevel="0" collapsed="false">
      <c r="A60" s="334" t="n">
        <v>5</v>
      </c>
      <c r="B60" s="269" t="n">
        <v>37742</v>
      </c>
      <c r="C60" s="338" t="n">
        <f aca="false">VLOOKUP(A60,$A$5:$F$16,6)</f>
        <v>18970.9989140436</v>
      </c>
      <c r="E60" s="333" t="n">
        <f aca="false">E59+1</f>
        <v>30</v>
      </c>
      <c r="F60" s="348" t="n">
        <f aca="false">C60*'Revenues &amp; Expenses'!N47</f>
        <v>15042.1259649032</v>
      </c>
      <c r="I60" s="348" t="n">
        <f aca="false">F60*'Company Power Prices'!C60</f>
        <v>864345.946494803</v>
      </c>
      <c r="J60" s="349"/>
      <c r="K60" s="348" t="n">
        <f aca="false">F60*'Company Gas Prices'!E60</f>
        <v>865727.745831488</v>
      </c>
    </row>
    <row r="61" customFormat="false" ht="15.75" hidden="false" customHeight="false" outlineLevel="0" collapsed="false">
      <c r="A61" s="334" t="n">
        <v>6</v>
      </c>
      <c r="B61" s="269" t="n">
        <v>37773</v>
      </c>
      <c r="C61" s="338" t="n">
        <f aca="false">VLOOKUP(A61,$A$5:$F$16,6)</f>
        <v>32361.9967366827</v>
      </c>
      <c r="E61" s="333" t="n">
        <f aca="false">E60+1</f>
        <v>31</v>
      </c>
      <c r="F61" s="348" t="n">
        <f aca="false">C61*'Revenues &amp; Expenses'!N48</f>
        <v>25500.9953622794</v>
      </c>
      <c r="I61" s="348" t="n">
        <f aca="false">F61*'Company Power Prices'!C61</f>
        <v>2683052.68594401</v>
      </c>
      <c r="J61" s="349"/>
      <c r="K61" s="348" t="n">
        <f aca="false">F61*'Company Gas Prices'!E61</f>
        <v>1466826.53114738</v>
      </c>
    </row>
    <row r="62" customFormat="false" ht="15.75" hidden="false" customHeight="false" outlineLevel="0" collapsed="false">
      <c r="A62" s="334" t="n">
        <v>7</v>
      </c>
      <c r="B62" s="269" t="n">
        <v>37803</v>
      </c>
      <c r="C62" s="338" t="n">
        <f aca="false">VLOOKUP(A62,$A$5:$F$16,6)</f>
        <v>53980.5369349058</v>
      </c>
      <c r="E62" s="333" t="n">
        <f aca="false">E61+1</f>
        <v>32</v>
      </c>
      <c r="F62" s="348" t="n">
        <f aca="false">C62*'Revenues &amp; Expenses'!N49</f>
        <v>42281.3384789112</v>
      </c>
      <c r="I62" s="348" t="n">
        <f aca="false">F62*'Company Power Prices'!C62</f>
        <v>6984933.57921554</v>
      </c>
      <c r="J62" s="349"/>
      <c r="K62" s="348" t="n">
        <f aca="false">F62*'Company Gas Prices'!E62</f>
        <v>2418826.32899484</v>
      </c>
    </row>
    <row r="63" customFormat="false" ht="15.75" hidden="false" customHeight="false" outlineLevel="0" collapsed="false">
      <c r="A63" s="334" t="n">
        <v>8</v>
      </c>
      <c r="B63" s="269" t="n">
        <v>37834</v>
      </c>
      <c r="C63" s="338" t="n">
        <f aca="false">VLOOKUP(A63,$A$5:$F$16,6)</f>
        <v>35987.024623928</v>
      </c>
      <c r="E63" s="333" t="n">
        <f aca="false">E62+1</f>
        <v>33</v>
      </c>
      <c r="F63" s="348" t="n">
        <f aca="false">C63*'Revenues &amp; Expenses'!N50</f>
        <v>28013.1574117948</v>
      </c>
      <c r="I63" s="348" t="n">
        <f aca="false">F63*'Company Power Prices'!C63</f>
        <v>4627811.01319891</v>
      </c>
      <c r="J63" s="349"/>
      <c r="K63" s="348" t="n">
        <f aca="false">F63*'Company Gas Prices'!E63</f>
        <v>1603886.05887794</v>
      </c>
    </row>
    <row r="64" customFormat="false" ht="15.75" hidden="false" customHeight="false" outlineLevel="0" collapsed="false">
      <c r="A64" s="334" t="n">
        <v>9</v>
      </c>
      <c r="B64" s="269" t="n">
        <v>37865</v>
      </c>
      <c r="C64" s="338" t="n">
        <f aca="false">VLOOKUP(A64,$A$5:$F$16,6)</f>
        <v>23186.776450936</v>
      </c>
      <c r="E64" s="333" t="n">
        <f aca="false">E63+1</f>
        <v>34</v>
      </c>
      <c r="F64" s="348" t="n">
        <f aca="false">C64*'Revenues &amp; Expenses'!N51</f>
        <v>17937.304818404</v>
      </c>
      <c r="I64" s="348" t="n">
        <f aca="false">F64*'Company Power Prices'!C64</f>
        <v>1030707.80998668</v>
      </c>
      <c r="J64" s="349"/>
      <c r="K64" s="348" t="n">
        <f aca="false">F64*'Company Gas Prices'!E64</f>
        <v>1035713.05041035</v>
      </c>
    </row>
    <row r="65" customFormat="false" ht="15.75" hidden="false" customHeight="false" outlineLevel="0" collapsed="false">
      <c r="A65" s="334" t="n">
        <v>10</v>
      </c>
      <c r="B65" s="269" t="n">
        <v>37895</v>
      </c>
      <c r="C65" s="338" t="n">
        <f aca="false">VLOOKUP(A65,$A$5:$F$16,6)</f>
        <v>4817.05150313333</v>
      </c>
      <c r="E65" s="333" t="n">
        <f aca="false">E64+1</f>
        <v>35</v>
      </c>
      <c r="F65" s="348" t="n">
        <f aca="false">C65*'Revenues &amp; Expenses'!N52</f>
        <v>3704.13191530892</v>
      </c>
      <c r="I65" s="348" t="n">
        <f aca="false">F65*'Company Power Prices'!C65</f>
        <v>174210.729564848</v>
      </c>
      <c r="J65" s="349"/>
      <c r="K65" s="348" t="n">
        <f aca="false">F65*'Company Gas Prices'!E65</f>
        <v>212649.082899353</v>
      </c>
    </row>
    <row r="66" customFormat="false" ht="15.75" hidden="false" customHeight="false" outlineLevel="0" collapsed="false">
      <c r="A66" s="334" t="n">
        <v>11</v>
      </c>
      <c r="B66" s="269" t="n">
        <v>37926</v>
      </c>
      <c r="C66" s="338" t="n">
        <f aca="false">VLOOKUP(A66,$A$5:$F$16,6)</f>
        <v>8337.430007144</v>
      </c>
      <c r="E66" s="333" t="n">
        <f aca="false">E65+1</f>
        <v>36</v>
      </c>
      <c r="F66" s="348" t="n">
        <f aca="false">C66*'Revenues &amp; Expenses'!N53</f>
        <v>6371.48285612203</v>
      </c>
      <c r="I66" s="348" t="n">
        <f aca="false">F66*'Company Power Prices'!C66</f>
        <v>318600.902142089</v>
      </c>
      <c r="J66" s="349"/>
      <c r="K66" s="348" t="n">
        <f aca="false">F66*'Company Gas Prices'!E66</f>
        <v>366078.48266148</v>
      </c>
    </row>
    <row r="67" customFormat="false" ht="15.75" hidden="false" customHeight="false" outlineLevel="0" collapsed="false">
      <c r="A67" s="334" t="n">
        <v>12</v>
      </c>
      <c r="B67" s="269" t="n">
        <v>37956</v>
      </c>
      <c r="C67" s="338" t="n">
        <f aca="false">VLOOKUP(A67,$A$5:$F$16,6)</f>
        <v>8337.430007144</v>
      </c>
      <c r="D67" s="342" t="n">
        <f aca="false">SUM(C56:C67)</f>
        <v>218538.107177311</v>
      </c>
      <c r="E67" s="333" t="n">
        <f aca="false">E66+1</f>
        <v>37</v>
      </c>
      <c r="F67" s="348" t="n">
        <f aca="false">C67*'Revenues &amp; Expenses'!N54</f>
        <v>6333.26108263128</v>
      </c>
      <c r="G67" s="350" t="n">
        <f aca="false">SUM(F56:F67)</f>
        <v>171454.029634614</v>
      </c>
      <c r="H67" s="342" t="n">
        <f aca="false">D67</f>
        <v>218538.107177311</v>
      </c>
      <c r="I67" s="348" t="n">
        <f aca="false">F67*'Company Power Prices'!C67</f>
        <v>316689.652941455</v>
      </c>
      <c r="J67" s="349" t="n">
        <f aca="false">SUM(I56:I67)/SUM(F56:F67)</f>
        <v>106.433733600254</v>
      </c>
      <c r="K67" s="348" t="n">
        <f aca="false">F67*'Company Gas Prices'!E67</f>
        <v>364181.759006413</v>
      </c>
      <c r="L67" s="349" t="n">
        <f aca="false">SUM(K56:K67)/SUM(F56:F67)</f>
        <v>57.5031423108554</v>
      </c>
    </row>
    <row r="68" customFormat="false" ht="15.75" hidden="false" customHeight="false" outlineLevel="0" collapsed="false">
      <c r="A68" s="334" t="n">
        <v>1</v>
      </c>
      <c r="B68" s="269" t="n">
        <v>37987</v>
      </c>
      <c r="C68" s="338" t="n">
        <f aca="false">VLOOKUP(A68,$A$5:$G$16,7)</f>
        <v>17580.8268410009</v>
      </c>
      <c r="E68" s="333" t="n">
        <f aca="false">E67+1</f>
        <v>38</v>
      </c>
      <c r="F68" s="348" t="n">
        <f aca="false">C68*'Revenues &amp; Expenses'!N55</f>
        <v>13271.6217574546</v>
      </c>
      <c r="I68" s="348" t="n">
        <f aca="false">F68*'Company Power Prices'!C68</f>
        <v>638554.747724645</v>
      </c>
      <c r="J68" s="349"/>
      <c r="K68" s="348" t="n">
        <f aca="false">F68*'Company Gas Prices'!E68</f>
        <v>771070.67820654</v>
      </c>
    </row>
    <row r="69" customFormat="false" ht="15.75" hidden="false" customHeight="false" outlineLevel="0" collapsed="false">
      <c r="A69" s="334" t="n">
        <v>2</v>
      </c>
      <c r="B69" s="269" t="n">
        <v>38018</v>
      </c>
      <c r="C69" s="338" t="n">
        <f aca="false">VLOOKUP(A69,$A$5:$G$16,7)</f>
        <v>761.887923007555</v>
      </c>
      <c r="E69" s="333" t="n">
        <f aca="false">E68+1</f>
        <v>39</v>
      </c>
      <c r="F69" s="348" t="n">
        <f aca="false">C69*'Revenues &amp; Expenses'!N56</f>
        <v>571.549793083711</v>
      </c>
      <c r="I69" s="348" t="n">
        <f aca="false">F69*'Company Power Prices'!C69</f>
        <v>23885.6209249808</v>
      </c>
      <c r="J69" s="349"/>
      <c r="K69" s="348" t="n">
        <f aca="false">F69*'Company Gas Prices'!E69</f>
        <v>33233.7230030539</v>
      </c>
    </row>
    <row r="70" customFormat="false" ht="15.75" hidden="false" customHeight="false" outlineLevel="0" collapsed="false">
      <c r="A70" s="334" t="n">
        <v>3</v>
      </c>
      <c r="B70" s="269" t="n">
        <v>38047</v>
      </c>
      <c r="C70" s="338" t="n">
        <f aca="false">VLOOKUP(A70,$A$5:$G$16,7)</f>
        <v>761.887923007555</v>
      </c>
      <c r="E70" s="333" t="n">
        <f aca="false">E69+1</f>
        <v>40</v>
      </c>
      <c r="F70" s="348" t="n">
        <f aca="false">C70*'Revenues &amp; Expenses'!N57</f>
        <v>568.203984944973</v>
      </c>
      <c r="I70" s="348" t="n">
        <f aca="false">F70*'Company Power Prices'!C70</f>
        <v>23745.7963535145</v>
      </c>
      <c r="J70" s="349"/>
      <c r="K70" s="348" t="n">
        <f aca="false">F70*'Company Gas Prices'!E70</f>
        <v>33066.2106721244</v>
      </c>
    </row>
    <row r="71" customFormat="false" ht="15.75" hidden="false" customHeight="false" outlineLevel="0" collapsed="false">
      <c r="A71" s="334" t="n">
        <v>4</v>
      </c>
      <c r="B71" s="269" t="n">
        <v>38078</v>
      </c>
      <c r="C71" s="338" t="n">
        <f aca="false">VLOOKUP(A71,$A$5:$G$16,7)</f>
        <v>9712.40236905555</v>
      </c>
      <c r="E71" s="333" t="n">
        <f aca="false">E70+1</f>
        <v>41</v>
      </c>
      <c r="F71" s="348" t="n">
        <f aca="false">C71*'Revenues &amp; Expenses'!N58</f>
        <v>7197.94942200342</v>
      </c>
      <c r="I71" s="348" t="n">
        <f aca="false">F71*'Company Power Prices'!C71</f>
        <v>332203.057305445</v>
      </c>
      <c r="J71" s="349"/>
      <c r="K71" s="348" t="n">
        <f aca="false">F71*'Company Gas Prices'!E71</f>
        <v>429205.847788693</v>
      </c>
    </row>
    <row r="72" customFormat="false" ht="15.75" hidden="false" customHeight="false" outlineLevel="0" collapsed="false">
      <c r="A72" s="334" t="n">
        <v>5</v>
      </c>
      <c r="B72" s="269" t="n">
        <v>38108</v>
      </c>
      <c r="C72" s="338" t="n">
        <f aca="false">VLOOKUP(A72,$A$5:$G$16,7)</f>
        <v>17254.3894068093</v>
      </c>
      <c r="E72" s="333" t="n">
        <f aca="false">E71+1</f>
        <v>42</v>
      </c>
      <c r="F72" s="348" t="n">
        <f aca="false">C72*'Revenues &amp; Expenses'!N59</f>
        <v>12709.6405651645</v>
      </c>
      <c r="I72" s="348" t="n">
        <f aca="false">F72*'Company Power Prices'!C72</f>
        <v>736134.069175203</v>
      </c>
      <c r="J72" s="349"/>
      <c r="K72" s="348" t="n">
        <f aca="false">F72*'Company Gas Prices'!E72</f>
        <v>738685.711354784</v>
      </c>
    </row>
    <row r="73" customFormat="false" ht="15.75" hidden="false" customHeight="false" outlineLevel="0" collapsed="false">
      <c r="A73" s="334" t="n">
        <v>6</v>
      </c>
      <c r="B73" s="269" t="n">
        <v>38139</v>
      </c>
      <c r="C73" s="338" t="n">
        <f aca="false">VLOOKUP(A73,$A$5:$G$16,7)</f>
        <v>33059.5261535529</v>
      </c>
      <c r="E73" s="333" t="n">
        <f aca="false">E72+1</f>
        <v>43</v>
      </c>
      <c r="F73" s="348" t="n">
        <f aca="false">C73*'Revenues &amp; Expenses'!N60</f>
        <v>24198.5559491541</v>
      </c>
      <c r="I73" s="348" t="n">
        <f aca="false">F73*'Company Power Prices'!C73</f>
        <v>2574898.5620134</v>
      </c>
      <c r="J73" s="349"/>
      <c r="K73" s="348" t="n">
        <f aca="false">F73*'Company Gas Prices'!E73</f>
        <v>1405650.15996496</v>
      </c>
    </row>
    <row r="74" customFormat="false" ht="15.75" hidden="false" customHeight="false" outlineLevel="0" collapsed="false">
      <c r="A74" s="334" t="n">
        <v>7</v>
      </c>
      <c r="B74" s="269" t="n">
        <v>38169</v>
      </c>
      <c r="C74" s="338" t="n">
        <f aca="false">VLOOKUP(A74,$A$5:$G$16,7)</f>
        <v>52080.5947256124</v>
      </c>
      <c r="E74" s="333" t="n">
        <f aca="false">E73+1</f>
        <v>44</v>
      </c>
      <c r="F74" s="348" t="n">
        <f aca="false">C74*'Revenues &amp; Expenses'!N61</f>
        <v>37888.930387023</v>
      </c>
      <c r="I74" s="348" t="n">
        <f aca="false">F74*'Company Power Prices'!C74</f>
        <v>6385702.88846658</v>
      </c>
      <c r="J74" s="349"/>
      <c r="K74" s="348" t="n">
        <f aca="false">F74*'Company Gas Prices'!E74</f>
        <v>2189107.81290833</v>
      </c>
    </row>
    <row r="75" customFormat="false" ht="15.75" hidden="false" customHeight="false" outlineLevel="0" collapsed="false">
      <c r="A75" s="334" t="n">
        <v>8</v>
      </c>
      <c r="B75" s="269" t="n">
        <v>38200</v>
      </c>
      <c r="C75" s="338" t="n">
        <f aca="false">VLOOKUP(A75,$A$5:$G$16,7)</f>
        <v>34720.3964834129</v>
      </c>
      <c r="E75" s="333" t="n">
        <f aca="false">E74+1</f>
        <v>45</v>
      </c>
      <c r="F75" s="348" t="n">
        <f aca="false">C75*'Revenues &amp; Expenses'!N62</f>
        <v>25099.901017985</v>
      </c>
      <c r="I75" s="348" t="n">
        <f aca="false">F75*'Company Power Prices'!C75</f>
        <v>4230272.76815574</v>
      </c>
      <c r="J75" s="349"/>
      <c r="K75" s="348" t="n">
        <f aca="false">F75*'Company Gas Prices'!E75</f>
        <v>1451403.96436235</v>
      </c>
    </row>
    <row r="76" customFormat="false" ht="15.75" hidden="false" customHeight="false" outlineLevel="0" collapsed="false">
      <c r="A76" s="334" t="n">
        <v>9</v>
      </c>
      <c r="B76" s="269" t="n">
        <v>38231</v>
      </c>
      <c r="C76" s="338" t="n">
        <f aca="false">VLOOKUP(A76,$A$5:$G$16,7)</f>
        <v>21088.6981635493</v>
      </c>
      <c r="E76" s="333" t="n">
        <f aca="false">E75+1</f>
        <v>46</v>
      </c>
      <c r="F76" s="348" t="n">
        <f aca="false">C76*'Revenues &amp; Expenses'!N63</f>
        <v>15148.9957787324</v>
      </c>
      <c r="I76" s="348" t="n">
        <f aca="false">F76*'Company Power Prices'!C76</f>
        <v>877419.927757962</v>
      </c>
      <c r="J76" s="349"/>
      <c r="K76" s="348" t="n">
        <f aca="false">F76*'Company Gas Prices'!E76</f>
        <v>883373.437580212</v>
      </c>
    </row>
    <row r="77" customFormat="false" ht="15.75" hidden="false" customHeight="false" outlineLevel="0" collapsed="false">
      <c r="A77" s="334" t="n">
        <v>10</v>
      </c>
      <c r="B77" s="269" t="n">
        <v>38261</v>
      </c>
      <c r="C77" s="338" t="n">
        <f aca="false">VLOOKUP(A77,$A$5:$G$16,7)</f>
        <v>3729.761184184</v>
      </c>
      <c r="E77" s="333" t="n">
        <f aca="false">E76+1</f>
        <v>47</v>
      </c>
      <c r="F77" s="348" t="n">
        <f aca="false">C77*'Revenues &amp; Expenses'!N64</f>
        <v>2662.84981227642</v>
      </c>
      <c r="I77" s="348" t="n">
        <f aca="false">F77*'Company Power Prices'!C77</f>
        <v>127131.840058761</v>
      </c>
      <c r="J77" s="349"/>
      <c r="K77" s="348" t="n">
        <f aca="false">F77*'Company Gas Prices'!E77</f>
        <v>154396.025762646</v>
      </c>
    </row>
    <row r="78" customFormat="false" ht="15.75" hidden="false" customHeight="false" outlineLevel="0" collapsed="false">
      <c r="A78" s="334" t="n">
        <v>11</v>
      </c>
      <c r="B78" s="269" t="n">
        <v>38292</v>
      </c>
      <c r="C78" s="338" t="n">
        <f aca="false">VLOOKUP(A78,$A$5:$G$16,7)</f>
        <v>8546.17619823333</v>
      </c>
      <c r="E78" s="333" t="n">
        <f aca="false">E77+1</f>
        <v>48</v>
      </c>
      <c r="F78" s="348" t="n">
        <f aca="false">C78*'Revenues &amp; Expenses'!N65</f>
        <v>6062.83853331686</v>
      </c>
      <c r="I78" s="348" t="n">
        <f aca="false">F78*'Company Power Prices'!C78</f>
        <v>304087.652539619</v>
      </c>
      <c r="J78" s="349"/>
      <c r="K78" s="348" t="n">
        <f aca="false">F78*'Company Gas Prices'!E78</f>
        <v>351826.111943127</v>
      </c>
    </row>
    <row r="79" customFormat="false" ht="15.75" hidden="false" customHeight="false" outlineLevel="0" collapsed="false">
      <c r="A79" s="334" t="n">
        <v>12</v>
      </c>
      <c r="B79" s="269" t="n">
        <v>38322</v>
      </c>
      <c r="C79" s="338" t="n">
        <f aca="false">VLOOKUP(A79,$A$5:$G$16,7)</f>
        <v>8546.17619823333</v>
      </c>
      <c r="D79" s="342" t="n">
        <f aca="false">SUM(C68:C79)</f>
        <v>207842.723569659</v>
      </c>
      <c r="E79" s="333" t="n">
        <f aca="false">E78+1</f>
        <v>49</v>
      </c>
      <c r="F79" s="348" t="n">
        <f aca="false">C79*'Revenues &amp; Expenses'!N66</f>
        <v>6025.5904950925</v>
      </c>
      <c r="G79" s="350" t="n">
        <f aca="false">SUM(F68:F79)</f>
        <v>151406.627496231</v>
      </c>
      <c r="H79" s="342" t="n">
        <f aca="false">D79</f>
        <v>207842.723569659</v>
      </c>
      <c r="I79" s="348" t="n">
        <f aca="false">F79*'Company Power Prices'!C79</f>
        <v>302219.440407116</v>
      </c>
      <c r="J79" s="349" t="n">
        <f aca="false">SUM(I68:I79)/SUM(F68:F79)</f>
        <v>109.349614641506</v>
      </c>
      <c r="K79" s="348" t="n">
        <f aca="false">F79*'Company Gas Prices'!E79</f>
        <v>349957.096359194</v>
      </c>
      <c r="L79" s="349" t="n">
        <f aca="false">SUM(K68:K79)/SUM(F68:F79)</f>
        <v>58.0620341743285</v>
      </c>
    </row>
    <row r="80" customFormat="false" ht="15.75" hidden="false" customHeight="false" outlineLevel="0" collapsed="false">
      <c r="A80" s="334" t="n">
        <v>1</v>
      </c>
      <c r="B80" s="269" t="n">
        <v>38353</v>
      </c>
      <c r="C80" s="338" t="n">
        <f aca="false">VLOOKUP(A80,$A$5:$H$16,8)</f>
        <v>16643.5579708751</v>
      </c>
      <c r="E80" s="333" t="n">
        <f aca="false">E79+1</f>
        <v>50</v>
      </c>
      <c r="F80" s="348" t="n">
        <f aca="false">C80*'Revenues &amp; Expenses'!N67</f>
        <v>11660.152435661</v>
      </c>
      <c r="I80" s="348" t="n">
        <f aca="false">F80*'Company Power Prices'!C80</f>
        <v>560429.101762041</v>
      </c>
      <c r="J80" s="349"/>
      <c r="K80" s="348" t="n">
        <f aca="false">F80*'Company Gas Prices'!E80</f>
        <v>684170.155239336</v>
      </c>
    </row>
    <row r="81" customFormat="false" ht="15.75" hidden="false" customHeight="false" outlineLevel="0" collapsed="false">
      <c r="A81" s="334" t="n">
        <v>2</v>
      </c>
      <c r="B81" s="269" t="n">
        <v>38384</v>
      </c>
      <c r="C81" s="338" t="n">
        <f aca="false">VLOOKUP(A81,$A$5:$H$16,8)</f>
        <v>761.887923007555</v>
      </c>
      <c r="E81" s="333" t="n">
        <f aca="false">E80+1</f>
        <v>51</v>
      </c>
      <c r="F81" s="348" t="n">
        <f aca="false">C81*'Revenues &amp; Expenses'!N68</f>
        <v>530.365478020562</v>
      </c>
      <c r="I81" s="348" t="n">
        <f aca="false">F81*'Company Power Prices'!C81</f>
        <v>22141.1078493424</v>
      </c>
      <c r="J81" s="349"/>
      <c r="K81" s="348" t="n">
        <f aca="false">F81*'Company Gas Prices'!E81</f>
        <v>31145.5404261606</v>
      </c>
    </row>
    <row r="82" customFormat="false" ht="15.75" hidden="false" customHeight="false" outlineLevel="0" collapsed="false">
      <c r="A82" s="334" t="n">
        <v>3</v>
      </c>
      <c r="B82" s="269" t="n">
        <v>38412</v>
      </c>
      <c r="C82" s="338" t="n">
        <f aca="false">VLOOKUP(A82,$A$5:$H$16,8)</f>
        <v>761.887923007555</v>
      </c>
      <c r="E82" s="333" t="n">
        <f aca="false">E81+1</f>
        <v>52</v>
      </c>
      <c r="F82" s="348" t="n">
        <f aca="false">C82*'Revenues &amp; Expenses'!N69</f>
        <v>527.310232455105</v>
      </c>
      <c r="I82" s="348" t="n">
        <f aca="false">F82*'Company Power Prices'!C82</f>
        <v>22013.5608569863</v>
      </c>
      <c r="J82" s="349"/>
      <c r="K82" s="348" t="n">
        <f aca="false">F82*'Company Gas Prices'!E82</f>
        <v>30991.8891095997</v>
      </c>
    </row>
    <row r="83" customFormat="false" ht="15.75" hidden="false" customHeight="false" outlineLevel="0" collapsed="false">
      <c r="A83" s="334" t="n">
        <v>4</v>
      </c>
      <c r="B83" s="269" t="n">
        <v>38443</v>
      </c>
      <c r="C83" s="338" t="n">
        <f aca="false">VLOOKUP(A83,$A$5:$H$16,8)</f>
        <v>9170.66669754355</v>
      </c>
      <c r="E83" s="333" t="n">
        <f aca="false">E82+1</f>
        <v>53</v>
      </c>
      <c r="F83" s="348" t="n">
        <f aca="false">C83*'Revenues &amp; Expenses'!N70</f>
        <v>6307.4657601935</v>
      </c>
      <c r="I83" s="348" t="n">
        <f aca="false">F83*'Company Power Prices'!C83</f>
        <v>291144.534770144</v>
      </c>
      <c r="J83" s="349"/>
      <c r="K83" s="348" t="n">
        <f aca="false">F83*'Company Gas Prices'!E83</f>
        <v>379769.189387071</v>
      </c>
    </row>
    <row r="84" customFormat="false" ht="15.75" hidden="false" customHeight="false" outlineLevel="0" collapsed="false">
      <c r="A84" s="334" t="n">
        <v>5</v>
      </c>
      <c r="B84" s="269" t="n">
        <v>38473</v>
      </c>
      <c r="C84" s="338" t="n">
        <f aca="false">VLOOKUP(A84,$A$5:$H$16,8)</f>
        <v>15970.8764909431</v>
      </c>
      <c r="E84" s="333" t="n">
        <f aca="false">E83+1</f>
        <v>54</v>
      </c>
      <c r="F84" s="348" t="n">
        <f aca="false">C84*'Revenues &amp; Expenses'!N71</f>
        <v>10918.466333211</v>
      </c>
      <c r="I84" s="348" t="n">
        <f aca="false">F84*'Company Power Prices'!C84</f>
        <v>585345.811043532</v>
      </c>
      <c r="J84" s="349"/>
      <c r="K84" s="348" t="n">
        <f aca="false">F84*'Company Gas Prices'!E84</f>
        <v>640935.460276849</v>
      </c>
    </row>
    <row r="85" customFormat="false" ht="15.75" hidden="false" customHeight="false" outlineLevel="0" collapsed="false">
      <c r="A85" s="334" t="n">
        <v>6</v>
      </c>
      <c r="B85" s="269" t="n">
        <v>38504</v>
      </c>
      <c r="C85" s="338" t="n">
        <f aca="false">VLOOKUP(A85,$A$5:$H$16,8)</f>
        <v>30292.1620016151</v>
      </c>
      <c r="E85" s="333" t="n">
        <f aca="false">E84+1</f>
        <v>55</v>
      </c>
      <c r="F85" s="348" t="n">
        <f aca="false">C85*'Revenues &amp; Expenses'!N72</f>
        <v>20580.3610379779</v>
      </c>
      <c r="I85" s="348" t="n">
        <f aca="false">F85*'Company Power Prices'!C85</f>
        <v>1948052.52784213</v>
      </c>
      <c r="J85" s="349"/>
      <c r="K85" s="348" t="n">
        <f aca="false">F85*'Company Gas Prices'!E85</f>
        <v>1207477.24527572</v>
      </c>
    </row>
    <row r="86" customFormat="false" ht="15.75" hidden="false" customHeight="false" outlineLevel="0" collapsed="false">
      <c r="A86" s="334" t="n">
        <v>7</v>
      </c>
      <c r="B86" s="269" t="n">
        <v>38534</v>
      </c>
      <c r="C86" s="338" t="n">
        <f aca="false">VLOOKUP(A86,$A$5:$H$16,8)</f>
        <v>50413.4087854507</v>
      </c>
      <c r="E86" s="333" t="n">
        <f aca="false">E85+1</f>
        <v>56</v>
      </c>
      <c r="F86" s="348" t="n">
        <f aca="false">C86*'Revenues &amp; Expenses'!N73</f>
        <v>34044.2990451833</v>
      </c>
      <c r="I86" s="348" t="n">
        <f aca="false">F86*'Company Power Prices'!C86</f>
        <v>4743320.83932788</v>
      </c>
      <c r="J86" s="349"/>
      <c r="K86" s="348" t="n">
        <f aca="false">F86*'Company Gas Prices'!E86</f>
        <v>1986873.72943447</v>
      </c>
    </row>
    <row r="87" customFormat="false" ht="15.75" hidden="false" customHeight="false" outlineLevel="0" collapsed="false">
      <c r="A87" s="334" t="n">
        <v>8</v>
      </c>
      <c r="B87" s="269" t="n">
        <v>38565</v>
      </c>
      <c r="C87" s="338" t="n">
        <f aca="false">VLOOKUP(A87,$A$5:$H$16,8)</f>
        <v>33608.9391903004</v>
      </c>
      <c r="E87" s="333" t="n">
        <f aca="false">E86+1</f>
        <v>57</v>
      </c>
      <c r="F87" s="348" t="n">
        <f aca="false">C87*'Revenues &amp; Expenses'!N74</f>
        <v>22554.8309710621</v>
      </c>
      <c r="I87" s="348" t="n">
        <f aca="false">F87*'Company Power Prices'!C87</f>
        <v>3142517.33103882</v>
      </c>
      <c r="J87" s="349"/>
      <c r="K87" s="348" t="n">
        <f aca="false">F87*'Company Gas Prices'!E87</f>
        <v>1317446.46921571</v>
      </c>
    </row>
    <row r="88" customFormat="false" ht="15.75" hidden="false" customHeight="false" outlineLevel="0" collapsed="false">
      <c r="A88" s="334" t="n">
        <v>9</v>
      </c>
      <c r="B88" s="269" t="n">
        <v>38596</v>
      </c>
      <c r="C88" s="338" t="n">
        <f aca="false">VLOOKUP(A88,$A$5:$H$16,8)</f>
        <v>19519.9601564738</v>
      </c>
      <c r="E88" s="333" t="n">
        <f aca="false">E87+1</f>
        <v>58</v>
      </c>
      <c r="F88" s="348" t="n">
        <f aca="false">C88*'Revenues &amp; Expenses'!N75</f>
        <v>13018.1243168715</v>
      </c>
      <c r="I88" s="348" t="n">
        <f aca="false">F88*'Company Power Prices'!C88</f>
        <v>697909.789156597</v>
      </c>
      <c r="J88" s="349"/>
      <c r="K88" s="348" t="n">
        <f aca="false">F88*'Company Gas Prices'!E88</f>
        <v>766759.592625824</v>
      </c>
    </row>
    <row r="89" customFormat="false" ht="15.75" hidden="false" customHeight="false" outlineLevel="0" collapsed="false">
      <c r="A89" s="334" t="n">
        <v>10</v>
      </c>
      <c r="B89" s="269" t="n">
        <v>38626</v>
      </c>
      <c r="C89" s="338" t="n">
        <f aca="false">VLOOKUP(A89,$A$5:$H$16,8)</f>
        <v>3662.92017130355</v>
      </c>
      <c r="E89" s="333" t="n">
        <f aca="false">E88+1</f>
        <v>59</v>
      </c>
      <c r="F89" s="348" t="n">
        <f aca="false">C89*'Revenues &amp; Expenses'!N76</f>
        <v>2428.10579979936</v>
      </c>
      <c r="I89" s="348" t="n">
        <f aca="false">F89*'Company Power Prices'!C89</f>
        <v>116171.302957809</v>
      </c>
      <c r="J89" s="349"/>
      <c r="K89" s="348" t="n">
        <f aca="false">F89*'Company Gas Prices'!E89</f>
        <v>142213.798438708</v>
      </c>
    </row>
    <row r="90" customFormat="false" ht="15.75" hidden="false" customHeight="false" outlineLevel="0" collapsed="false">
      <c r="A90" s="334" t="n">
        <v>11</v>
      </c>
      <c r="B90" s="269" t="n">
        <v>38657</v>
      </c>
      <c r="C90" s="338" t="n">
        <f aca="false">VLOOKUP(A90,$A$5:$H$16,8)</f>
        <v>8335.25427271289</v>
      </c>
      <c r="E90" s="333" t="n">
        <f aca="false">E89+1</f>
        <v>60</v>
      </c>
      <c r="F90" s="348" t="n">
        <f aca="false">C90*'Revenues &amp; Expenses'!N77</f>
        <v>5490.85948635341</v>
      </c>
      <c r="I90" s="348" t="n">
        <f aca="false">F90*'Company Power Prices'!C90</f>
        <v>275519.400462431</v>
      </c>
      <c r="J90" s="349"/>
      <c r="K90" s="348" t="n">
        <f aca="false">F90*'Company Gas Prices'!E90</f>
        <v>321871.948640164</v>
      </c>
    </row>
    <row r="91" customFormat="false" ht="15.75" hidden="false" customHeight="false" outlineLevel="0" collapsed="false">
      <c r="A91" s="334" t="n">
        <v>12</v>
      </c>
      <c r="B91" s="269" t="n">
        <v>38687</v>
      </c>
      <c r="C91" s="338" t="n">
        <f aca="false">VLOOKUP(A91,$A$5:$H$16,8)</f>
        <v>8335.25427271289</v>
      </c>
      <c r="D91" s="342" t="n">
        <f aca="false">SUM(C80:C91)</f>
        <v>197476.775855946</v>
      </c>
      <c r="E91" s="333" t="n">
        <f aca="false">E90+1</f>
        <v>61</v>
      </c>
      <c r="F91" s="348" t="n">
        <f aca="false">C91*'Revenues &amp; Expenses'!N78</f>
        <v>5457.67554089976</v>
      </c>
      <c r="G91" s="350" t="n">
        <f aca="false">SUM(F80:F91)</f>
        <v>133518.016437689</v>
      </c>
      <c r="H91" s="342" t="n">
        <f aca="false">D91</f>
        <v>197476.775855946</v>
      </c>
      <c r="I91" s="348" t="n">
        <f aca="false">F91*'Company Power Prices'!C91</f>
        <v>273854.302169698</v>
      </c>
      <c r="J91" s="349" t="n">
        <f aca="false">SUM(I80:I91)/SUM(F80:F91)</f>
        <v>94.9566204434613</v>
      </c>
      <c r="K91" s="348" t="n">
        <f aca="false">F91*'Company Gas Prices'!E91</f>
        <v>320198.790719208</v>
      </c>
      <c r="L91" s="349" t="n">
        <f aca="false">SUM(K80:K91)/SUM(F80:F91)</f>
        <v>58.6426762297126</v>
      </c>
    </row>
    <row r="92" customFormat="false" ht="15.75" hidden="false" customHeight="false" outlineLevel="0" collapsed="false">
      <c r="A92" s="334" t="n">
        <v>1</v>
      </c>
      <c r="B92" s="269" t="n">
        <v>38718</v>
      </c>
      <c r="C92" s="338" t="n">
        <f aca="false">VLOOKUP(A92,$A$5:$I$16,9)</f>
        <v>17347.4110189924</v>
      </c>
      <c r="E92" s="333" t="n">
        <f aca="false">E91+1</f>
        <v>62</v>
      </c>
      <c r="F92" s="348" t="n">
        <f aca="false">C92*'Revenues &amp; Expenses'!N79</f>
        <v>11287.5961530731</v>
      </c>
      <c r="I92" s="348" t="n">
        <f aca="false">F92*'Company Power Prices'!C92</f>
        <v>541637.424489175</v>
      </c>
      <c r="J92" s="349"/>
      <c r="K92" s="348" t="n">
        <f aca="false">F92*'Company Gas Prices'!E92</f>
        <v>668995.54117512</v>
      </c>
    </row>
    <row r="93" customFormat="false" ht="15.75" hidden="false" customHeight="false" outlineLevel="0" collapsed="false">
      <c r="A93" s="334" t="n">
        <v>2</v>
      </c>
      <c r="B93" s="269" t="n">
        <v>38749</v>
      </c>
      <c r="C93" s="338" t="n">
        <f aca="false">VLOOKUP(A93,$A$5:$I$16,9)</f>
        <v>752.763413745778</v>
      </c>
      <c r="E93" s="333" t="n">
        <f aca="false">E92+1</f>
        <v>63</v>
      </c>
      <c r="F93" s="348" t="n">
        <f aca="false">C93*'Revenues &amp; Expenses'!N80</f>
        <v>486.745010237463</v>
      </c>
      <c r="I93" s="348" t="n">
        <f aca="false">F93*'Company Power Prices'!C93</f>
        <v>20316.3657546022</v>
      </c>
      <c r="J93" s="349"/>
      <c r="K93" s="348" t="n">
        <f aca="false">F93*'Company Gas Prices'!E93</f>
        <v>28872.8749053778</v>
      </c>
    </row>
    <row r="94" customFormat="false" ht="15.75" hidden="false" customHeight="false" outlineLevel="0" collapsed="false">
      <c r="A94" s="334" t="n">
        <v>3</v>
      </c>
      <c r="B94" s="269" t="n">
        <v>38777</v>
      </c>
      <c r="C94" s="338" t="n">
        <f aca="false">VLOOKUP(A94,$A$5:$I$16,9)</f>
        <v>752.763413745778</v>
      </c>
      <c r="E94" s="333" t="n">
        <f aca="false">E93+1</f>
        <v>64</v>
      </c>
      <c r="F94" s="348" t="n">
        <f aca="false">C94*'Revenues &amp; Expenses'!N81</f>
        <v>483.993835572664</v>
      </c>
      <c r="I94" s="348" t="n">
        <f aca="false">F94*'Company Power Prices'!C94</f>
        <v>20201.5338209012</v>
      </c>
      <c r="J94" s="349"/>
      <c r="K94" s="348" t="n">
        <f aca="false">F94*'Company Gas Prices'!E94</f>
        <v>28733.9688594438</v>
      </c>
    </row>
    <row r="95" customFormat="false" ht="15.75" hidden="false" customHeight="false" outlineLevel="0" collapsed="false">
      <c r="A95" s="334" t="n">
        <v>4</v>
      </c>
      <c r="B95" s="269" t="n">
        <v>38808</v>
      </c>
      <c r="C95" s="338" t="n">
        <f aca="false">VLOOKUP(A95,$A$5:$I$16,9)</f>
        <v>8623.62748091911</v>
      </c>
      <c r="E95" s="333" t="n">
        <f aca="false">E94+1</f>
        <v>65</v>
      </c>
      <c r="F95" s="348" t="n">
        <f aca="false">C95*'Revenues &amp; Expenses'!N82</f>
        <v>5509.90671497987</v>
      </c>
      <c r="I95" s="348" t="n">
        <f aca="false">F95*'Company Power Prices'!C95</f>
        <v>254432.786928135</v>
      </c>
      <c r="J95" s="349"/>
      <c r="K95" s="348" t="n">
        <f aca="false">F95*'Company Gas Prices'!E95</f>
        <v>335033.820418277</v>
      </c>
    </row>
    <row r="96" customFormat="false" ht="15.75" hidden="false" customHeight="false" outlineLevel="0" collapsed="false">
      <c r="A96" s="334" t="n">
        <v>5</v>
      </c>
      <c r="B96" s="269" t="n">
        <v>38838</v>
      </c>
      <c r="C96" s="338" t="n">
        <f aca="false">VLOOKUP(A96,$A$5:$I$16,9)</f>
        <v>17152.2510153742</v>
      </c>
      <c r="E96" s="333" t="n">
        <f aca="false">E95+1</f>
        <v>66</v>
      </c>
      <c r="F96" s="348" t="n">
        <f aca="false">C96*'Revenues &amp; Expenses'!N83</f>
        <v>10892.6774226234</v>
      </c>
      <c r="I96" s="348" t="n">
        <f aca="false">F96*'Company Power Prices'!C96</f>
        <v>614279.286860423</v>
      </c>
      <c r="J96" s="349"/>
      <c r="K96" s="348" t="n">
        <f aca="false">F96*'Company Gas Prices'!E96</f>
        <v>645930.71348593</v>
      </c>
    </row>
    <row r="97" customFormat="false" ht="15.75" hidden="false" customHeight="false" outlineLevel="0" collapsed="false">
      <c r="A97" s="334" t="n">
        <v>6</v>
      </c>
      <c r="B97" s="269" t="n">
        <v>38869</v>
      </c>
      <c r="C97" s="338" t="n">
        <f aca="false">VLOOKUP(A97,$A$5:$I$16,9)</f>
        <v>32157.3695135529</v>
      </c>
      <c r="E97" s="333" t="n">
        <f aca="false">E96+1</f>
        <v>67</v>
      </c>
      <c r="F97" s="348" t="n">
        <f aca="false">C97*'Revenues &amp; Expenses'!N84</f>
        <v>20293.8093185486</v>
      </c>
      <c r="I97" s="348" t="n">
        <f aca="false">F97*'Company Power Prices'!C97</f>
        <v>2083069.17850993</v>
      </c>
      <c r="J97" s="349"/>
      <c r="K97" s="348" t="n">
        <f aca="false">F97*'Company Gas Prices'!E97</f>
        <v>1202818.75362944</v>
      </c>
    </row>
    <row r="98" customFormat="false" ht="15.75" hidden="false" customHeight="false" outlineLevel="0" collapsed="false">
      <c r="A98" s="334" t="n">
        <v>7</v>
      </c>
      <c r="B98" s="269" t="n">
        <v>38899</v>
      </c>
      <c r="C98" s="338" t="n">
        <f aca="false">VLOOKUP(A98,$A$5:$I$16,9)</f>
        <v>51574.4854995067</v>
      </c>
      <c r="E98" s="333" t="n">
        <f aca="false">E97+1</f>
        <v>68</v>
      </c>
      <c r="F98" s="348" t="n">
        <f aca="false">C98*'Revenues &amp; Expenses'!N85</f>
        <v>32349.9745149166</v>
      </c>
      <c r="I98" s="348" t="n">
        <f aca="false">F98*'Company Power Prices'!C98</f>
        <v>5154973.94491763</v>
      </c>
      <c r="J98" s="349"/>
      <c r="K98" s="348" t="n">
        <f aca="false">F98*'Company Gas Prices'!E98</f>
        <v>1907407.86956541</v>
      </c>
    </row>
    <row r="99" customFormat="false" ht="15.75" hidden="false" customHeight="false" outlineLevel="0" collapsed="false">
      <c r="A99" s="334" t="n">
        <v>8</v>
      </c>
      <c r="B99" s="269" t="n">
        <v>38930</v>
      </c>
      <c r="C99" s="338" t="n">
        <f aca="false">VLOOKUP(A99,$A$5:$I$16,9)</f>
        <v>34382.9903330044</v>
      </c>
      <c r="E99" s="333" t="n">
        <f aca="false">E98+1</f>
        <v>69</v>
      </c>
      <c r="F99" s="348" t="n">
        <f aca="false">C99*'Revenues &amp; Expenses'!N86</f>
        <v>21431.3157022242</v>
      </c>
      <c r="I99" s="348" t="n">
        <f aca="false">F99*'Company Power Prices'!C99</f>
        <v>3415083.80475936</v>
      </c>
      <c r="J99" s="349"/>
      <c r="K99" s="348" t="n">
        <f aca="false">F99*'Company Gas Prices'!E99</f>
        <v>1264713.25317144</v>
      </c>
    </row>
    <row r="100" customFormat="false" ht="15.75" hidden="false" customHeight="false" outlineLevel="0" collapsed="false">
      <c r="A100" s="334" t="n">
        <v>9</v>
      </c>
      <c r="B100" s="269" t="n">
        <v>38961</v>
      </c>
      <c r="C100" s="338" t="n">
        <f aca="false">VLOOKUP(A100,$A$5:$I$16,9)</f>
        <v>20963.8623528911</v>
      </c>
      <c r="E100" s="333" t="n">
        <f aca="false">E99+1</f>
        <v>70</v>
      </c>
      <c r="F100" s="348" t="n">
        <f aca="false">C100*'Revenues &amp; Expenses'!N87</f>
        <v>12984.9689452908</v>
      </c>
      <c r="I100" s="348" t="n">
        <f aca="false">F100*'Company Power Prices'!C100</f>
        <v>732271.520962466</v>
      </c>
      <c r="J100" s="349"/>
      <c r="K100" s="348" t="n">
        <f aca="false">F100*'Company Gas Prices'!E100</f>
        <v>772635.375776847</v>
      </c>
    </row>
    <row r="101" customFormat="false" ht="15.75" hidden="false" customHeight="false" outlineLevel="0" collapsed="false">
      <c r="A101" s="334" t="n">
        <v>10</v>
      </c>
      <c r="B101" s="269" t="n">
        <v>38991</v>
      </c>
      <c r="C101" s="338" t="n">
        <f aca="false">VLOOKUP(A101,$A$5:$I$16,9)</f>
        <v>3790.66232953956</v>
      </c>
      <c r="E101" s="333" t="n">
        <f aca="false">E100+1</f>
        <v>71</v>
      </c>
      <c r="F101" s="348" t="n">
        <f aca="false">C101*'Revenues &amp; Expenses'!N88</f>
        <v>2333.65013343999</v>
      </c>
      <c r="I101" s="348" t="n">
        <f aca="false">F101*'Company Power Prices'!C101</f>
        <v>111766.059779373</v>
      </c>
      <c r="J101" s="349"/>
      <c r="K101" s="348" t="n">
        <f aca="false">F101*'Company Gas Prices'!E101</f>
        <v>138091.62458328</v>
      </c>
    </row>
    <row r="102" customFormat="false" ht="15.75" hidden="false" customHeight="false" outlineLevel="0" collapsed="false">
      <c r="A102" s="334" t="n">
        <v>11</v>
      </c>
      <c r="B102" s="269" t="n">
        <v>39022</v>
      </c>
      <c r="C102" s="338" t="n">
        <f aca="false">VLOOKUP(A102,$A$5:$I$16,9)</f>
        <v>8111.60044316222</v>
      </c>
      <c r="E102" s="333" t="n">
        <f aca="false">E101+1</f>
        <v>72</v>
      </c>
      <c r="F102" s="348" t="n">
        <f aca="false">C102*'Revenues &amp; Expenses'!N89</f>
        <v>4962.3596147034</v>
      </c>
      <c r="I102" s="348" t="n">
        <f aca="false">F102*'Company Power Prices'!C102</f>
        <v>249210.521269792</v>
      </c>
      <c r="J102" s="349"/>
      <c r="K102" s="348" t="n">
        <f aca="false">F102*'Company Gas Prices'!E102</f>
        <v>293896.612969165</v>
      </c>
    </row>
    <row r="103" customFormat="false" ht="15.75" hidden="false" customHeight="false" outlineLevel="0" collapsed="false">
      <c r="A103" s="334" t="n">
        <v>12</v>
      </c>
      <c r="B103" s="269" t="n">
        <v>39052</v>
      </c>
      <c r="C103" s="338" t="n">
        <f aca="false">VLOOKUP(A103,$A$5:$I$16,9)</f>
        <v>8111.60044316222</v>
      </c>
      <c r="D103" s="342" t="n">
        <f aca="false">SUM(C92:C103)</f>
        <v>203721.387257596</v>
      </c>
      <c r="E103" s="333" t="n">
        <f aca="false">E102+1</f>
        <v>73</v>
      </c>
      <c r="F103" s="348" t="n">
        <f aca="false">C103*'Revenues &amp; Expenses'!N90</f>
        <v>4932.1466786566</v>
      </c>
      <c r="G103" s="350" t="n">
        <f aca="false">SUM(F92:F103)</f>
        <v>127949.144044267</v>
      </c>
      <c r="H103" s="342" t="n">
        <f aca="false">D103</f>
        <v>203721.387257596</v>
      </c>
      <c r="I103" s="348" t="n">
        <f aca="false">F103*'Company Power Prices'!C103</f>
        <v>247693.222620374</v>
      </c>
      <c r="J103" s="349" t="n">
        <f aca="false">SUM(I92:I103)/SUM(F92:F103)</f>
        <v>105.080309454986</v>
      </c>
      <c r="K103" s="348" t="n">
        <f aca="false">F103*'Company Gas Prices'!E103</f>
        <v>292359.758378087</v>
      </c>
      <c r="L103" s="349" t="n">
        <f aca="false">SUM(K92:K103)/SUM(F92:F103)</f>
        <v>59.2383030268303</v>
      </c>
    </row>
    <row r="104" customFormat="false" ht="15.75" hidden="false" customHeight="false" outlineLevel="0" collapsed="false">
      <c r="A104" s="334" t="n">
        <v>1</v>
      </c>
      <c r="B104" s="269" t="n">
        <v>39083</v>
      </c>
      <c r="C104" s="338" t="n">
        <f aca="false">VLOOKUP(A116,$A$5:$J$16,10)</f>
        <v>18013.9173680884</v>
      </c>
      <c r="E104" s="333" t="n">
        <f aca="false">E103+1</f>
        <v>74</v>
      </c>
      <c r="F104" s="348" t="n">
        <f aca="false">C104*'Revenues &amp; Expenses'!N91</f>
        <v>10884.1682427598</v>
      </c>
      <c r="I104" s="348" t="n">
        <f aca="false">F104*'Company Power Prices'!C104</f>
        <v>521606.652904104</v>
      </c>
      <c r="J104" s="349"/>
      <c r="K104" s="348" t="n">
        <f aca="false">F104*'Company Gas Prices'!E104</f>
        <v>651705.673959776</v>
      </c>
    </row>
    <row r="105" customFormat="false" ht="15.75" hidden="false" customHeight="false" outlineLevel="0" collapsed="false">
      <c r="A105" s="334" t="n">
        <v>2</v>
      </c>
      <c r="B105" s="269" t="n">
        <v>39114</v>
      </c>
      <c r="C105" s="338" t="n">
        <f aca="false">VLOOKUP(A117,$A$5:$J$16,10)</f>
        <v>721.889261582222</v>
      </c>
      <c r="E105" s="333" t="n">
        <f aca="false">E104+1</f>
        <v>75</v>
      </c>
      <c r="F105" s="348" t="n">
        <f aca="false">C105*'Revenues &amp; Expenses'!N92</f>
        <v>433.42462821155</v>
      </c>
      <c r="I105" s="348" t="n">
        <f aca="false">F105*'Company Power Prices'!C105</f>
        <v>18095.6870518181</v>
      </c>
      <c r="J105" s="349"/>
      <c r="K105" s="348" t="n">
        <f aca="false">F105*'Company Gas Prices'!E105</f>
        <v>25974.2296105919</v>
      </c>
    </row>
    <row r="106" customFormat="false" ht="15.75" hidden="false" customHeight="false" outlineLevel="0" collapsed="false">
      <c r="A106" s="334" t="n">
        <v>3</v>
      </c>
      <c r="B106" s="269" t="n">
        <v>39142</v>
      </c>
      <c r="C106" s="338" t="n">
        <f aca="false">VLOOKUP(A118,$A$5:$J$16,10)</f>
        <v>721.889261582222</v>
      </c>
      <c r="E106" s="333" t="n">
        <f aca="false">E105+1</f>
        <v>76</v>
      </c>
      <c r="F106" s="348" t="n">
        <f aca="false">C106*'Revenues &amp; Expenses'!N93</f>
        <v>430.956647453743</v>
      </c>
      <c r="I106" s="348" t="n">
        <f aca="false">F106*'Company Power Prices'!C106</f>
        <v>17992.6476661065</v>
      </c>
      <c r="J106" s="349"/>
      <c r="K106" s="348" t="n">
        <f aca="false">F106*'Company Gas Prices'!E106</f>
        <v>25848.5398902632</v>
      </c>
    </row>
    <row r="107" customFormat="false" ht="15.75" hidden="false" customHeight="false" outlineLevel="0" collapsed="false">
      <c r="A107" s="334" t="n">
        <v>4</v>
      </c>
      <c r="B107" s="269" t="n">
        <v>39173</v>
      </c>
      <c r="C107" s="338" t="n">
        <f aca="false">VLOOKUP(A119,$A$5:$J$16,10)</f>
        <v>8914.44061966889</v>
      </c>
      <c r="E107" s="333" t="n">
        <f aca="false">E106+1</f>
        <v>77</v>
      </c>
      <c r="F107" s="348" t="n">
        <f aca="false">C107*'Revenues &amp; Expenses'!N94</f>
        <v>5288.50783582284</v>
      </c>
      <c r="I107" s="348" t="n">
        <f aca="false">F107*'Company Power Prices'!C107</f>
        <v>244409.726091368</v>
      </c>
      <c r="J107" s="349"/>
      <c r="K107" s="348" t="n">
        <f aca="false">F107*'Company Gas Prices'!E107</f>
        <v>324809.87384856</v>
      </c>
    </row>
    <row r="108" customFormat="false" ht="15.75" hidden="false" customHeight="false" outlineLevel="0" collapsed="false">
      <c r="A108" s="334" t="n">
        <v>5</v>
      </c>
      <c r="B108" s="269" t="n">
        <v>39203</v>
      </c>
      <c r="C108" s="338" t="n">
        <f aca="false">VLOOKUP(A120,$A$5:$J$16,10)</f>
        <v>17508.3059011591</v>
      </c>
      <c r="E108" s="333" t="n">
        <f aca="false">E107+1</f>
        <v>78</v>
      </c>
      <c r="F108" s="348" t="n">
        <f aca="false">C108*'Revenues &amp; Expenses'!N95</f>
        <v>10324.0570398522</v>
      </c>
      <c r="I108" s="348" t="n">
        <f aca="false">F108*'Company Power Prices'!C108</f>
        <v>608251.548345641</v>
      </c>
      <c r="J108" s="349"/>
      <c r="K108" s="348" t="n">
        <f aca="false">F108*'Company Gas Prices'!E108</f>
        <v>618547.684345008</v>
      </c>
    </row>
    <row r="109" customFormat="false" ht="15.75" hidden="false" customHeight="false" outlineLevel="0" collapsed="false">
      <c r="A109" s="334" t="n">
        <v>6</v>
      </c>
      <c r="B109" s="269" t="n">
        <v>39234</v>
      </c>
      <c r="C109" s="338" t="n">
        <f aca="false">VLOOKUP(A121,$A$5:$J$16,10)</f>
        <v>32163.9310472418</v>
      </c>
      <c r="E109" s="333" t="n">
        <f aca="false">E108+1</f>
        <v>79</v>
      </c>
      <c r="F109" s="348" t="n">
        <f aca="false">C109*'Revenues &amp; Expenses'!N96</f>
        <v>18847.5020115786</v>
      </c>
      <c r="I109" s="348" t="n">
        <f aca="false">F109*'Company Power Prices'!C109</f>
        <v>2063517.5269958</v>
      </c>
      <c r="J109" s="349"/>
      <c r="K109" s="348" t="n">
        <f aca="false">F109*'Company Gas Prices'!E109</f>
        <v>1128688.24657695</v>
      </c>
    </row>
    <row r="110" customFormat="false" ht="15.75" hidden="false" customHeight="false" outlineLevel="0" collapsed="false">
      <c r="A110" s="334" t="n">
        <v>7</v>
      </c>
      <c r="B110" s="269" t="n">
        <v>39264</v>
      </c>
      <c r="C110" s="338" t="n">
        <f aca="false">VLOOKUP(A122,$A$5:$J$16,10)</f>
        <v>53637.9224916858</v>
      </c>
      <c r="E110" s="333" t="n">
        <f aca="false">E109+1</f>
        <v>80</v>
      </c>
      <c r="F110" s="348" t="n">
        <f aca="false">C110*'Revenues &amp; Expenses'!N97</f>
        <v>31240.7758114922</v>
      </c>
      <c r="I110" s="348" t="n">
        <f aca="false">F110*'Company Power Prices'!C110</f>
        <v>5577745.08649731</v>
      </c>
      <c r="J110" s="349"/>
      <c r="K110" s="348" t="n">
        <f aca="false">F110*'Company Gas Prices'!E110</f>
        <v>1861265.53537869</v>
      </c>
    </row>
    <row r="111" customFormat="false" ht="15.75" hidden="false" customHeight="false" outlineLevel="0" collapsed="false">
      <c r="A111" s="334" t="n">
        <v>8</v>
      </c>
      <c r="B111" s="269" t="n">
        <v>39295</v>
      </c>
      <c r="C111" s="338" t="n">
        <f aca="false">VLOOKUP(A123,$A$5:$J$16,10)</f>
        <v>35758.6149951147</v>
      </c>
      <c r="E111" s="333" t="n">
        <f aca="false">E110+1</f>
        <v>81</v>
      </c>
      <c r="F111" s="348" t="n">
        <f aca="false">C111*'Revenues &amp; Expenses'!N98</f>
        <v>20696.9744004784</v>
      </c>
      <c r="I111" s="348" t="n">
        <f aca="false">F111*'Company Power Prices'!C111</f>
        <v>3695249.05412761</v>
      </c>
      <c r="J111" s="349"/>
      <c r="K111" s="348" t="n">
        <f aca="false">F111*'Company Gas Prices'!E111</f>
        <v>1234164.67378585</v>
      </c>
    </row>
    <row r="112" customFormat="false" ht="15.75" hidden="false" customHeight="false" outlineLevel="0" collapsed="false">
      <c r="A112" s="334" t="n">
        <v>9</v>
      </c>
      <c r="B112" s="269" t="n">
        <v>39326</v>
      </c>
      <c r="C112" s="338" t="n">
        <f aca="false">VLOOKUP(A124,$A$5:$J$16,10)</f>
        <v>21399.0405457516</v>
      </c>
      <c r="E112" s="333" t="n">
        <f aca="false">E111+1</f>
        <v>82</v>
      </c>
      <c r="F112" s="348" t="n">
        <f aca="false">C112*'Revenues &amp; Expenses'!N99</f>
        <v>12308.2333463163</v>
      </c>
      <c r="I112" s="348" t="n">
        <f aca="false">F112*'Company Power Prices'!C112</f>
        <v>725151.165031093</v>
      </c>
      <c r="J112" s="349"/>
      <c r="K112" s="348" t="n">
        <f aca="false">F112*'Company Gas Prices'!E112</f>
        <v>739989.026726486</v>
      </c>
    </row>
    <row r="113" customFormat="false" ht="15.75" hidden="false" customHeight="false" outlineLevel="0" collapsed="false">
      <c r="A113" s="334" t="n">
        <v>10</v>
      </c>
      <c r="B113" s="269" t="n">
        <v>39356</v>
      </c>
      <c r="C113" s="338" t="n">
        <f aca="false">VLOOKUP(A125,$A$5:$J$16,10)</f>
        <v>3914.15868867956</v>
      </c>
      <c r="E113" s="333" t="n">
        <f aca="false">E112+1</f>
        <v>83</v>
      </c>
      <c r="F113" s="348" t="n">
        <f aca="false">C113*'Revenues &amp; Expenses'!N100</f>
        <v>2237.70059062546</v>
      </c>
      <c r="I113" s="348" t="n">
        <f aca="false">F113*'Company Power Prices'!C113</f>
        <v>107288.283866407</v>
      </c>
      <c r="J113" s="349"/>
      <c r="K113" s="348" t="n">
        <f aca="false">F113*'Company Gas Prices'!E113</f>
        <v>133802.508657256</v>
      </c>
    </row>
    <row r="114" customFormat="false" ht="15.75" hidden="false" customHeight="false" outlineLevel="0" collapsed="false">
      <c r="A114" s="334" t="n">
        <v>11</v>
      </c>
      <c r="B114" s="269" t="n">
        <v>39387</v>
      </c>
      <c r="C114" s="338" t="n">
        <f aca="false">VLOOKUP(A126,$A$5:$J$16,10)</f>
        <v>8091.070973132</v>
      </c>
      <c r="E114" s="333" t="n">
        <f aca="false">E113+1</f>
        <v>84</v>
      </c>
      <c r="F114" s="348" t="n">
        <f aca="false">C114*'Revenues &amp; Expenses'!N101</f>
        <v>4596.66347132173</v>
      </c>
      <c r="I114" s="348" t="n">
        <f aca="false">F114*'Company Power Prices'!C114</f>
        <v>230949.306523146</v>
      </c>
      <c r="J114" s="349"/>
      <c r="K114" s="348" t="n">
        <f aca="false">F114*'Company Gas Prices'!E114</f>
        <v>275097.00680395</v>
      </c>
    </row>
    <row r="115" customFormat="false" ht="15.75" hidden="false" customHeight="false" outlineLevel="0" collapsed="false">
      <c r="A115" s="334" t="n">
        <v>12</v>
      </c>
      <c r="B115" s="269" t="n">
        <v>39417</v>
      </c>
      <c r="C115" s="338" t="n">
        <f aca="false">VLOOKUP(A127,$A$5:$J$16,10)</f>
        <v>8091.070973132</v>
      </c>
      <c r="D115" s="342" t="n">
        <f aca="false">SUM(C104:C115)</f>
        <v>208936.252126818</v>
      </c>
      <c r="E115" s="333" t="n">
        <f aca="false">E114+1</f>
        <v>85</v>
      </c>
      <c r="F115" s="348" t="n">
        <f aca="false">C115*'Revenues &amp; Expenses'!N102</f>
        <v>4568.80697219715</v>
      </c>
      <c r="G115" s="350" t="n">
        <f aca="false">SUM(F104:F115)</f>
        <v>121857.77099811</v>
      </c>
      <c r="H115" s="342" t="n">
        <f aca="false">D115</f>
        <v>208936.252126818</v>
      </c>
      <c r="I115" s="348" t="n">
        <f aca="false">F115*'Company Power Prices'!C115</f>
        <v>229549.717626739</v>
      </c>
      <c r="J115" s="349" t="n">
        <f aca="false">SUM(I104:I115)/SUM(F104:F115)</f>
        <v>115.214698970203</v>
      </c>
      <c r="K115" s="348" t="n">
        <f aca="false">F115*'Company Gas Prices'!E115</f>
        <v>273670.10136653</v>
      </c>
      <c r="L115" s="349" t="n">
        <f aca="false">SUM(K104:K115)/SUM(F104:F115)</f>
        <v>59.8530815163445</v>
      </c>
    </row>
    <row r="116" customFormat="false" ht="15.75" hidden="false" customHeight="false" outlineLevel="0" collapsed="false">
      <c r="A116" s="334" t="n">
        <v>1</v>
      </c>
      <c r="B116" s="269" t="n">
        <v>39448</v>
      </c>
      <c r="C116" s="338" t="n">
        <f aca="false">VLOOKUP(A128,$A$5:$K$16,11)</f>
        <v>17916.3073077053</v>
      </c>
      <c r="E116" s="333" t="n">
        <f aca="false">E115+1</f>
        <v>86</v>
      </c>
      <c r="F116" s="348" t="n">
        <f aca="false">C116*'Revenues &amp; Expenses'!N103</f>
        <v>10053.4786122041</v>
      </c>
      <c r="I116" s="348" t="n">
        <f aca="false">F116*'Company Power Prices'!C116</f>
        <v>481072.36765957</v>
      </c>
      <c r="J116" s="349"/>
      <c r="K116" s="348" t="n">
        <f aca="false">F116*'Company Gas Prices'!E116</f>
        <v>608247.307801765</v>
      </c>
    </row>
    <row r="117" customFormat="false" ht="15.75" hidden="false" customHeight="false" outlineLevel="0" collapsed="false">
      <c r="A117" s="334" t="n">
        <v>2</v>
      </c>
      <c r="B117" s="269" t="n">
        <v>39479</v>
      </c>
      <c r="C117" s="338" t="n">
        <f aca="false">VLOOKUP(A129,$A$5:$K$16,11)</f>
        <v>712.976950852444</v>
      </c>
      <c r="E117" s="333" t="n">
        <f aca="false">E116+1</f>
        <v>87</v>
      </c>
      <c r="F117" s="348" t="n">
        <f aca="false">C117*'Revenues &amp; Expenses'!N104</f>
        <v>397.569753850856</v>
      </c>
      <c r="I117" s="348" t="n">
        <f aca="false">F117*'Company Power Prices'!C117</f>
        <v>16596.6838405461</v>
      </c>
      <c r="J117" s="349"/>
      <c r="K117" s="348" t="n">
        <f aca="false">F117*'Company Gas Prices'!E117</f>
        <v>24074.4358233718</v>
      </c>
    </row>
    <row r="118" customFormat="false" ht="15.75" hidden="false" customHeight="false" outlineLevel="0" collapsed="false">
      <c r="A118" s="334" t="n">
        <v>3</v>
      </c>
      <c r="B118" s="269" t="n">
        <v>39508</v>
      </c>
      <c r="C118" s="338" t="n">
        <f aca="false">VLOOKUP(A130,$A$5:$K$16,11)</f>
        <v>712.976950852444</v>
      </c>
      <c r="E118" s="333" t="n">
        <f aca="false">E117+1</f>
        <v>88</v>
      </c>
      <c r="F118" s="348" t="n">
        <f aca="false">C118*'Revenues &amp; Expenses'!N105</f>
        <v>395.237818901312</v>
      </c>
      <c r="I118" s="348" t="n">
        <f aca="false">F118*'Company Power Prices'!C118</f>
        <v>16499.3364273704</v>
      </c>
      <c r="J118" s="349"/>
      <c r="K118" s="348" t="n">
        <f aca="false">F118*'Company Gas Prices'!E118</f>
        <v>23954.1481212239</v>
      </c>
    </row>
    <row r="119" customFormat="false" ht="15.75" hidden="false" customHeight="false" outlineLevel="0" collapsed="false">
      <c r="A119" s="334" t="n">
        <v>4</v>
      </c>
      <c r="B119" s="269" t="n">
        <v>39539</v>
      </c>
      <c r="C119" s="338" t="n">
        <f aca="false">VLOOKUP(A131,$A$5:$K$16,11)</f>
        <v>9285.25334070444</v>
      </c>
      <c r="E119" s="333" t="n">
        <f aca="false">E118+1</f>
        <v>89</v>
      </c>
      <c r="F119" s="348" t="n">
        <f aca="false">C119*'Revenues &amp; Expenses'!N106</f>
        <v>5114.98885885117</v>
      </c>
      <c r="I119" s="348" t="n">
        <f aca="false">F119*'Company Power Prices'!C119</f>
        <v>236289.558364362</v>
      </c>
      <c r="J119" s="349"/>
      <c r="K119" s="348" t="n">
        <f aca="false">F119*'Company Gas Prices'!E119</f>
        <v>317369.360572889</v>
      </c>
    </row>
    <row r="120" customFormat="false" ht="15.75" hidden="false" customHeight="false" outlineLevel="0" collapsed="false">
      <c r="A120" s="334" t="n">
        <v>5</v>
      </c>
      <c r="B120" s="269" t="n">
        <v>39569</v>
      </c>
      <c r="C120" s="338" t="n">
        <f aca="false">VLOOKUP(A132,$A$5:$K$16,11)</f>
        <v>17783.5345660124</v>
      </c>
      <c r="E120" s="333" t="n">
        <f aca="false">E119+1</f>
        <v>90</v>
      </c>
      <c r="F120" s="348" t="n">
        <f aca="false">C120*'Revenues &amp; Expenses'!N107</f>
        <v>9736.97525005191</v>
      </c>
      <c r="I120" s="348" t="n">
        <f aca="false">F120*'Company Power Prices'!C120</f>
        <v>574774.514432925</v>
      </c>
      <c r="J120" s="349"/>
      <c r="K120" s="348" t="n">
        <f aca="false">F120*'Company Gas Prices'!E120</f>
        <v>589510.656938527</v>
      </c>
    </row>
    <row r="121" customFormat="false" ht="15.75" hidden="false" customHeight="false" outlineLevel="0" collapsed="false">
      <c r="A121" s="334" t="n">
        <v>6</v>
      </c>
      <c r="B121" s="269" t="n">
        <v>39600</v>
      </c>
      <c r="C121" s="338" t="n">
        <f aca="false">VLOOKUP(A133,$A$5:$K$16,11)</f>
        <v>32058.4392990618</v>
      </c>
      <c r="E121" s="333" t="n">
        <f aca="false">E120+1</f>
        <v>91</v>
      </c>
      <c r="F121" s="348" t="n">
        <f aca="false">C121*'Revenues &amp; Expenses'!N108</f>
        <v>17442.7193891799</v>
      </c>
      <c r="I121" s="348" t="n">
        <f aca="false">F121*'Company Power Prices'!C121</f>
        <v>1911539.03080947</v>
      </c>
      <c r="J121" s="349"/>
      <c r="K121" s="348" t="n">
        <f aca="false">F121*'Company Gas Prices'!E121</f>
        <v>1055580.51620918</v>
      </c>
    </row>
    <row r="122" customFormat="false" ht="15.75" hidden="false" customHeight="false" outlineLevel="0" collapsed="false">
      <c r="A122" s="334" t="n">
        <v>7</v>
      </c>
      <c r="B122" s="269" t="n">
        <v>39630</v>
      </c>
      <c r="C122" s="338" t="n">
        <f aca="false">VLOOKUP(A134,$A$5:$K$16,11)</f>
        <v>52294.4063009822</v>
      </c>
      <c r="E122" s="333" t="n">
        <f aca="false">E121+1</f>
        <v>92</v>
      </c>
      <c r="F122" s="348" t="n">
        <f aca="false">C122*'Revenues &amp; Expenses'!N109</f>
        <v>28280.0436807191</v>
      </c>
      <c r="I122" s="348" t="n">
        <f aca="false">F122*'Company Power Prices'!C122</f>
        <v>5056568.19132945</v>
      </c>
      <c r="J122" s="349"/>
      <c r="K122" s="348" t="n">
        <f aca="false">F122*'Company Gas Prices'!E122</f>
        <v>1702774.23289267</v>
      </c>
    </row>
    <row r="123" customFormat="false" ht="15.75" hidden="false" customHeight="false" outlineLevel="0" collapsed="false">
      <c r="A123" s="334" t="n">
        <v>8</v>
      </c>
      <c r="B123" s="269" t="n">
        <v>39661</v>
      </c>
      <c r="C123" s="338" t="n">
        <f aca="false">VLOOKUP(A135,$A$5:$K$16,11)</f>
        <v>34862.9375333307</v>
      </c>
      <c r="E123" s="333" t="n">
        <f aca="false">E122+1</f>
        <v>93</v>
      </c>
      <c r="F123" s="348" t="n">
        <f aca="false">C123*'Revenues &amp; Expenses'!N110</f>
        <v>18734.950825458</v>
      </c>
      <c r="I123" s="348" t="n">
        <f aca="false">F123*'Company Power Prices'!C123</f>
        <v>3349873.0581778</v>
      </c>
      <c r="J123" s="349"/>
      <c r="K123" s="348" t="n">
        <f aca="false">F123*'Company Gas Prices'!E123</f>
        <v>1129055.84659271</v>
      </c>
    </row>
    <row r="124" customFormat="false" ht="15.75" hidden="false" customHeight="false" outlineLevel="0" collapsed="false">
      <c r="A124" s="334" t="n">
        <v>9</v>
      </c>
      <c r="B124" s="269" t="n">
        <v>39692</v>
      </c>
      <c r="C124" s="338" t="n">
        <f aca="false">VLOOKUP(A136,$A$5:$K$16,11)</f>
        <v>21735.4311367853</v>
      </c>
      <c r="E124" s="333" t="n">
        <f aca="false">E123+1</f>
        <v>94</v>
      </c>
      <c r="F124" s="348" t="n">
        <f aca="false">C124*'Revenues &amp; Expenses'!N111</f>
        <v>11606.9874512599</v>
      </c>
      <c r="I124" s="348" t="n">
        <f aca="false">F124*'Company Power Prices'!C124</f>
        <v>685161.500876919</v>
      </c>
      <c r="J124" s="349"/>
      <c r="K124" s="348" t="n">
        <f aca="false">F124*'Company Gas Prices'!E124</f>
        <v>705209.911948242</v>
      </c>
    </row>
    <row r="125" customFormat="false" ht="15.75" hidden="false" customHeight="false" outlineLevel="0" collapsed="false">
      <c r="A125" s="334" t="n">
        <v>10</v>
      </c>
      <c r="B125" s="269" t="n">
        <v>39722</v>
      </c>
      <c r="C125" s="338" t="n">
        <f aca="false">VLOOKUP(A137,$A$5:$K$16,11)</f>
        <v>3845.83193596622</v>
      </c>
      <c r="E125" s="333" t="n">
        <f aca="false">E124+1</f>
        <v>95</v>
      </c>
      <c r="F125" s="348" t="n">
        <f aca="false">C125*'Revenues &amp; Expenses'!N112</f>
        <v>2041.22801586671</v>
      </c>
      <c r="I125" s="348" t="n">
        <f aca="false">F125*'Company Power Prices'!C125</f>
        <v>98083.9936016579</v>
      </c>
      <c r="J125" s="349"/>
      <c r="K125" s="348" t="n">
        <f aca="false">F125*'Company Gas Prices'!E125</f>
        <v>123355.391187909</v>
      </c>
    </row>
    <row r="126" customFormat="false" ht="15.75" hidden="false" customHeight="false" outlineLevel="0" collapsed="false">
      <c r="A126" s="334" t="n">
        <v>11</v>
      </c>
      <c r="B126" s="269" t="n">
        <v>39753</v>
      </c>
      <c r="C126" s="338" t="n">
        <f aca="false">VLOOKUP(A138,$A$5:$K$16,11)</f>
        <v>8056.85339055022</v>
      </c>
      <c r="E126" s="333" t="n">
        <f aca="false">E125+1</f>
        <v>96</v>
      </c>
      <c r="F126" s="348" t="n">
        <f aca="false">C126*'Revenues &amp; Expenses'!N113</f>
        <v>4249.39654922849</v>
      </c>
      <c r="I126" s="348" t="n">
        <f aca="false">F126*'Company Power Prices'!C126</f>
        <v>213686.162788871</v>
      </c>
      <c r="J126" s="349"/>
      <c r="K126" s="348" t="n">
        <f aca="false">F126*'Company Gas Prices'!E126</f>
        <v>257028.2782789</v>
      </c>
    </row>
    <row r="127" customFormat="false" ht="15.75" hidden="false" customHeight="false" outlineLevel="0" collapsed="false">
      <c r="A127" s="334" t="n">
        <v>12</v>
      </c>
      <c r="B127" s="269" t="n">
        <v>39783</v>
      </c>
      <c r="C127" s="338" t="n">
        <f aca="false">VLOOKUP(A139,$A$5:$K$16,11)</f>
        <v>8056.85339055022</v>
      </c>
      <c r="D127" s="342" t="n">
        <f aca="false">SUM(C116:C127)</f>
        <v>207321.802103354</v>
      </c>
      <c r="E127" s="333" t="n">
        <f aca="false">E126+1</f>
        <v>97</v>
      </c>
      <c r="F127" s="348" t="n">
        <f aca="false">C127*'Revenues &amp; Expenses'!N114</f>
        <v>4223.52623952136</v>
      </c>
      <c r="G127" s="350" t="n">
        <f aca="false">SUM(F116:F127)</f>
        <v>112277.102445093</v>
      </c>
      <c r="H127" s="342" t="n">
        <f aca="false">D127</f>
        <v>207321.802103354</v>
      </c>
      <c r="I127" s="348" t="n">
        <f aca="false">F127*'Company Power Prices'!C127</f>
        <v>212385.24225876</v>
      </c>
      <c r="J127" s="349" t="n">
        <f aca="false">SUM(I116:I127)/SUM(F116:F127)</f>
        <v>114.471511649964</v>
      </c>
      <c r="K127" s="348" t="n">
        <f aca="false">F127*'Company Gas Prices'!E127</f>
        <v>255691.557775289</v>
      </c>
      <c r="L127" s="349" t="n">
        <f aca="false">SUM(K116:K127)/SUM(F116:F127)</f>
        <v>60.4918678540365</v>
      </c>
    </row>
    <row r="128" customFormat="false" ht="15.75" hidden="false" customHeight="false" outlineLevel="0" collapsed="false">
      <c r="A128" s="334" t="n">
        <v>1</v>
      </c>
      <c r="B128" s="269" t="n">
        <v>39814</v>
      </c>
      <c r="C128" s="338" t="n">
        <f aca="false">VLOOKUP(A140,$A$5:$L$16,12)</f>
        <v>17006.6244538462</v>
      </c>
      <c r="E128" s="333" t="n">
        <f aca="false">E127+1</f>
        <v>98</v>
      </c>
      <c r="F128" s="348" t="n">
        <f aca="false">C128*'Revenues &amp; Expenses'!N115</f>
        <v>8859.03349159492</v>
      </c>
      <c r="I128" s="348" t="n">
        <f aca="false">F128*'Company Power Prices'!C128</f>
        <v>423468.847727838</v>
      </c>
      <c r="J128" s="349"/>
      <c r="K128" s="348" t="n">
        <f aca="false">F128*'Company Gas Prices'!E128</f>
        <v>541665.629105671</v>
      </c>
    </row>
    <row r="129" customFormat="false" ht="15.75" hidden="false" customHeight="false" outlineLevel="0" collapsed="false">
      <c r="A129" s="334" t="n">
        <v>2</v>
      </c>
      <c r="B129" s="269" t="n">
        <v>39845</v>
      </c>
      <c r="C129" s="338" t="n">
        <f aca="false">VLOOKUP(A141,$A$5:$L$16,12)</f>
        <v>699.608044902667</v>
      </c>
      <c r="E129" s="333" t="n">
        <f aca="false">E128+1</f>
        <v>99</v>
      </c>
      <c r="F129" s="348" t="n">
        <f aca="false">C129*'Revenues &amp; Expenses'!N116</f>
        <v>362.143286403777</v>
      </c>
      <c r="I129" s="348" t="n">
        <f aca="false">F129*'Company Power Prices'!C129</f>
        <v>15123.0632793525</v>
      </c>
      <c r="J129" s="349"/>
      <c r="K129" s="348" t="n">
        <f aca="false">F129*'Company Gas Prices'!E129</f>
        <v>22162.0771928414</v>
      </c>
    </row>
    <row r="130" customFormat="false" ht="15.75" hidden="false" customHeight="false" outlineLevel="0" collapsed="false">
      <c r="A130" s="334" t="n">
        <v>3</v>
      </c>
      <c r="B130" s="269" t="n">
        <v>39873</v>
      </c>
      <c r="C130" s="338" t="n">
        <f aca="false">VLOOKUP(A142,$A$5:$L$16,12)</f>
        <v>699.608044902667</v>
      </c>
      <c r="E130" s="333" t="n">
        <f aca="false">E129+1</f>
        <v>100</v>
      </c>
      <c r="F130" s="348" t="n">
        <f aca="false">C130*'Revenues &amp; Expenses'!N117</f>
        <v>360.082782446648</v>
      </c>
      <c r="I130" s="348" t="n">
        <f aca="false">F130*'Company Power Prices'!C130</f>
        <v>15037.0168637459</v>
      </c>
      <c r="J130" s="349"/>
      <c r="K130" s="348" t="n">
        <f aca="false">F130*'Company Gas Prices'!E130</f>
        <v>22055.5546529074</v>
      </c>
    </row>
    <row r="131" customFormat="false" ht="15.75" hidden="false" customHeight="false" outlineLevel="0" collapsed="false">
      <c r="A131" s="334" t="n">
        <v>4</v>
      </c>
      <c r="B131" s="269" t="n">
        <v>39904</v>
      </c>
      <c r="C131" s="338" t="n">
        <f aca="false">VLOOKUP(A143,$A$5:$L$16,12)</f>
        <v>9156.87431664756</v>
      </c>
      <c r="E131" s="333" t="n">
        <f aca="false">E130+1</f>
        <v>101</v>
      </c>
      <c r="F131" s="348" t="n">
        <f aca="false">C131*'Revenues &amp; Expenses'!N118</f>
        <v>4683.28092714139</v>
      </c>
      <c r="I131" s="348" t="n">
        <f aca="false">F131*'Company Power Prices'!C131</f>
        <v>216489.188044285</v>
      </c>
      <c r="J131" s="349"/>
      <c r="K131" s="348" t="n">
        <f aca="false">F131*'Company Gas Prices'!E131</f>
        <v>293607.923661413</v>
      </c>
    </row>
    <row r="132" customFormat="false" ht="15.75" hidden="false" customHeight="false" outlineLevel="0" collapsed="false">
      <c r="A132" s="334" t="n">
        <v>5</v>
      </c>
      <c r="B132" s="269" t="n">
        <v>39934</v>
      </c>
      <c r="C132" s="338" t="n">
        <f aca="false">VLOOKUP(A144,$A$5:$L$16,12)</f>
        <v>16891.3697043031</v>
      </c>
      <c r="E132" s="333" t="n">
        <f aca="false">E131+1</f>
        <v>102</v>
      </c>
      <c r="F132" s="348" t="n">
        <f aca="false">C132*'Revenues &amp; Expenses'!N119</f>
        <v>8586.39258899437</v>
      </c>
      <c r="I132" s="348" t="n">
        <f aca="false">F132*'Company Power Prices'!C132</f>
        <v>499601.74069789</v>
      </c>
      <c r="J132" s="349"/>
      <c r="K132" s="348" t="n">
        <f aca="false">F132*'Company Gas Prices'!E132</f>
        <v>525408.225238598</v>
      </c>
    </row>
    <row r="133" customFormat="false" ht="15.75" hidden="false" customHeight="false" outlineLevel="0" collapsed="false">
      <c r="A133" s="334" t="n">
        <v>6</v>
      </c>
      <c r="B133" s="269" t="n">
        <v>39965</v>
      </c>
      <c r="C133" s="338" t="n">
        <f aca="false">VLOOKUP(A145,$A$5:$L$16,12)</f>
        <v>32784.3680617756</v>
      </c>
      <c r="E133" s="333" t="n">
        <f aca="false">E132+1</f>
        <v>103</v>
      </c>
      <c r="F133" s="348" t="n">
        <f aca="false">C133*'Revenues &amp; Expenses'!N120</f>
        <v>16560.2157868417</v>
      </c>
      <c r="I133" s="348" t="n">
        <f aca="false">F133*'Company Power Prices'!C133</f>
        <v>1775568.31749437</v>
      </c>
      <c r="J133" s="349"/>
      <c r="K133" s="348" t="n">
        <f aca="false">F133*'Company Gas Prices'!E133</f>
        <v>1012917.14984194</v>
      </c>
    </row>
    <row r="134" customFormat="false" ht="15.75" hidden="false" customHeight="false" outlineLevel="0" collapsed="false">
      <c r="A134" s="334" t="n">
        <v>7</v>
      </c>
      <c r="B134" s="269" t="n">
        <v>39995</v>
      </c>
      <c r="C134" s="338" t="n">
        <f aca="false">VLOOKUP(A146,$A$5:$L$16,12)</f>
        <v>51579.8979639876</v>
      </c>
      <c r="E134" s="333" t="n">
        <f aca="false">E133+1</f>
        <v>104</v>
      </c>
      <c r="F134" s="348" t="n">
        <f aca="false">C134*'Revenues &amp; Expenses'!N121</f>
        <v>25895.2759724158</v>
      </c>
      <c r="I134" s="348" t="n">
        <f aca="false">F134*'Company Power Prices'!C134</f>
        <v>4411019.8216741</v>
      </c>
      <c r="J134" s="349"/>
      <c r="K134" s="348" t="n">
        <f aca="false">F134*'Company Gas Prices'!E134</f>
        <v>1576020.9338459</v>
      </c>
    </row>
    <row r="135" customFormat="false" ht="15.75" hidden="false" customHeight="false" outlineLevel="0" collapsed="false">
      <c r="A135" s="334" t="n">
        <v>8</v>
      </c>
      <c r="B135" s="269" t="n">
        <v>40026</v>
      </c>
      <c r="C135" s="338" t="n">
        <f aca="false">VLOOKUP(A147,$A$5:$L$16,12)</f>
        <v>34386.5986429871</v>
      </c>
      <c r="E135" s="333" t="n">
        <f aca="false">E134+1</f>
        <v>105</v>
      </c>
      <c r="F135" s="348" t="n">
        <f aca="false">C135*'Revenues &amp; Expenses'!N122</f>
        <v>17154.5958451384</v>
      </c>
      <c r="I135" s="348" t="n">
        <f aca="false">F135*'Company Power Prices'!C135</f>
        <v>2922126.12008144</v>
      </c>
      <c r="J135" s="349"/>
      <c r="K135" s="348" t="n">
        <f aca="false">F135*'Company Gas Prices'!E135</f>
        <v>1044994.44980846</v>
      </c>
    </row>
    <row r="136" customFormat="false" ht="15.75" hidden="false" customHeight="false" outlineLevel="0" collapsed="false">
      <c r="A136" s="334" t="n">
        <v>9</v>
      </c>
      <c r="B136" s="269" t="n">
        <v>40057</v>
      </c>
      <c r="C136" s="338" t="n">
        <f aca="false">VLOOKUP(A148,$A$5:$L$16,12)</f>
        <v>20645.0074162609</v>
      </c>
      <c r="E136" s="333" t="n">
        <f aca="false">E135+1</f>
        <v>106</v>
      </c>
      <c r="F136" s="348" t="n">
        <f aca="false">C136*'Revenues &amp; Expenses'!N123</f>
        <v>10234.2602320846</v>
      </c>
      <c r="I136" s="348" t="n">
        <f aca="false">F136*'Company Power Prices'!C136</f>
        <v>595483.396980744</v>
      </c>
      <c r="J136" s="349"/>
      <c r="K136" s="348" t="n">
        <f aca="false">F136*'Company Gas Prices'!E136</f>
        <v>628490.250797436</v>
      </c>
    </row>
    <row r="137" customFormat="false" ht="15.75" hidden="false" customHeight="false" outlineLevel="0" collapsed="false">
      <c r="A137" s="334" t="n">
        <v>10</v>
      </c>
      <c r="B137" s="269" t="n">
        <v>40087</v>
      </c>
      <c r="C137" s="338" t="n">
        <f aca="false">VLOOKUP(A149,$A$5:$L$16,12)</f>
        <v>3645.94291789467</v>
      </c>
      <c r="E137" s="333" t="n">
        <f aca="false">E136+1</f>
        <v>107</v>
      </c>
      <c r="F137" s="348" t="n">
        <f aca="false">C137*'Revenues &amp; Expenses'!N124</f>
        <v>1796.34235731145</v>
      </c>
      <c r="I137" s="348" t="n">
        <f aca="false">F137*'Company Power Prices'!C137</f>
        <v>86358.5147851226</v>
      </c>
      <c r="J137" s="349"/>
      <c r="K137" s="348" t="n">
        <f aca="false">F137*'Company Gas Prices'!E137</f>
        <v>109732.205884669</v>
      </c>
    </row>
    <row r="138" customFormat="false" ht="15.75" hidden="false" customHeight="false" outlineLevel="0" collapsed="false">
      <c r="A138" s="334" t="n">
        <v>11</v>
      </c>
      <c r="B138" s="269" t="n">
        <v>40118</v>
      </c>
      <c r="C138" s="338" t="n">
        <f aca="false">VLOOKUP(A150,$A$5:$L$16,12)</f>
        <v>8230.21701419556</v>
      </c>
      <c r="E138" s="333" t="n">
        <f aca="false">E137+1</f>
        <v>108</v>
      </c>
      <c r="F138" s="348" t="n">
        <f aca="false">C138*'Revenues &amp; Expenses'!N125</f>
        <v>4029.3832739504</v>
      </c>
      <c r="I138" s="348" t="n">
        <f aca="false">F138*'Company Power Prices'!C138</f>
        <v>202675.972610948</v>
      </c>
      <c r="J138" s="349"/>
      <c r="K138" s="348" t="n">
        <f aca="false">F138*'Company Gas Prices'!E138</f>
        <v>246363.745648683</v>
      </c>
    </row>
    <row r="139" customFormat="false" ht="15.75" hidden="false" customHeight="false" outlineLevel="0" collapsed="false">
      <c r="A139" s="334" t="n">
        <v>12</v>
      </c>
      <c r="B139" s="269" t="n">
        <v>40148</v>
      </c>
      <c r="C139" s="338" t="n">
        <f aca="false">VLOOKUP(A151,$A$5:$L$16,12)</f>
        <v>8230.21701419556</v>
      </c>
      <c r="D139" s="342" t="n">
        <f aca="false">SUM(C128:C139)</f>
        <v>203956.333595899</v>
      </c>
      <c r="E139" s="333" t="n">
        <f aca="false">E138+1</f>
        <v>109</v>
      </c>
      <c r="F139" s="348" t="n">
        <f aca="false">C139*'Revenues &amp; Expenses'!N126</f>
        <v>4004.74055083051</v>
      </c>
      <c r="G139" s="350" t="n">
        <f aca="false">SUM(F128:F139)</f>
        <v>102525.747095154</v>
      </c>
      <c r="H139" s="342" t="n">
        <f aca="false">D139</f>
        <v>203956.333595899</v>
      </c>
      <c r="I139" s="348" t="n">
        <f aca="false">F139*'Company Power Prices'!C139</f>
        <v>201436.455906644</v>
      </c>
      <c r="J139" s="349" t="n">
        <f aca="false">SUM(I128:I139)/SUM(F128:F139)</f>
        <v>110.844239404559</v>
      </c>
      <c r="K139" s="348" t="n">
        <f aca="false">F139*'Company Gas Prices'!E139</f>
        <v>245079.136444467</v>
      </c>
      <c r="L139" s="349" t="n">
        <f aca="false">SUM(K128:K139)/SUM(F128:F139)</f>
        <v>61.1407130377232</v>
      </c>
    </row>
    <row r="140" customFormat="false" ht="15.75" hidden="false" customHeight="false" outlineLevel="0" collapsed="false">
      <c r="A140" s="334" t="n">
        <v>1</v>
      </c>
      <c r="B140" s="269" t="n">
        <v>40179</v>
      </c>
      <c r="C140" s="338" t="n">
        <f aca="false">VLOOKUP(A152,$A$5:$M$16,13)</f>
        <v>16153.3852733711</v>
      </c>
      <c r="E140" s="333" t="n">
        <f aca="false">E139+1</f>
        <v>110</v>
      </c>
      <c r="F140" s="348" t="n">
        <f aca="false">C140*'Revenues &amp; Expenses'!N127</f>
        <v>7810.387878203</v>
      </c>
      <c r="I140" s="348" t="n">
        <f aca="false">F140*'Company Power Prices'!C140</f>
        <v>372771.532823281</v>
      </c>
      <c r="J140" s="349"/>
      <c r="K140" s="348" t="n">
        <f aca="false">F140*'Company Gas Prices'!E140</f>
        <v>482694.734511379</v>
      </c>
    </row>
    <row r="141" customFormat="false" ht="15.75" hidden="false" customHeight="false" outlineLevel="0" collapsed="false">
      <c r="A141" s="334" t="n">
        <v>2</v>
      </c>
      <c r="B141" s="269" t="n">
        <v>40210</v>
      </c>
      <c r="C141" s="338" t="n">
        <f aca="false">VLOOKUP(A153,$A$5:$M$16,13)</f>
        <v>688.891853844444</v>
      </c>
      <c r="E141" s="333" t="n">
        <f aca="false">E140+1</f>
        <v>111</v>
      </c>
      <c r="F141" s="348" t="n">
        <f aca="false">C141*'Revenues &amp; Expenses'!N128</f>
        <v>330.982466310358</v>
      </c>
      <c r="I141" s="348" t="n">
        <f aca="false">F141*'Company Power Prices'!C141</f>
        <v>13846.620157223</v>
      </c>
      <c r="J141" s="349"/>
      <c r="K141" s="348" t="n">
        <f aca="false">F141*'Company Gas Prices'!E141</f>
        <v>20473.6943132044</v>
      </c>
    </row>
    <row r="142" customFormat="false" ht="15.75" hidden="false" customHeight="false" outlineLevel="0" collapsed="false">
      <c r="A142" s="334" t="n">
        <v>3</v>
      </c>
      <c r="B142" s="269" t="n">
        <v>40238</v>
      </c>
      <c r="C142" s="338" t="n">
        <f aca="false">VLOOKUP(A154,$A$5:$M$16,13)</f>
        <v>688.891853844444</v>
      </c>
      <c r="E142" s="333" t="n">
        <f aca="false">E141+1</f>
        <v>112</v>
      </c>
      <c r="F142" s="348" t="n">
        <f aca="false">C142*'Revenues &amp; Expenses'!N129</f>
        <v>329.090681029851</v>
      </c>
      <c r="I142" s="348" t="n">
        <f aca="false">F142*'Company Power Prices'!C142</f>
        <v>13767.4774990327</v>
      </c>
      <c r="J142" s="349"/>
      <c r="K142" s="348" t="n">
        <f aca="false">F142*'Company Gas Prices'!E142</f>
        <v>20375.0458839578</v>
      </c>
    </row>
    <row r="143" customFormat="false" ht="15.75" hidden="false" customHeight="false" outlineLevel="0" collapsed="false">
      <c r="A143" s="334" t="n">
        <v>4</v>
      </c>
      <c r="B143" s="269" t="n">
        <v>40269</v>
      </c>
      <c r="C143" s="338" t="n">
        <f aca="false">VLOOKUP(A155,$A$5:$M$16,13)</f>
        <v>9049.50449365511</v>
      </c>
      <c r="E143" s="333" t="n">
        <f aca="false">E142+1</f>
        <v>113</v>
      </c>
      <c r="F143" s="348" t="n">
        <f aca="false">C143*'Revenues &amp; Expenses'!N130</f>
        <v>4296.34170158091</v>
      </c>
      <c r="I143" s="348" t="n">
        <f aca="false">F143*'Company Power Prices'!C143</f>
        <v>198686.411214652</v>
      </c>
      <c r="J143" s="349"/>
      <c r="K143" s="348" t="n">
        <f aca="false">F143*'Company Gas Prices'!E143</f>
        <v>272199.35498807</v>
      </c>
    </row>
    <row r="144" customFormat="false" ht="15.75" hidden="false" customHeight="false" outlineLevel="0" collapsed="false">
      <c r="A144" s="334" t="n">
        <v>5</v>
      </c>
      <c r="B144" s="269" t="n">
        <v>40299</v>
      </c>
      <c r="C144" s="338" t="n">
        <f aca="false">VLOOKUP(A156,$A$5:$M$16,13)</f>
        <v>16716.8020650649</v>
      </c>
      <c r="E144" s="333" t="n">
        <f aca="false">E143+1</f>
        <v>114</v>
      </c>
      <c r="F144" s="348" t="n">
        <f aca="false">C144*'Revenues &amp; Expenses'!N131</f>
        <v>7889.37287930592</v>
      </c>
      <c r="I144" s="348" t="n">
        <f aca="false">F144*'Company Power Prices'!C144</f>
        <v>459051.896174961</v>
      </c>
      <c r="J144" s="349"/>
      <c r="K144" s="348" t="n">
        <f aca="false">F144*'Company Gas Prices'!E144</f>
        <v>488001.620704199</v>
      </c>
    </row>
    <row r="145" customFormat="false" ht="15.75" hidden="false" customHeight="false" outlineLevel="0" collapsed="false">
      <c r="A145" s="334" t="n">
        <v>6</v>
      </c>
      <c r="B145" s="269" t="n">
        <v>40330</v>
      </c>
      <c r="C145" s="338" t="n">
        <f aca="false">VLOOKUP(A157,$A$5:$M$16,13)</f>
        <v>32682.8763411827</v>
      </c>
      <c r="E145" s="333" t="n">
        <f aca="false">E144+1</f>
        <v>115</v>
      </c>
      <c r="F145" s="348" t="n">
        <f aca="false">C145*'Revenues &amp; Expenses'!N132</f>
        <v>15329.8895265093</v>
      </c>
      <c r="I145" s="348" t="n">
        <f aca="false">F145*'Company Power Prices'!C145</f>
        <v>1642367.15794758</v>
      </c>
      <c r="J145" s="349"/>
      <c r="K145" s="348" t="n">
        <f aca="false">F145*'Company Gas Prices'!E145</f>
        <v>947876.829008506</v>
      </c>
    </row>
    <row r="146" customFormat="false" ht="15.75" hidden="false" customHeight="false" outlineLevel="0" collapsed="false">
      <c r="A146" s="334" t="n">
        <v>7</v>
      </c>
      <c r="B146" s="269" t="n">
        <v>40360</v>
      </c>
      <c r="C146" s="338" t="n">
        <f aca="false">VLOOKUP(A158,$A$5:$M$16,13)</f>
        <v>51393.1508481658</v>
      </c>
      <c r="E146" s="333" t="n">
        <f aca="false">E145+1</f>
        <v>116</v>
      </c>
      <c r="F146" s="348" t="n">
        <f aca="false">C146*'Revenues &amp; Expenses'!N133</f>
        <v>23962.9326429306</v>
      </c>
      <c r="I146" s="348" t="n">
        <f aca="false">F146*'Company Power Prices'!C146</f>
        <v>4074788.83637423</v>
      </c>
      <c r="J146" s="349"/>
      <c r="K146" s="348" t="n">
        <f aca="false">F146*'Company Gas Prices'!E146</f>
        <v>1474416.58765369</v>
      </c>
    </row>
    <row r="147" customFormat="false" ht="15.75" hidden="false" customHeight="false" outlineLevel="0" collapsed="false">
      <c r="A147" s="334" t="n">
        <v>8</v>
      </c>
      <c r="B147" s="269" t="n">
        <v>40391</v>
      </c>
      <c r="C147" s="338" t="n">
        <f aca="false">VLOOKUP(A159,$A$5:$M$16,13)</f>
        <v>34262.1005651151</v>
      </c>
      <c r="E147" s="333" t="n">
        <f aca="false">E146+1</f>
        <v>117</v>
      </c>
      <c r="F147" s="348" t="n">
        <f aca="false">C147*'Revenues &amp; Expenses'!N134</f>
        <v>15877.3823533947</v>
      </c>
      <c r="I147" s="348" t="n">
        <f aca="false">F147*'Company Power Prices'!C147</f>
        <v>2699877.40350906</v>
      </c>
      <c r="J147" s="349"/>
      <c r="K147" s="348" t="n">
        <f aca="false">F147*'Company Gas Prices'!E147</f>
        <v>977816.61565197</v>
      </c>
    </row>
    <row r="148" customFormat="false" ht="15.75" hidden="false" customHeight="false" outlineLevel="0" collapsed="false">
      <c r="A148" s="334" t="n">
        <v>9</v>
      </c>
      <c r="B148" s="269" t="n">
        <v>40422</v>
      </c>
      <c r="C148" s="338" t="n">
        <f aca="false">VLOOKUP(A160,$A$5:$M$16,13)</f>
        <v>20431.6469685222</v>
      </c>
      <c r="E148" s="333" t="n">
        <f aca="false">E147+1</f>
        <v>118</v>
      </c>
      <c r="F148" s="348" t="n">
        <f aca="false">C148*'Revenues &amp; Expenses'!N135</f>
        <v>9410.20007256108</v>
      </c>
      <c r="I148" s="348" t="n">
        <f aca="false">F148*'Company Power Prices'!C148</f>
        <v>547542.910289589</v>
      </c>
      <c r="J148" s="349"/>
      <c r="K148" s="348" t="n">
        <f aca="false">F148*'Company Gas Prices'!E148</f>
        <v>584195.751912024</v>
      </c>
    </row>
    <row r="149" customFormat="false" ht="15.75" hidden="false" customHeight="false" outlineLevel="0" collapsed="false">
      <c r="A149" s="334" t="n">
        <v>10</v>
      </c>
      <c r="B149" s="269" t="n">
        <v>40452</v>
      </c>
      <c r="C149" s="338" t="n">
        <f aca="false">VLOOKUP(A161,$A$5:$M$16,13)</f>
        <v>3440.11503923111</v>
      </c>
      <c r="E149" s="333" t="n">
        <f aca="false">E148+1</f>
        <v>119</v>
      </c>
      <c r="F149" s="348" t="n">
        <f aca="false">C149*'Revenues &amp; Expenses'!N136</f>
        <v>1575.01781821753</v>
      </c>
      <c r="I149" s="348" t="n">
        <f aca="false">F149*'Company Power Prices'!C149</f>
        <v>75798.8078923843</v>
      </c>
      <c r="J149" s="349"/>
      <c r="K149" s="348" t="n">
        <f aca="false">F149*'Company Gas Prices'!E149</f>
        <v>97270.978150991</v>
      </c>
    </row>
    <row r="150" customFormat="false" ht="15.75" hidden="false" customHeight="false" outlineLevel="0" collapsed="false">
      <c r="A150" s="334" t="n">
        <v>11</v>
      </c>
      <c r="B150" s="269" t="n">
        <v>40483</v>
      </c>
      <c r="C150" s="338" t="n">
        <f aca="false">VLOOKUP(A162,$A$5:$M$16,13)</f>
        <v>8417.26740124044</v>
      </c>
      <c r="E150" s="333" t="n">
        <f aca="false">E149+1</f>
        <v>120</v>
      </c>
      <c r="F150" s="348" t="n">
        <f aca="false">C150*'Revenues &amp; Expenses'!N137</f>
        <v>3830.14236254839</v>
      </c>
      <c r="I150" s="348" t="n">
        <f aca="false">F150*'Company Power Prices'!C150</f>
        <v>192627.545076565</v>
      </c>
      <c r="J150" s="349"/>
      <c r="K150" s="348" t="n">
        <f aca="false">F150*'Company Gas Prices'!E150</f>
        <v>236762.09106539</v>
      </c>
    </row>
    <row r="151" customFormat="false" ht="15.75" hidden="false" customHeight="false" outlineLevel="0" collapsed="false">
      <c r="A151" s="334" t="n">
        <v>12</v>
      </c>
      <c r="B151" s="269" t="n">
        <v>40513</v>
      </c>
      <c r="C151" s="338" t="n">
        <f aca="false">VLOOKUP(A163,$A$5:$M$16,13)</f>
        <v>8417.26740124044</v>
      </c>
      <c r="D151" s="342" t="n">
        <f aca="false">SUM(C140:C151)</f>
        <v>202341.900104478</v>
      </c>
      <c r="E151" s="333" t="n">
        <f aca="false">E150+1</f>
        <v>121</v>
      </c>
      <c r="F151" s="348" t="n">
        <f aca="false">C151*'Revenues &amp; Expenses'!N138</f>
        <v>3807.4362564387</v>
      </c>
      <c r="G151" s="350" t="n">
        <f aca="false">SUM(F140:F151)</f>
        <v>94449.1766390303</v>
      </c>
      <c r="H151" s="342" t="n">
        <f aca="false">D151</f>
        <v>202341.900104478</v>
      </c>
      <c r="I151" s="348" t="n">
        <f aca="false">F151*'Company Power Prices'!C151</f>
        <v>191485.597581108</v>
      </c>
      <c r="J151" s="349" t="n">
        <f aca="false">SUM(I140:I151)/SUM(F140:F151)</f>
        <v>110.986803374714</v>
      </c>
      <c r="K151" s="348" t="n">
        <f aca="false">F151*'Company Gas Prices'!E151</f>
        <v>235575.35255366</v>
      </c>
      <c r="L151" s="349" t="n">
        <f aca="false">SUM(K140:K151)/SUM(F140:F151)</f>
        <v>61.8074065241208</v>
      </c>
    </row>
    <row r="152" customFormat="false" ht="15.75" hidden="false" customHeight="false" outlineLevel="0" collapsed="false">
      <c r="A152" s="334" t="n">
        <v>1</v>
      </c>
      <c r="B152" s="269" t="n">
        <v>40544</v>
      </c>
      <c r="C152" s="338" t="n">
        <f aca="false">VLOOKUP(A164,$A$5:$N$16,14)</f>
        <v>16126.6492199058</v>
      </c>
      <c r="E152" s="333" t="n">
        <f aca="false">E151+1</f>
        <v>122</v>
      </c>
      <c r="F152" s="348" t="n">
        <f aca="false">C152*'Revenues &amp; Expenses'!N139</f>
        <v>7249.99433297083</v>
      </c>
      <c r="I152" s="348" t="n">
        <f aca="false">F152*'Company Power Prices'!C152</f>
        <v>345295.863258602</v>
      </c>
      <c r="J152" s="349"/>
      <c r="K152" s="348" t="n">
        <f aca="false">F152*'Company Gas Prices'!E152</f>
        <v>452967.415118152</v>
      </c>
    </row>
    <row r="153" customFormat="false" ht="15.75" hidden="false" customHeight="false" outlineLevel="0" collapsed="false">
      <c r="A153" s="334" t="n">
        <v>2</v>
      </c>
      <c r="B153" s="269" t="n">
        <v>40575</v>
      </c>
      <c r="C153" s="338" t="n">
        <f aca="false">VLOOKUP(A165,$A$5:$N$16,14)</f>
        <v>670.643735741778</v>
      </c>
      <c r="E153" s="333" t="n">
        <f aca="false">E152+1</f>
        <v>123</v>
      </c>
      <c r="F153" s="348" t="n">
        <f aca="false">C153*'Revenues &amp; Expenses'!N140</f>
        <v>299.652412371221</v>
      </c>
      <c r="I153" s="348" t="n">
        <f aca="false">F153*'Company Power Prices'!C153</f>
        <v>12548.0981631113</v>
      </c>
      <c r="J153" s="349"/>
      <c r="K153" s="348" t="n">
        <f aca="false">F153*'Company Gas Prices'!E153</f>
        <v>18738.919689511</v>
      </c>
    </row>
    <row r="154" customFormat="false" ht="15.75" hidden="false" customHeight="false" outlineLevel="0" collapsed="false">
      <c r="A154" s="334" t="n">
        <v>3</v>
      </c>
      <c r="B154" s="269" t="n">
        <v>40603</v>
      </c>
      <c r="C154" s="338" t="n">
        <f aca="false">VLOOKUP(A166,$A$5:$N$16,14)</f>
        <v>670.643735741778</v>
      </c>
      <c r="E154" s="333" t="n">
        <f aca="false">E153+1</f>
        <v>124</v>
      </c>
      <c r="F154" s="348" t="n">
        <f aca="false">C154*'Revenues &amp; Expenses'!N141</f>
        <v>297.994761620119</v>
      </c>
      <c r="I154" s="348" t="n">
        <f aca="false">F154*'Company Power Prices'!C154</f>
        <v>12478.6831893409</v>
      </c>
      <c r="J154" s="349"/>
      <c r="K154" s="348" t="n">
        <f aca="false">F154*'Company Gas Prices'!E154</f>
        <v>18652.3431771188</v>
      </c>
    </row>
    <row r="155" customFormat="false" ht="15.75" hidden="false" customHeight="false" outlineLevel="0" collapsed="false">
      <c r="A155" s="334" t="n">
        <v>4</v>
      </c>
      <c r="B155" s="269" t="n">
        <v>40634</v>
      </c>
      <c r="C155" s="338" t="n">
        <f aca="false">VLOOKUP(A167,$A$5:$N$16,14)</f>
        <v>8508.936632532</v>
      </c>
      <c r="E155" s="333" t="n">
        <f aca="false">E154+1</f>
        <v>125</v>
      </c>
      <c r="F155" s="348" t="n">
        <f aca="false">C155*'Revenues &amp; Expenses'!N142</f>
        <v>3757.7261338618</v>
      </c>
      <c r="I155" s="348" t="n">
        <f aca="false">F155*'Company Power Prices'!C155</f>
        <v>173932.266061165</v>
      </c>
      <c r="J155" s="349"/>
      <c r="K155" s="348" t="n">
        <f aca="false">F155*'Company Gas Prices'!E155</f>
        <v>240634.55194147</v>
      </c>
    </row>
    <row r="156" customFormat="false" ht="15.75" hidden="false" customHeight="false" outlineLevel="0" collapsed="false">
      <c r="A156" s="334" t="n">
        <v>5</v>
      </c>
      <c r="B156" s="269" t="n">
        <v>40664</v>
      </c>
      <c r="C156" s="338" t="n">
        <f aca="false">VLOOKUP(A168,$A$5:$N$16,14)</f>
        <v>16689.445243884</v>
      </c>
      <c r="E156" s="333" t="n">
        <f aca="false">E155+1</f>
        <v>126</v>
      </c>
      <c r="F156" s="348" t="n">
        <f aca="false">C156*'Revenues &amp; Expenses'!N143</f>
        <v>7326.74699742073</v>
      </c>
      <c r="I156" s="348" t="n">
        <f aca="false">F156*'Company Power Prices'!C156</f>
        <v>417762.296858861</v>
      </c>
      <c r="J156" s="349"/>
      <c r="K156" s="348" t="n">
        <f aca="false">F156*'Company Gas Prices'!E156</f>
        <v>458202.158040681</v>
      </c>
    </row>
    <row r="157" customFormat="false" ht="15.75" hidden="false" customHeight="false" outlineLevel="0" collapsed="false">
      <c r="A157" s="334" t="n">
        <v>6</v>
      </c>
      <c r="B157" s="269" t="n">
        <v>40695</v>
      </c>
      <c r="C157" s="338" t="n">
        <f aca="false">VLOOKUP(A169,$A$5:$N$16,14)</f>
        <v>31891.2339763702</v>
      </c>
      <c r="E157" s="333" t="n">
        <f aca="false">E156+1</f>
        <v>127</v>
      </c>
      <c r="F157" s="348" t="n">
        <f aca="false">C157*'Revenues &amp; Expenses'!N144</f>
        <v>13914.718342202</v>
      </c>
      <c r="I157" s="348" t="n">
        <f aca="false">F157*'Company Power Prices'!C157</f>
        <v>1452256.63518693</v>
      </c>
      <c r="J157" s="349"/>
      <c r="K157" s="348" t="n">
        <f aca="false">F157*'Company Gas Prices'!E157</f>
        <v>869894.947596015</v>
      </c>
    </row>
    <row r="158" customFormat="false" ht="15.75" hidden="false" customHeight="false" outlineLevel="0" collapsed="false">
      <c r="A158" s="334" t="n">
        <v>7</v>
      </c>
      <c r="B158" s="269" t="n">
        <v>40725</v>
      </c>
      <c r="C158" s="338" t="n">
        <f aca="false">VLOOKUP(A170,$A$5:$N$16,14)</f>
        <v>50841.0314006716</v>
      </c>
      <c r="E158" s="333" t="n">
        <f aca="false">E157+1</f>
        <v>128</v>
      </c>
      <c r="F158" s="348" t="n">
        <f aca="false">C158*'Revenues &amp; Expenses'!N145</f>
        <v>22051.4731095138</v>
      </c>
      <c r="I158" s="348" t="n">
        <f aca="false">F158*'Company Power Prices'!C158</f>
        <v>3605963.85456375</v>
      </c>
      <c r="J158" s="349"/>
      <c r="K158" s="348" t="n">
        <f aca="false">F158*'Company Gas Prices'!E158</f>
        <v>1371928.15648512</v>
      </c>
    </row>
    <row r="159" customFormat="false" ht="15.75" hidden="false" customHeight="false" outlineLevel="0" collapsed="false">
      <c r="A159" s="334" t="n">
        <v>8</v>
      </c>
      <c r="B159" s="269" t="n">
        <v>40756</v>
      </c>
      <c r="C159" s="338" t="n">
        <f aca="false">VLOOKUP(A171,$A$5:$N$16,14)</f>
        <v>33894.0209341098</v>
      </c>
      <c r="E159" s="333" t="n">
        <f aca="false">E158+1</f>
        <v>129</v>
      </c>
      <c r="F159" s="348" t="n">
        <f aca="false">C159*'Revenues &amp; Expenses'!N146</f>
        <v>14611.0313878321</v>
      </c>
      <c r="I159" s="348" t="n">
        <f aca="false">F159*'Company Power Prices'!C159</f>
        <v>2389266.73065157</v>
      </c>
      <c r="J159" s="349"/>
      <c r="K159" s="348" t="n">
        <f aca="false">F159*'Company Gas Prices'!E159</f>
        <v>909869.581666269</v>
      </c>
    </row>
    <row r="160" customFormat="false" ht="15.75" hidden="false" customHeight="false" outlineLevel="0" collapsed="false">
      <c r="A160" s="334" t="n">
        <v>9</v>
      </c>
      <c r="B160" s="269" t="n">
        <v>40787</v>
      </c>
      <c r="C160" s="338" t="n">
        <f aca="false">VLOOKUP(A172,$A$5:$N$16,14)</f>
        <v>20398.210853636</v>
      </c>
      <c r="E160" s="333" t="n">
        <f aca="false">E159+1</f>
        <v>130</v>
      </c>
      <c r="F160" s="348" t="n">
        <f aca="false">C160*'Revenues &amp; Expenses'!N147</f>
        <v>8739.46305115687</v>
      </c>
      <c r="I160" s="348" t="n">
        <f aca="false">F160*'Company Power Prices'!C160</f>
        <v>498313.666194523</v>
      </c>
      <c r="J160" s="349"/>
      <c r="K160" s="348" t="n">
        <f aca="false">F160*'Company Gas Prices'!E160</f>
        <v>548575.431579386</v>
      </c>
    </row>
    <row r="161" customFormat="false" ht="15.75" hidden="false" customHeight="false" outlineLevel="0" collapsed="false">
      <c r="A161" s="334" t="n">
        <v>10</v>
      </c>
      <c r="B161" s="269" t="n">
        <v>40817</v>
      </c>
      <c r="C161" s="338" t="n">
        <f aca="false">VLOOKUP(A173,$A$5:$N$16,14)</f>
        <v>3391.09689036222</v>
      </c>
      <c r="E161" s="333" t="n">
        <f aca="false">E160+1</f>
        <v>131</v>
      </c>
      <c r="F161" s="348" t="n">
        <f aca="false">C161*'Revenues &amp; Expenses'!N148</f>
        <v>1444.28894599436</v>
      </c>
      <c r="I161" s="348" t="n">
        <f aca="false">F161*'Company Power Prices'!C161</f>
        <v>69623.9533147151</v>
      </c>
      <c r="J161" s="349"/>
      <c r="K161" s="348" t="n">
        <f aca="false">F161*'Company Gas Prices'!E161</f>
        <v>90194.3835433666</v>
      </c>
    </row>
    <row r="162" customFormat="false" ht="15.75" hidden="false" customHeight="false" outlineLevel="0" collapsed="false">
      <c r="A162" s="334" t="n">
        <v>11</v>
      </c>
      <c r="B162" s="269" t="n">
        <v>40848</v>
      </c>
      <c r="C162" s="338" t="n">
        <f aca="false">VLOOKUP(A174,$A$5:$N$16,14)</f>
        <v>8202.20827645644</v>
      </c>
      <c r="E162" s="333" t="n">
        <f aca="false">E161+1</f>
        <v>132</v>
      </c>
      <c r="F162" s="348" t="n">
        <f aca="false">C162*'Revenues &amp; Expenses'!N149</f>
        <v>3472.00465650217</v>
      </c>
      <c r="I162" s="348" t="n">
        <f aca="false">F162*'Company Power Prices'!C162</f>
        <v>174735.101086024</v>
      </c>
      <c r="J162" s="349"/>
      <c r="K162" s="348" t="n">
        <f aca="false">F162*'Company Gas Prices'!E162</f>
        <v>217025.813096863</v>
      </c>
    </row>
    <row r="163" customFormat="false" ht="15.75" hidden="false" customHeight="false" outlineLevel="0" collapsed="false">
      <c r="A163" s="334" t="n">
        <v>12</v>
      </c>
      <c r="B163" s="269" t="n">
        <v>40878</v>
      </c>
      <c r="C163" s="338" t="n">
        <f aca="false">VLOOKUP(A175,$A$5:$N$16,14)</f>
        <v>8202.20827645644</v>
      </c>
      <c r="D163" s="342" t="n">
        <f aca="false">SUM(C152:C163)</f>
        <v>199486.329175868</v>
      </c>
      <c r="E163" s="333" t="n">
        <f aca="false">E162+1</f>
        <v>133</v>
      </c>
      <c r="F163" s="348" t="n">
        <f aca="false">C163*'Revenues &amp; Expenses'!N150</f>
        <v>3451.45499005738</v>
      </c>
      <c r="G163" s="350" t="n">
        <f aca="false">SUM(F152:F163)</f>
        <v>86616.5491215034</v>
      </c>
      <c r="H163" s="342" t="n">
        <f aca="false">D163</f>
        <v>199486.329175868</v>
      </c>
      <c r="I163" s="348" t="n">
        <f aca="false">F163*'Company Power Prices'!C163</f>
        <v>173700.900847615</v>
      </c>
      <c r="J163" s="349" t="n">
        <f aca="false">SUM(I152:I163)/SUM(F152:F163)</f>
        <v>107.66854768474</v>
      </c>
      <c r="K163" s="348" t="n">
        <f aca="false">F163*'Company Gas Prices'!E163</f>
        <v>215943.191071413</v>
      </c>
      <c r="L163" s="349" t="n">
        <f aca="false">SUM(K152:K163)/SUM(F152:F163)</f>
        <v>62.4895236291702</v>
      </c>
    </row>
    <row r="164" customFormat="false" ht="15.75" hidden="false" customHeight="false" outlineLevel="0" collapsed="false">
      <c r="A164" s="334" t="n">
        <v>1</v>
      </c>
      <c r="B164" s="269" t="n">
        <v>40909</v>
      </c>
      <c r="C164" s="338" t="n">
        <f aca="false">VLOOKUP(A176,$A$5:$O$16,15)</f>
        <v>16838.5655785044</v>
      </c>
      <c r="E164" s="333" t="n">
        <f aca="false">E163+1</f>
        <v>134</v>
      </c>
      <c r="F164" s="348" t="n">
        <f aca="false">C164*'Revenues &amp; Expenses'!N151</f>
        <v>7042.27296524175</v>
      </c>
      <c r="I164" s="348" t="n">
        <f aca="false">F164*'Company Power Prices'!C164</f>
        <v>334810.862952905</v>
      </c>
      <c r="J164" s="349"/>
      <c r="K164" s="348" t="n">
        <f aca="false">F164*'Company Gas Prices'!E164</f>
        <v>444883.355968737</v>
      </c>
    </row>
    <row r="165" customFormat="false" ht="15.75" hidden="false" customHeight="false" outlineLevel="0" collapsed="false">
      <c r="A165" s="334" t="n">
        <v>2</v>
      </c>
      <c r="B165" s="269" t="n">
        <v>40940</v>
      </c>
      <c r="C165" s="338" t="n">
        <f aca="false">VLOOKUP(A177,$A$5:$O$16,15)</f>
        <v>670.643735741778</v>
      </c>
      <c r="E165" s="333" t="n">
        <f aca="false">E164+1</f>
        <v>135</v>
      </c>
      <c r="F165" s="348" t="n">
        <f aca="false">C165*'Revenues &amp; Expenses'!N152</f>
        <v>278.763778900597</v>
      </c>
      <c r="I165" s="348" t="n">
        <f aca="false">F165*'Company Power Prices'!C165</f>
        <v>11662.1457383104</v>
      </c>
      <c r="J165" s="349"/>
      <c r="K165" s="348" t="n">
        <f aca="false">F165*'Company Gas Prices'!E165</f>
        <v>17626.7953431012</v>
      </c>
    </row>
    <row r="166" customFormat="false" ht="15.75" hidden="false" customHeight="false" outlineLevel="0" collapsed="false">
      <c r="A166" s="334" t="n">
        <v>3</v>
      </c>
      <c r="B166" s="269" t="n">
        <v>40969</v>
      </c>
      <c r="C166" s="338" t="n">
        <f aca="false">VLOOKUP(A178,$A$5:$O$16,15)</f>
        <v>670.643735741778</v>
      </c>
      <c r="E166" s="333" t="n">
        <f aca="false">E165+1</f>
        <v>136</v>
      </c>
      <c r="F166" s="348" t="n">
        <f aca="false">C166*'Revenues &amp; Expenses'!N153</f>
        <v>277.169354288361</v>
      </c>
      <c r="I166" s="348" t="n">
        <f aca="false">F166*'Company Power Prices'!C166</f>
        <v>11595.4426240464</v>
      </c>
      <c r="J166" s="349"/>
      <c r="K166" s="348" t="n">
        <f aca="false">F166*'Company Gas Prices'!E166</f>
        <v>17542.2972488749</v>
      </c>
    </row>
    <row r="167" customFormat="false" ht="15.75" hidden="false" customHeight="false" outlineLevel="0" collapsed="false">
      <c r="A167" s="334" t="n">
        <v>4</v>
      </c>
      <c r="B167" s="269" t="n">
        <v>41000</v>
      </c>
      <c r="C167" s="338" t="n">
        <f aca="false">VLOOKUP(A179,$A$5:$O$16,15)</f>
        <v>8401.98934264356</v>
      </c>
      <c r="E167" s="333" t="n">
        <f aca="false">E166+1</f>
        <v>137</v>
      </c>
      <c r="F167" s="348" t="n">
        <f aca="false">C167*'Revenues &amp; Expenses'!N154</f>
        <v>3451.22190797019</v>
      </c>
      <c r="I167" s="348" t="n">
        <f aca="false">F167*'Company Power Prices'!C167</f>
        <v>159842.341744261</v>
      </c>
      <c r="J167" s="349"/>
      <c r="K167" s="348" t="n">
        <f aca="false">F167*'Company Gas Prices'!E167</f>
        <v>223421.307356435</v>
      </c>
    </row>
    <row r="168" customFormat="false" ht="15.75" hidden="false" customHeight="false" outlineLevel="0" collapsed="false">
      <c r="A168" s="334" t="n">
        <v>5</v>
      </c>
      <c r="B168" s="269" t="n">
        <v>41030</v>
      </c>
      <c r="C168" s="338" t="n">
        <f aca="false">VLOOKUP(A180,$A$5:$O$16,15)</f>
        <v>17184.9594521111</v>
      </c>
      <c r="E168" s="333" t="n">
        <f aca="false">E167+1</f>
        <v>138</v>
      </c>
      <c r="F168" s="348" t="n">
        <f aca="false">C168*'Revenues &amp; Expenses'!N155</f>
        <v>7017.18506635204</v>
      </c>
      <c r="I168" s="348" t="n">
        <f aca="false">F168*'Company Power Prices'!C168</f>
        <v>393098.429881368</v>
      </c>
      <c r="J168" s="349"/>
      <c r="K168" s="348" t="n">
        <f aca="false">F168*'Company Gas Prices'!E168</f>
        <v>443762.773960604</v>
      </c>
    </row>
    <row r="169" customFormat="false" ht="15.75" hidden="false" customHeight="false" outlineLevel="0" collapsed="false">
      <c r="A169" s="334" t="n">
        <v>6</v>
      </c>
      <c r="B169" s="269" t="n">
        <v>41061</v>
      </c>
      <c r="C169" s="338" t="n">
        <f aca="false">VLOOKUP(A181,$A$5:$O$16,15)</f>
        <v>31246.8057768533</v>
      </c>
      <c r="E169" s="333" t="n">
        <f aca="false">E168+1</f>
        <v>139</v>
      </c>
      <c r="F169" s="348" t="n">
        <f aca="false">C169*'Revenues &amp; Expenses'!N156</f>
        <v>12681.1368971806</v>
      </c>
      <c r="I169" s="348" t="n">
        <f aca="false">F169*'Company Power Prices'!C169</f>
        <v>1281140.80353698</v>
      </c>
      <c r="J169" s="349"/>
      <c r="K169" s="348" t="n">
        <f aca="false">F169*'Company Gas Prices'!E169</f>
        <v>801687.274450626</v>
      </c>
    </row>
    <row r="170" customFormat="false" ht="15.75" hidden="false" customHeight="false" outlineLevel="0" collapsed="false">
      <c r="A170" s="334" t="n">
        <v>7</v>
      </c>
      <c r="B170" s="269" t="n">
        <v>41091</v>
      </c>
      <c r="C170" s="338" t="n">
        <f aca="false">VLOOKUP(A182,$A$5:$O$16,15)</f>
        <v>53690.5138745578</v>
      </c>
      <c r="E170" s="333" t="n">
        <f aca="false">E169+1</f>
        <v>140</v>
      </c>
      <c r="F170" s="348" t="n">
        <f aca="false">C170*'Revenues &amp; Expenses'!N157</f>
        <v>21660.799601117</v>
      </c>
      <c r="I170" s="348" t="n">
        <f aca="false">F170*'Company Power Prices'!C170</f>
        <v>3368595.97427109</v>
      </c>
      <c r="J170" s="349"/>
      <c r="K170" s="348" t="n">
        <f aca="false">F170*'Company Gas Prices'!E170</f>
        <v>1362877.49726414</v>
      </c>
    </row>
    <row r="171" customFormat="false" ht="15.75" hidden="false" customHeight="false" outlineLevel="0" collapsed="false">
      <c r="A171" s="334" t="n">
        <v>8</v>
      </c>
      <c r="B171" s="269" t="n">
        <v>41122</v>
      </c>
      <c r="C171" s="338" t="n">
        <f aca="false">VLOOKUP(A183,$A$5:$O$16,15)</f>
        <v>35793.6759170293</v>
      </c>
      <c r="E171" s="333" t="n">
        <f aca="false">E170+1</f>
        <v>141</v>
      </c>
      <c r="F171" s="348" t="n">
        <f aca="false">C171*'Revenues &amp; Expenses'!N158</f>
        <v>14352.3194887634</v>
      </c>
      <c r="I171" s="348" t="n">
        <f aca="false">F171*'Company Power Prices'!C171</f>
        <v>2232012.04672092</v>
      </c>
      <c r="J171" s="349"/>
      <c r="K171" s="348" t="n">
        <f aca="false">F171*'Company Gas Prices'!E171</f>
        <v>903889.223788093</v>
      </c>
    </row>
    <row r="172" customFormat="false" ht="15.75" hidden="false" customHeight="false" outlineLevel="0" collapsed="false">
      <c r="A172" s="334" t="n">
        <v>9</v>
      </c>
      <c r="B172" s="269" t="n">
        <v>41153</v>
      </c>
      <c r="C172" s="338" t="n">
        <f aca="false">VLOOKUP(A184,$A$5:$O$16,15)</f>
        <v>21003.8393302484</v>
      </c>
      <c r="E172" s="333" t="n">
        <f aca="false">E171+1</f>
        <v>142</v>
      </c>
      <c r="F172" s="348" t="n">
        <f aca="false">C172*'Revenues &amp; Expenses'!N159</f>
        <v>8370.54460644671</v>
      </c>
      <c r="I172" s="348" t="n">
        <f aca="false">F172*'Company Power Prices'!C172</f>
        <v>468912.806336563</v>
      </c>
      <c r="J172" s="349"/>
      <c r="K172" s="348" t="n">
        <f aca="false">F172*'Company Gas Prices'!E172</f>
        <v>531339.793771809</v>
      </c>
    </row>
    <row r="173" customFormat="false" ht="15.75" hidden="false" customHeight="false" outlineLevel="0" collapsed="false">
      <c r="A173" s="334" t="n">
        <v>10</v>
      </c>
      <c r="B173" s="269" t="n">
        <v>41183</v>
      </c>
      <c r="C173" s="338" t="n">
        <f aca="false">VLOOKUP(A185,$A$5:$O$16,15)</f>
        <v>3704.29835938711</v>
      </c>
      <c r="E173" s="333" t="n">
        <f aca="false">E172+1</f>
        <v>143</v>
      </c>
      <c r="F173" s="348" t="n">
        <f aca="false">C173*'Revenues &amp; Expenses'!N160</f>
        <v>1467.52802633991</v>
      </c>
      <c r="I173" s="348" t="n">
        <f aca="false">F173*'Company Power Prices'!C173</f>
        <v>70694.2812040482</v>
      </c>
      <c r="J173" s="349"/>
      <c r="K173" s="348" t="n">
        <f aca="false">F173*'Company Gas Prices'!E173</f>
        <v>92686.0811100835</v>
      </c>
    </row>
    <row r="174" customFormat="false" ht="15.75" hidden="false" customHeight="false" outlineLevel="0" collapsed="false">
      <c r="A174" s="334" t="n">
        <v>11</v>
      </c>
      <c r="B174" s="269" t="n">
        <v>41214</v>
      </c>
      <c r="C174" s="338" t="n">
        <f aca="false">VLOOKUP(A186,$A$5:$O$16,15)</f>
        <v>8015.794451476</v>
      </c>
      <c r="E174" s="333" t="n">
        <f aca="false">E173+1</f>
        <v>144</v>
      </c>
      <c r="F174" s="348" t="n">
        <f aca="false">C174*'Revenues &amp; Expenses'!N161</f>
        <v>3156.21788415723</v>
      </c>
      <c r="I174" s="348" t="n">
        <f aca="false">F174*'Company Power Prices'!C174</f>
        <v>158821.946471543</v>
      </c>
      <c r="J174" s="349"/>
      <c r="K174" s="348" t="n">
        <f aca="false">F174*'Company Gas Prices'!E174</f>
        <v>199529.471263776</v>
      </c>
    </row>
    <row r="175" customFormat="false" ht="15.75" hidden="false" customHeight="false" outlineLevel="0" collapsed="false">
      <c r="A175" s="334" t="n">
        <v>12</v>
      </c>
      <c r="B175" s="269" t="n">
        <v>41244</v>
      </c>
      <c r="C175" s="338" t="n">
        <f aca="false">VLOOKUP(A187,$A$5:$O$16,15)</f>
        <v>8015.794451476</v>
      </c>
      <c r="D175" s="342" t="n">
        <f aca="false">SUM(C164:C175)</f>
        <v>205237.524005771</v>
      </c>
      <c r="E175" s="333" t="n">
        <f aca="false">E174+1</f>
        <v>145</v>
      </c>
      <c r="F175" s="348" t="n">
        <f aca="false">C175*'Revenues &amp; Expenses'!N162</f>
        <v>3137.56761620853</v>
      </c>
      <c r="G175" s="350" t="n">
        <f aca="false">SUM(F164:F175)</f>
        <v>82892.7271929664</v>
      </c>
      <c r="H175" s="342" t="n">
        <f aca="false">D175</f>
        <v>205237.524005771</v>
      </c>
      <c r="I175" s="348" t="n">
        <f aca="false">F175*'Company Power Prices'!C175</f>
        <v>157883.458709751</v>
      </c>
      <c r="J175" s="349" t="n">
        <f aca="false">SUM(I164:I175)/SUM(F164:F175)</f>
        <v>104.340523385816</v>
      </c>
      <c r="K175" s="348" t="n">
        <f aca="false">F175*'Company Gas Prices'!E175</f>
        <v>198538.918811081</v>
      </c>
      <c r="L175" s="349" t="n">
        <f aca="false">SUM(K164:K175)/SUM(F164:F175)</f>
        <v>63.1875071276675</v>
      </c>
    </row>
    <row r="176" customFormat="false" ht="15.75" hidden="false" customHeight="false" outlineLevel="0" collapsed="false">
      <c r="A176" s="334" t="n">
        <v>1</v>
      </c>
      <c r="B176" s="269" t="n">
        <v>41275</v>
      </c>
      <c r="C176" s="338" t="n">
        <f aca="false">VLOOKUP(A188,$A$5:$P$16,16)</f>
        <v>17438.0181096613</v>
      </c>
      <c r="E176" s="333" t="n">
        <f aca="false">E175+1</f>
        <v>146</v>
      </c>
      <c r="F176" s="348" t="n">
        <f aca="false">C176*'Revenues &amp; Expenses'!N163</f>
        <v>6783.97641547477</v>
      </c>
      <c r="I176" s="348" t="n">
        <f aca="false">F176*'Company Power Prices'!C176</f>
        <v>322334.28340594</v>
      </c>
      <c r="J176" s="349"/>
      <c r="K176" s="348" t="n">
        <f aca="false">F176*'Company Gas Prices'!E176</f>
        <v>433407.730840627</v>
      </c>
    </row>
    <row r="177" customFormat="false" ht="15.75" hidden="false" customHeight="false" outlineLevel="0" collapsed="false">
      <c r="A177" s="334" t="n">
        <v>2</v>
      </c>
      <c r="B177" s="269" t="n">
        <v>41306</v>
      </c>
      <c r="C177" s="338" t="n">
        <f aca="false">VLOOKUP(A189,$A$5:$P$16,16)</f>
        <v>626.400405431111</v>
      </c>
      <c r="E177" s="333" t="n">
        <f aca="false">E176+1</f>
        <v>147</v>
      </c>
      <c r="F177" s="348" t="n">
        <f aca="false">C177*'Revenues &amp; Expenses'!N164</f>
        <v>242.20342840456</v>
      </c>
      <c r="I177" s="348" t="n">
        <f aca="false">F177*'Company Power Prices'!C177</f>
        <v>10138.1421034566</v>
      </c>
      <c r="J177" s="349"/>
      <c r="K177" s="348" t="n">
        <f aca="false">F177*'Company Gas Prices'!E177</f>
        <v>15488.2586143398</v>
      </c>
    </row>
    <row r="178" customFormat="false" ht="15.75" hidden="false" customHeight="false" outlineLevel="0" collapsed="false">
      <c r="A178" s="334" t="n">
        <v>3</v>
      </c>
      <c r="B178" s="269" t="n">
        <v>41334</v>
      </c>
      <c r="C178" s="338" t="n">
        <f aca="false">VLOOKUP(A190,$A$5:$P$16,16)</f>
        <v>626.400405431111</v>
      </c>
      <c r="E178" s="333" t="n">
        <f aca="false">E177+1</f>
        <v>148</v>
      </c>
      <c r="F178" s="348" t="n">
        <f aca="false">C178*'Revenues &amp; Expenses'!N165</f>
        <v>240.867924913478</v>
      </c>
      <c r="I178" s="348" t="n">
        <f aca="false">F178*'Company Power Prices'!C178</f>
        <v>10082.2406479676</v>
      </c>
      <c r="J178" s="349"/>
      <c r="K178" s="348" t="n">
        <f aca="false">F178*'Company Gas Prices'!E178</f>
        <v>15417.4227419756</v>
      </c>
    </row>
    <row r="179" customFormat="false" ht="15.75" hidden="false" customHeight="false" outlineLevel="0" collapsed="false">
      <c r="A179" s="334" t="n">
        <v>4</v>
      </c>
      <c r="B179" s="269" t="n">
        <v>41365</v>
      </c>
      <c r="C179" s="338" t="n">
        <f aca="false">VLOOKUP(A191,$A$5:$P$16,16)</f>
        <v>8687.71010914178</v>
      </c>
      <c r="E179" s="333" t="n">
        <f aca="false">E178+1</f>
        <v>149</v>
      </c>
      <c r="F179" s="348" t="n">
        <f aca="false">C179*'Revenues &amp; Expenses'!N166</f>
        <v>3320.27467693357</v>
      </c>
      <c r="I179" s="348" t="n">
        <f aca="false">F179*'Company Power Prices'!C179</f>
        <v>153886.278719815</v>
      </c>
      <c r="J179" s="349"/>
      <c r="K179" s="348" t="n">
        <f aca="false">F179*'Company Gas Prices'!E179</f>
        <v>217329.751927305</v>
      </c>
    </row>
    <row r="180" customFormat="false" ht="15.75" hidden="false" customHeight="false" outlineLevel="0" collapsed="false">
      <c r="A180" s="334" t="n">
        <v>5</v>
      </c>
      <c r="B180" s="269" t="n">
        <v>41395</v>
      </c>
      <c r="C180" s="338" t="n">
        <f aca="false">VLOOKUP(A192,$A$5:$P$16,16)</f>
        <v>16943.1765483836</v>
      </c>
      <c r="E180" s="333" t="n">
        <f aca="false">E179+1</f>
        <v>150</v>
      </c>
      <c r="F180" s="348" t="n">
        <f aca="false">C180*'Revenues &amp; Expenses'!N167</f>
        <v>6437.11665624035</v>
      </c>
      <c r="I180" s="348" t="n">
        <f aca="false">F180*'Company Power Prices'!C180</f>
        <v>352659.195147367</v>
      </c>
      <c r="J180" s="349"/>
      <c r="K180" s="348" t="n">
        <f aca="false">F180*'Company Gas Prices'!E180</f>
        <v>411714.813057392</v>
      </c>
    </row>
    <row r="181" customFormat="false" ht="15.75" hidden="false" customHeight="false" outlineLevel="0" collapsed="false">
      <c r="A181" s="334" t="n">
        <v>6</v>
      </c>
      <c r="B181" s="269" t="n">
        <v>41426</v>
      </c>
      <c r="C181" s="338" t="n">
        <f aca="false">VLOOKUP(A193,$A$5:$P$16,16)</f>
        <v>28830.0528263689</v>
      </c>
      <c r="E181" s="333" t="n">
        <f aca="false">E180+1</f>
        <v>151</v>
      </c>
      <c r="F181" s="348" t="n">
        <f aca="false">C181*'Revenues &amp; Expenses'!N168</f>
        <v>10886.4042335247</v>
      </c>
      <c r="I181" s="348" t="n">
        <f aca="false">F181*'Company Power Prices'!C181</f>
        <v>1062032.5316637</v>
      </c>
      <c r="J181" s="349"/>
      <c r="K181" s="348" t="n">
        <f aca="false">F181*'Company Gas Prices'!E181</f>
        <v>696082.781913182</v>
      </c>
    </row>
    <row r="182" customFormat="false" ht="15.75" hidden="false" customHeight="false" outlineLevel="0" collapsed="false">
      <c r="A182" s="334" t="n">
        <v>7</v>
      </c>
      <c r="B182" s="269" t="n">
        <v>41456</v>
      </c>
      <c r="C182" s="338" t="n">
        <f aca="false">VLOOKUP(A194,$A$5:$P$16,16)</f>
        <v>52835.2081453</v>
      </c>
      <c r="E182" s="333" t="n">
        <f aca="false">E181+1</f>
        <v>152</v>
      </c>
      <c r="F182" s="348" t="n">
        <f aca="false">C182*'Revenues &amp; Expenses'!N169</f>
        <v>19833.1178587739</v>
      </c>
      <c r="I182" s="348" t="n">
        <f aca="false">F182*'Company Power Prices'!C182</f>
        <v>2895554.39932559</v>
      </c>
      <c r="J182" s="349"/>
      <c r="K182" s="348" t="n">
        <f aca="false">F182*'Company Gas Prices'!E182</f>
        <v>1262226.4217268</v>
      </c>
    </row>
    <row r="183" customFormat="false" ht="15.75" hidden="false" customHeight="false" outlineLevel="0" collapsed="false">
      <c r="A183" s="334" t="n">
        <v>8</v>
      </c>
      <c r="B183" s="269" t="n">
        <v>41487</v>
      </c>
      <c r="C183" s="338" t="n">
        <f aca="false">VLOOKUP(A195,$A$5:$P$16,16)</f>
        <v>35223.4720968667</v>
      </c>
      <c r="E183" s="333" t="n">
        <f aca="false">E182+1</f>
        <v>153</v>
      </c>
      <c r="F183" s="348" t="n">
        <f aca="false">C183*'Revenues &amp; Expenses'!N170</f>
        <v>13141.4392659057</v>
      </c>
      <c r="I183" s="348" t="n">
        <f aca="false">F183*'Company Power Prices'!C183</f>
        <v>1918596.58934209</v>
      </c>
      <c r="J183" s="349"/>
      <c r="K183" s="348" t="n">
        <f aca="false">F183*'Company Gas Prices'!E183</f>
        <v>837155.777650963</v>
      </c>
    </row>
    <row r="184" customFormat="false" ht="15.75" hidden="false" customHeight="false" outlineLevel="0" collapsed="false">
      <c r="A184" s="334" t="n">
        <v>9</v>
      </c>
      <c r="B184" s="269" t="n">
        <v>41518</v>
      </c>
      <c r="C184" s="338" t="n">
        <f aca="false">VLOOKUP(A196,$A$5:$P$16,16)</f>
        <v>20708.3268929071</v>
      </c>
      <c r="E184" s="333" t="n">
        <f aca="false">E183+1</f>
        <v>154</v>
      </c>
      <c r="F184" s="348" t="n">
        <f aca="false">C184*'Revenues &amp; Expenses'!N171</f>
        <v>7678.90592528683</v>
      </c>
      <c r="I184" s="348" t="n">
        <f aca="false">F184*'Company Power Prices'!C184</f>
        <v>420690.95960825</v>
      </c>
      <c r="J184" s="349"/>
      <c r="K184" s="348" t="n">
        <f aca="false">F184*'Company Gas Prices'!E184</f>
        <v>493015.163362878</v>
      </c>
    </row>
    <row r="185" customFormat="false" ht="15.75" hidden="false" customHeight="false" outlineLevel="0" collapsed="false">
      <c r="A185" s="334" t="n">
        <v>10</v>
      </c>
      <c r="B185" s="269" t="n">
        <v>41548</v>
      </c>
      <c r="C185" s="338" t="n">
        <f aca="false">VLOOKUP(A197,$A$5:$P$16,16)</f>
        <v>3679.89512286978</v>
      </c>
      <c r="E185" s="333" t="n">
        <f aca="false">E184+1</f>
        <v>155</v>
      </c>
      <c r="F185" s="348" t="n">
        <f aca="false">C185*'Revenues &amp; Expenses'!N172</f>
        <v>1356.49870848432</v>
      </c>
      <c r="I185" s="348" t="n">
        <f aca="false">F185*'Company Power Prices'!C185</f>
        <v>65354.8826665307</v>
      </c>
      <c r="J185" s="349"/>
      <c r="K185" s="348" t="n">
        <f aca="false">F185*'Company Gas Prices'!E185</f>
        <v>86661.3855833104</v>
      </c>
    </row>
    <row r="186" customFormat="false" ht="15.75" hidden="false" customHeight="false" outlineLevel="0" collapsed="false">
      <c r="A186" s="334" t="n">
        <v>11</v>
      </c>
      <c r="B186" s="269" t="n">
        <v>41579</v>
      </c>
      <c r="C186" s="338" t="n">
        <f aca="false">VLOOKUP(A198,$A$5:$P$16,16)</f>
        <v>7995.26363229378</v>
      </c>
      <c r="E186" s="333" t="n">
        <f aca="false">E185+1</f>
        <v>156</v>
      </c>
      <c r="F186" s="348" t="n">
        <f aca="false">C186*'Revenues &amp; Expenses'!N173</f>
        <v>2929.2809140959</v>
      </c>
      <c r="I186" s="348" t="n">
        <f aca="false">F186*'Company Power Prices'!C186</f>
        <v>147474.481090538</v>
      </c>
      <c r="J186" s="349"/>
      <c r="K186" s="348" t="n">
        <f aca="false">F186*'Company Gas Prices'!E186</f>
        <v>187320.592628015</v>
      </c>
    </row>
    <row r="187" customFormat="false" ht="15.75" hidden="false" customHeight="false" outlineLevel="0" collapsed="false">
      <c r="A187" s="334" t="n">
        <v>12</v>
      </c>
      <c r="B187" s="269" t="n">
        <v>41609</v>
      </c>
      <c r="C187" s="338" t="n">
        <f aca="false">VLOOKUP(A199,$A$5:$P$16,16)</f>
        <v>7995.26363229378</v>
      </c>
      <c r="D187" s="342" t="n">
        <f aca="false">SUM(C176:C187)</f>
        <v>201589.187926949</v>
      </c>
      <c r="E187" s="333" t="n">
        <f aca="false">E186+1</f>
        <v>157</v>
      </c>
      <c r="F187" s="348" t="n">
        <f aca="false">C187*'Revenues &amp; Expenses'!N174</f>
        <v>2911.99973032395</v>
      </c>
      <c r="G187" s="350" t="n">
        <f aca="false">SUM(F176:F187)</f>
        <v>75762.0857383621</v>
      </c>
      <c r="H187" s="342" t="n">
        <f aca="false">D187</f>
        <v>201589.187926949</v>
      </c>
      <c r="I187" s="348" t="n">
        <f aca="false">F187*'Company Power Prices'!C187</f>
        <v>146604.460875975</v>
      </c>
      <c r="J187" s="349" t="n">
        <f aca="false">SUM(I176:I187)/SUM(F176:F187)</f>
        <v>99.065493926824</v>
      </c>
      <c r="K187" s="348" t="n">
        <f aca="false">F187*'Company Gas Prices'!E187</f>
        <v>186395.152971989</v>
      </c>
      <c r="L187" s="349" t="n">
        <f aca="false">SUM(K176:K187)/SUM(F176:F187)</f>
        <v>63.9134364613582</v>
      </c>
    </row>
    <row r="188" customFormat="false" ht="15.75" hidden="false" customHeight="false" outlineLevel="0" collapsed="false">
      <c r="A188" s="334" t="n">
        <v>1</v>
      </c>
      <c r="B188" s="269" t="n">
        <v>41640</v>
      </c>
      <c r="C188" s="338" t="n">
        <f aca="false">VLOOKUP(A200,$A$5:$Q$16,17)</f>
        <v>17301.3636406956</v>
      </c>
      <c r="E188" s="333" t="n">
        <f aca="false">E187+1</f>
        <v>158</v>
      </c>
      <c r="F188" s="348" t="n">
        <f aca="false">C188*'Revenues &amp; Expenses'!N175</f>
        <v>6263.02132020166</v>
      </c>
      <c r="I188" s="348" t="n">
        <f aca="false">F188*'Company Power Prices'!C188</f>
        <v>297321.092045785</v>
      </c>
      <c r="J188" s="349"/>
      <c r="K188" s="348" t="n">
        <f aca="false">F188*'Company Gas Prices'!E188</f>
        <v>404716.173925172</v>
      </c>
    </row>
    <row r="189" customFormat="false" ht="15.75" hidden="false" customHeight="false" outlineLevel="0" collapsed="false">
      <c r="A189" s="334" t="n">
        <v>2</v>
      </c>
      <c r="B189" s="269" t="n">
        <v>41671</v>
      </c>
      <c r="C189" s="338" t="n">
        <f aca="false">VLOOKUP(A201,$A$5:$Q$16,17)</f>
        <v>626.400405431111</v>
      </c>
      <c r="E189" s="333" t="n">
        <f aca="false">E188+1</f>
        <v>159</v>
      </c>
      <c r="F189" s="348" t="n">
        <f aca="false">C189*'Revenues &amp; Expenses'!N176</f>
        <v>225.372523650715</v>
      </c>
      <c r="I189" s="348" t="n">
        <f aca="false">F189*'Company Power Prices'!C189</f>
        <v>9424.91091033416</v>
      </c>
      <c r="J189" s="349"/>
      <c r="K189" s="348" t="n">
        <f aca="false">F189*'Company Gas Prices'!E189</f>
        <v>14577.5288624528</v>
      </c>
    </row>
    <row r="190" customFormat="false" ht="15.75" hidden="false" customHeight="false" outlineLevel="0" collapsed="false">
      <c r="A190" s="334" t="n">
        <v>3</v>
      </c>
      <c r="B190" s="269" t="n">
        <v>41699</v>
      </c>
      <c r="C190" s="338" t="n">
        <f aca="false">VLOOKUP(A202,$A$5:$Q$16,17)</f>
        <v>626.400405431111</v>
      </c>
      <c r="E190" s="333" t="n">
        <f aca="false">E189+1</f>
        <v>160</v>
      </c>
      <c r="F190" s="348" t="n">
        <f aca="false">C190*'Revenues &amp; Expenses'!N177</f>
        <v>224.131844049977</v>
      </c>
      <c r="I190" s="348" t="n">
        <f aca="false">F190*'Company Power Prices'!C190</f>
        <v>9373.02661443237</v>
      </c>
      <c r="J190" s="349"/>
      <c r="K190" s="348" t="n">
        <f aca="false">F190*'Company Gas Prices'!E190</f>
        <v>14511.1991805834</v>
      </c>
    </row>
    <row r="191" customFormat="false" ht="15.75" hidden="false" customHeight="false" outlineLevel="0" collapsed="false">
      <c r="A191" s="334" t="n">
        <v>4</v>
      </c>
      <c r="B191" s="269" t="n">
        <v>41730</v>
      </c>
      <c r="C191" s="338" t="n">
        <f aca="false">VLOOKUP(A203,$A$5:$Q$16,17)</f>
        <v>8599.01185750133</v>
      </c>
      <c r="E191" s="333" t="n">
        <f aca="false">E190+1</f>
        <v>161</v>
      </c>
      <c r="F191" s="348" t="n">
        <f aca="false">C191*'Revenues &amp; Expenses'!N178</f>
        <v>3058.06113864513</v>
      </c>
      <c r="I191" s="348" t="n">
        <f aca="false">F191*'Company Power Prices'!C191</f>
        <v>141786.485128694</v>
      </c>
      <c r="J191" s="349"/>
      <c r="K191" s="348" t="n">
        <f aca="false">F191*'Company Gas Prices'!E191</f>
        <v>202422.958328016</v>
      </c>
    </row>
    <row r="192" customFormat="false" ht="15.75" hidden="false" customHeight="false" outlineLevel="0" collapsed="false">
      <c r="A192" s="334" t="n">
        <v>5</v>
      </c>
      <c r="B192" s="269" t="n">
        <v>41760</v>
      </c>
      <c r="C192" s="338" t="n">
        <f aca="false">VLOOKUP(A204,$A$5:$Q$16,17)</f>
        <v>17483.1175498964</v>
      </c>
      <c r="E192" s="333" t="n">
        <f aca="false">E191+1</f>
        <v>162</v>
      </c>
      <c r="F192" s="348" t="n">
        <f aca="false">C192*'Revenues &amp; Expenses'!N179</f>
        <v>6180.85472424423</v>
      </c>
      <c r="I192" s="348" t="n">
        <f aca="false">F192*'Company Power Prices'!C192</f>
        <v>348280.111786639</v>
      </c>
      <c r="J192" s="349"/>
      <c r="K192" s="348" t="n">
        <f aca="false">F192*'Company Gas Prices'!E192</f>
        <v>399895.300060756</v>
      </c>
    </row>
    <row r="193" customFormat="false" ht="15.75" hidden="false" customHeight="false" outlineLevel="0" collapsed="false">
      <c r="A193" s="334" t="n">
        <v>6</v>
      </c>
      <c r="B193" s="269" t="n">
        <v>41791</v>
      </c>
      <c r="C193" s="338" t="n">
        <f aca="false">VLOOKUP(A205,$A$5:$Q$16,17)</f>
        <v>31276.9467615547</v>
      </c>
      <c r="E193" s="333" t="n">
        <f aca="false">E192+1</f>
        <v>163</v>
      </c>
      <c r="F193" s="348" t="n">
        <f aca="false">C193*'Revenues &amp; Expenses'!N180</f>
        <v>10990.0790156587</v>
      </c>
      <c r="I193" s="348" t="n">
        <f aca="false">F193*'Company Power Prices'!C193</f>
        <v>1121976.78755087</v>
      </c>
      <c r="J193" s="349"/>
      <c r="K193" s="348" t="n">
        <f aca="false">F193*'Company Gas Prices'!E193</f>
        <v>710857.267803029</v>
      </c>
    </row>
    <row r="194" customFormat="false" ht="15.75" hidden="false" customHeight="false" outlineLevel="0" collapsed="false">
      <c r="A194" s="334" t="n">
        <v>7</v>
      </c>
      <c r="B194" s="269" t="n">
        <v>41821</v>
      </c>
      <c r="C194" s="338" t="n">
        <f aca="false">VLOOKUP(A206,$A$5:$Q$16,17)</f>
        <v>52286.2860016498</v>
      </c>
      <c r="E194" s="333" t="n">
        <f aca="false">E193+1</f>
        <v>164</v>
      </c>
      <c r="F194" s="348" t="n">
        <f aca="false">C194*'Revenues &amp; Expenses'!N181</f>
        <v>18264.046363303</v>
      </c>
      <c r="I194" s="348" t="n">
        <f aca="false">F194*'Company Power Prices'!C194</f>
        <v>2887724.3743285</v>
      </c>
      <c r="J194" s="349"/>
      <c r="K194" s="348" t="n">
        <f aca="false">F194*'Company Gas Prices'!E194</f>
        <v>1175933.76863758</v>
      </c>
    </row>
    <row r="195" customFormat="false" ht="15.75" hidden="false" customHeight="false" outlineLevel="0" collapsed="false">
      <c r="A195" s="334" t="n">
        <v>8</v>
      </c>
      <c r="B195" s="269" t="n">
        <v>41852</v>
      </c>
      <c r="C195" s="338" t="n">
        <f aca="false">VLOOKUP(A207,$A$5:$Q$16,17)</f>
        <v>34857.5240017573</v>
      </c>
      <c r="E195" s="333" t="n">
        <f aca="false">E194+1</f>
        <v>165</v>
      </c>
      <c r="F195" s="348" t="n">
        <f aca="false">C195*'Revenues &amp; Expenses'!N182</f>
        <v>12101.8919571661</v>
      </c>
      <c r="I195" s="348" t="n">
        <f aca="false">F195*'Company Power Prices'!C195</f>
        <v>1913427.48945357</v>
      </c>
      <c r="J195" s="349"/>
      <c r="K195" s="348" t="n">
        <f aca="false">F195*'Company Gas Prices'!E195</f>
        <v>779942.382815246</v>
      </c>
    </row>
    <row r="196" customFormat="false" ht="15.75" hidden="false" customHeight="false" outlineLevel="0" collapsed="false">
      <c r="A196" s="334" t="n">
        <v>9</v>
      </c>
      <c r="B196" s="269" t="n">
        <v>41883</v>
      </c>
      <c r="C196" s="338" t="n">
        <f aca="false">VLOOKUP(A208,$A$5:$Q$16,17)</f>
        <v>21368.2547837547</v>
      </c>
      <c r="E196" s="333" t="n">
        <f aca="false">E195+1</f>
        <v>166</v>
      </c>
      <c r="F196" s="348" t="n">
        <f aca="false">C196*'Revenues &amp; Expenses'!N183</f>
        <v>7373.50003876288</v>
      </c>
      <c r="I196" s="348" t="n">
        <f aca="false">F196*'Company Power Prices'!C196</f>
        <v>415483.542702604</v>
      </c>
      <c r="J196" s="349"/>
      <c r="K196" s="348" t="n">
        <f aca="false">F196*'Company Gas Prices'!E196</f>
        <v>478908.437325443</v>
      </c>
    </row>
    <row r="197" customFormat="false" ht="15.75" hidden="false" customHeight="false" outlineLevel="0" collapsed="false">
      <c r="A197" s="334" t="n">
        <v>10</v>
      </c>
      <c r="B197" s="269" t="n">
        <v>41913</v>
      </c>
      <c r="C197" s="338" t="n">
        <f aca="false">VLOOKUP(A209,$A$5:$Q$16,17)</f>
        <v>3645.73270857289</v>
      </c>
      <c r="E197" s="333" t="n">
        <f aca="false">E196+1</f>
        <v>167</v>
      </c>
      <c r="F197" s="348" t="n">
        <f aca="false">C197*'Revenues &amp; Expenses'!N184</f>
        <v>1250.6139173245</v>
      </c>
      <c r="I197" s="348" t="n">
        <f aca="false">F197*'Company Power Prices'!C197</f>
        <v>60297.2983950639</v>
      </c>
      <c r="J197" s="349"/>
      <c r="K197" s="348" t="n">
        <f aca="false">F197*'Company Gas Prices'!E197</f>
        <v>80832.0008329719</v>
      </c>
    </row>
    <row r="198" customFormat="false" ht="15.75" hidden="false" customHeight="false" outlineLevel="0" collapsed="false">
      <c r="A198" s="334" t="n">
        <v>11</v>
      </c>
      <c r="B198" s="269" t="n">
        <v>41944</v>
      </c>
      <c r="C198" s="338" t="n">
        <f aca="false">VLOOKUP(A210,$A$5:$Q$16,17)</f>
        <v>7981.57686988044</v>
      </c>
      <c r="E198" s="333" t="n">
        <f aca="false">E197+1</f>
        <v>168</v>
      </c>
      <c r="F198" s="348" t="n">
        <f aca="false">C198*'Revenues &amp; Expenses'!N185</f>
        <v>2721.29581924116</v>
      </c>
      <c r="I198" s="348" t="n">
        <f aca="false">F198*'Company Power Prices'!C198</f>
        <v>137042.975493708</v>
      </c>
      <c r="J198" s="349"/>
      <c r="K198" s="348" t="n">
        <f aca="false">F198*'Company Gas Prices'!E198</f>
        <v>176059.880851443</v>
      </c>
    </row>
    <row r="199" customFormat="false" ht="15.75" hidden="false" customHeight="false" outlineLevel="0" collapsed="false">
      <c r="A199" s="334" t="n">
        <v>12</v>
      </c>
      <c r="B199" s="269" t="n">
        <v>41974</v>
      </c>
      <c r="C199" s="338" t="n">
        <f aca="false">VLOOKUP(A211,$A$5:$Q$16,17)</f>
        <v>7981.57686988044</v>
      </c>
      <c r="D199" s="342" t="n">
        <f aca="false">SUM(C188:C199)</f>
        <v>204034.191856006</v>
      </c>
      <c r="E199" s="333" t="n">
        <f aca="false">E198+1</f>
        <v>169</v>
      </c>
      <c r="F199" s="348" t="n">
        <f aca="false">C199*'Revenues &amp; Expenses'!N186</f>
        <v>2705.26774290661</v>
      </c>
      <c r="G199" s="350" t="n">
        <f aca="false">SUM(F188:F199)</f>
        <v>71358.1364051547</v>
      </c>
      <c r="H199" s="342" t="n">
        <f aca="false">D199</f>
        <v>204034.191856006</v>
      </c>
      <c r="I199" s="348" t="n">
        <f aca="false">F199*'Company Power Prices'!C199</f>
        <v>136235.810298069</v>
      </c>
      <c r="J199" s="349" t="n">
        <f aca="false">SUM(I188:I199)/SUM(F188:F199)</f>
        <v>104.800577501742</v>
      </c>
      <c r="K199" s="348" t="n">
        <f aca="false">F199*'Company Gas Prices'!E199</f>
        <v>175194.314621251</v>
      </c>
      <c r="L199" s="349" t="n">
        <f aca="false">SUM(K188:K199)/SUM(F188:F199)</f>
        <v>64.6576752936425</v>
      </c>
    </row>
    <row r="200" customFormat="false" ht="15.75" hidden="false" customHeight="false" outlineLevel="0" collapsed="false">
      <c r="A200" s="334" t="n">
        <v>1</v>
      </c>
      <c r="B200" s="269" t="n">
        <v>42005</v>
      </c>
      <c r="C200" s="338" t="n">
        <f aca="false">VLOOKUP(A212,$A$5:$R$16,18)</f>
        <v>14630.4579680249</v>
      </c>
      <c r="E200" s="333" t="n">
        <f aca="false">E199+1</f>
        <v>170</v>
      </c>
      <c r="F200" s="348" t="n">
        <f aca="false">C200*'Revenues &amp; Expenses'!N187</f>
        <v>4928.65953940659</v>
      </c>
      <c r="I200" s="348" t="n">
        <f aca="false">F200*'Company Power Prices'!C200</f>
        <v>238111.46911187</v>
      </c>
      <c r="J200" s="349"/>
      <c r="K200" s="348" t="n">
        <f aca="false">F200*'Company Gas Prices'!E200</f>
        <v>327019.456732981</v>
      </c>
    </row>
    <row r="201" customFormat="false" ht="15.75" hidden="false" customHeight="false" outlineLevel="0" collapsed="false">
      <c r="A201" s="334" t="n">
        <v>2</v>
      </c>
      <c r="B201" s="269" t="n">
        <v>42036</v>
      </c>
      <c r="C201" s="338" t="n">
        <f aca="false">VLOOKUP(A213,$A$5:$R$16,18)</f>
        <v>450.066859364889</v>
      </c>
      <c r="E201" s="333" t="n">
        <f aca="false">E200+1</f>
        <v>171</v>
      </c>
      <c r="F201" s="348" t="n">
        <f aca="false">C201*'Revenues &amp; Expenses'!N188</f>
        <v>150.694584686769</v>
      </c>
      <c r="I201" s="348" t="n">
        <f aca="false">F201*'Company Power Prices'!C201</f>
        <v>6429.0397508402</v>
      </c>
      <c r="J201" s="349"/>
      <c r="K201" s="348" t="n">
        <f aca="false">F201*'Company Gas Prices'!E201</f>
        <v>10008.2646175796</v>
      </c>
    </row>
    <row r="202" customFormat="false" ht="15.75" hidden="false" customHeight="false" outlineLevel="0" collapsed="false">
      <c r="A202" s="334" t="n">
        <v>3</v>
      </c>
      <c r="B202" s="269" t="n">
        <v>42064</v>
      </c>
      <c r="C202" s="338" t="n">
        <f aca="false">VLOOKUP(A214,$A$5:$R$16,18)</f>
        <v>450.066859364889</v>
      </c>
      <c r="E202" s="333" t="n">
        <f aca="false">E201+1</f>
        <v>172</v>
      </c>
      <c r="F202" s="348" t="n">
        <f aca="false">C202*'Revenues &amp; Expenses'!N189</f>
        <v>149.866358295879</v>
      </c>
      <c r="I202" s="348" t="n">
        <f aca="false">F202*'Company Power Prices'!C202</f>
        <v>6393.70536639105</v>
      </c>
      <c r="J202" s="349"/>
      <c r="K202" s="348" t="n">
        <f aca="false">F202*'Company Gas Prices'!E202</f>
        <v>9962.81745899173</v>
      </c>
    </row>
    <row r="203" customFormat="false" ht="15.75" hidden="false" customHeight="false" outlineLevel="0" collapsed="false">
      <c r="A203" s="334" t="n">
        <v>4</v>
      </c>
      <c r="B203" s="269" t="n">
        <v>42095</v>
      </c>
      <c r="C203" s="338" t="n">
        <f aca="false">VLOOKUP(A215,$A$5:$R$16,18)</f>
        <v>7389.92263650044</v>
      </c>
      <c r="E203" s="333" t="n">
        <f aca="false">E202+1</f>
        <v>173</v>
      </c>
      <c r="F203" s="348" t="n">
        <f aca="false">C203*'Revenues &amp; Expenses'!N190</f>
        <v>2445.78019556971</v>
      </c>
      <c r="I203" s="348" t="n">
        <f aca="false">F203*'Company Power Prices'!C203</f>
        <v>115491.794972215</v>
      </c>
      <c r="J203" s="349"/>
      <c r="K203" s="348" t="n">
        <f aca="false">F203*'Company Gas Prices'!E203</f>
        <v>166139.146128386</v>
      </c>
    </row>
    <row r="204" customFormat="false" ht="15.75" hidden="false" customHeight="false" outlineLevel="0" collapsed="false">
      <c r="A204" s="334" t="n">
        <v>5</v>
      </c>
      <c r="B204" s="269" t="n">
        <v>42125</v>
      </c>
      <c r="C204" s="338" t="n">
        <f aca="false">VLOOKUP(A216,$A$5:$R$16,18)</f>
        <v>16992.5387319987</v>
      </c>
      <c r="E204" s="333" t="n">
        <f aca="false">E203+1</f>
        <v>174</v>
      </c>
      <c r="F204" s="348" t="n">
        <f aca="false">C204*'Revenues &amp; Expenses'!N191</f>
        <v>5590.77525421572</v>
      </c>
      <c r="I204" s="348" t="n">
        <f aca="false">F204*'Company Power Prices'!C204</f>
        <v>331413.599739458</v>
      </c>
      <c r="J204" s="349"/>
      <c r="K204" s="348" t="n">
        <f aca="false">F204*'Company Gas Prices'!E204</f>
        <v>371430.835216364</v>
      </c>
    </row>
    <row r="205" customFormat="false" ht="15.75" hidden="false" customHeight="false" outlineLevel="0" collapsed="false">
      <c r="A205" s="334" t="n">
        <v>6</v>
      </c>
      <c r="B205" s="269" t="n">
        <v>42156</v>
      </c>
      <c r="C205" s="338" t="n">
        <f aca="false">VLOOKUP(A217,$A$5:$R$16,18)</f>
        <v>33305.3653922391</v>
      </c>
      <c r="E205" s="333" t="n">
        <f aca="false">E204+1</f>
        <v>175</v>
      </c>
      <c r="F205" s="348" t="n">
        <f aca="false">C205*'Revenues &amp; Expenses'!N192</f>
        <v>10891.2845564366</v>
      </c>
      <c r="I205" s="348" t="n">
        <f aca="false">F205*'Company Power Prices'!C205</f>
        <v>1171696.18239698</v>
      </c>
      <c r="J205" s="349"/>
      <c r="K205" s="348" t="n">
        <f aca="false">F205*'Company Gas Prices'!E205</f>
        <v>723516.046775423</v>
      </c>
    </row>
    <row r="206" customFormat="false" ht="15.75" hidden="false" customHeight="false" outlineLevel="0" collapsed="false">
      <c r="A206" s="334" t="n">
        <v>7</v>
      </c>
      <c r="B206" s="269" t="n">
        <v>42186</v>
      </c>
      <c r="C206" s="338" t="n">
        <f aca="false">VLOOKUP(A218,$A$5:$R$16,18)</f>
        <v>51772.057010744</v>
      </c>
      <c r="E206" s="333" t="n">
        <f aca="false">E205+1</f>
        <v>176</v>
      </c>
      <c r="F206" s="348" t="n">
        <f aca="false">C206*'Revenues &amp; Expenses'!N193</f>
        <v>16830.5092609797</v>
      </c>
      <c r="I206" s="348" t="n">
        <f aca="false">F206*'Company Power Prices'!C206</f>
        <v>2880433.86733707</v>
      </c>
      <c r="J206" s="349"/>
      <c r="K206" s="348" t="n">
        <f aca="false">F206*'Company Gas Prices'!E206</f>
        <v>1112932.51569624</v>
      </c>
    </row>
    <row r="207" customFormat="false" ht="15.75" hidden="false" customHeight="false" outlineLevel="0" collapsed="false">
      <c r="A207" s="334" t="n">
        <v>8</v>
      </c>
      <c r="B207" s="269" t="n">
        <v>42217</v>
      </c>
      <c r="C207" s="338" t="n">
        <f aca="false">VLOOKUP(A219,$A$5:$R$16,18)</f>
        <v>34514.7046738293</v>
      </c>
      <c r="E207" s="333" t="n">
        <f aca="false">E206+1</f>
        <v>177</v>
      </c>
      <c r="F207" s="348" t="n">
        <f aca="false">C207*'Revenues &amp; Expenses'!N194</f>
        <v>11152.1309036668</v>
      </c>
      <c r="I207" s="348" t="n">
        <f aca="false">F207*'Company Power Prices'!C207</f>
        <v>1908615.77922499</v>
      </c>
      <c r="J207" s="349"/>
      <c r="K207" s="348" t="n">
        <f aca="false">F207*'Company Gas Prices'!E207</f>
        <v>738163.906846098</v>
      </c>
    </row>
    <row r="208" customFormat="false" ht="15.75" hidden="false" customHeight="false" outlineLevel="0" collapsed="false">
      <c r="A208" s="334" t="n">
        <v>9</v>
      </c>
      <c r="B208" s="269" t="n">
        <v>42248</v>
      </c>
      <c r="C208" s="338" t="n">
        <f aca="false">VLOOKUP(A220,$A$5:$R$16,18)</f>
        <v>20768.6584495631</v>
      </c>
      <c r="E208" s="333" t="n">
        <f aca="false">E207+1</f>
        <v>178</v>
      </c>
      <c r="F208" s="348" t="n">
        <f aca="false">C208*'Revenues &amp; Expenses'!N195</f>
        <v>6669.82392663789</v>
      </c>
      <c r="I208" s="348" t="n">
        <f aca="false">F208*'Company Power Prices'!C208</f>
        <v>395378.146436601</v>
      </c>
      <c r="J208" s="349"/>
      <c r="K208" s="348" t="n">
        <f aca="false">F208*'Company Gas Prices'!E208</f>
        <v>444837.681229325</v>
      </c>
    </row>
    <row r="209" customFormat="false" ht="15.75" hidden="false" customHeight="false" outlineLevel="0" collapsed="false">
      <c r="A209" s="334" t="n">
        <v>10</v>
      </c>
      <c r="B209" s="269" t="n">
        <v>42278</v>
      </c>
      <c r="C209" s="338" t="n">
        <f aca="false">VLOOKUP(A221,$A$5:$R$16,18)</f>
        <v>3006.38726958578</v>
      </c>
      <c r="E209" s="333" t="n">
        <f aca="false">E208+1</f>
        <v>179</v>
      </c>
      <c r="F209" s="348" t="n">
        <f aca="false">C209*'Revenues &amp; Expenses'!N196</f>
        <v>959.817887669673</v>
      </c>
      <c r="I209" s="348" t="n">
        <f aca="false">F209*'Company Power Prices'!C209</f>
        <v>47617.2765363655</v>
      </c>
      <c r="J209" s="349"/>
      <c r="K209" s="348" t="n">
        <f aca="false">F209*'Company Gas Prices'!E209</f>
        <v>63712.4036074725</v>
      </c>
    </row>
    <row r="210" customFormat="false" ht="15.75" hidden="false" customHeight="false" outlineLevel="0" collapsed="false">
      <c r="A210" s="334" t="n">
        <v>11</v>
      </c>
      <c r="B210" s="269" t="n">
        <v>42309</v>
      </c>
      <c r="C210" s="338" t="n">
        <f aca="false">VLOOKUP(A222,$A$5:$R$16,18)</f>
        <v>7520.635146164</v>
      </c>
      <c r="E210" s="333" t="n">
        <f aca="false">E209+1</f>
        <v>180</v>
      </c>
      <c r="F210" s="348" t="n">
        <f aca="false">C210*'Revenues &amp; Expenses'!N197</f>
        <v>2386.4447693405</v>
      </c>
      <c r="I210" s="348" t="n">
        <f aca="false">F210*'Company Power Prices'!C210</f>
        <v>122519.387018661</v>
      </c>
      <c r="J210" s="349"/>
      <c r="K210" s="348" t="n">
        <f aca="false">F210*'Company Gas Prices'!E210</f>
        <v>158566.379740451</v>
      </c>
    </row>
    <row r="211" customFormat="false" ht="15.75" hidden="false" customHeight="false" outlineLevel="0" collapsed="false">
      <c r="A211" s="334" t="n">
        <v>12</v>
      </c>
      <c r="B211" s="269" t="n">
        <v>42339</v>
      </c>
      <c r="C211" s="338" t="n">
        <f aca="false">VLOOKUP(A223,$A$5:$R$16,18)</f>
        <v>7520.635146164</v>
      </c>
      <c r="D211" s="342" t="n">
        <f aca="false">SUM(C200:C211)</f>
        <v>198321.496143543</v>
      </c>
      <c r="E211" s="333" t="n">
        <f aca="false">E210+1</f>
        <v>181</v>
      </c>
      <c r="F211" s="348" t="n">
        <f aca="false">C211*'Revenues &amp; Expenses'!N198</f>
        <v>2372.41181777922</v>
      </c>
      <c r="G211" s="350" t="n">
        <f aca="false">SUM(F200:F211)</f>
        <v>64528.1990546851</v>
      </c>
      <c r="H211" s="342" t="n">
        <f aca="false">D211</f>
        <v>198321.496143543</v>
      </c>
      <c r="I211" s="348" t="n">
        <f aca="false">F211*'Company Power Prices'!C211</f>
        <v>121798.939327837</v>
      </c>
      <c r="J211" s="349" t="n">
        <f aca="false">SUM(I200:I211)/SUM(F200:F211)</f>
        <v>113.840139579813</v>
      </c>
      <c r="K211" s="348" t="n">
        <f aca="false">F211*'Company Gas Prices'!E211</f>
        <v>157788.33826458</v>
      </c>
      <c r="L211" s="349" t="n">
        <f aca="false">SUM(K200:K211)/SUM(F200:F211)</f>
        <v>66.3907850377679</v>
      </c>
    </row>
    <row r="212" customFormat="false" ht="15.75" hidden="false" customHeight="false" outlineLevel="0" collapsed="false">
      <c r="A212" s="334" t="n">
        <v>1</v>
      </c>
      <c r="B212" s="269" t="n">
        <v>42370</v>
      </c>
      <c r="C212" s="338" t="n">
        <f aca="false">VLOOKUP(A224,$A$5:$S$16,19)</f>
        <v>13836.2099636662</v>
      </c>
      <c r="E212" s="333" t="n">
        <f aca="false">E211+1</f>
        <v>182</v>
      </c>
      <c r="F212" s="348" t="n">
        <f aca="false">C212*'Revenues &amp; Expenses'!N199</f>
        <v>4338.16812003252</v>
      </c>
      <c r="I212" s="348" t="n">
        <f aca="false">F212*'Company Power Prices'!C212</f>
        <v>209438.78263144</v>
      </c>
      <c r="J212" s="349"/>
      <c r="K212" s="348" t="n">
        <f aca="false">F212*'Company Gas Prices'!E212</f>
        <v>291193.835016991</v>
      </c>
    </row>
    <row r="213" customFormat="false" ht="15.75" hidden="false" customHeight="false" outlineLevel="0" collapsed="false">
      <c r="A213" s="334" t="n">
        <v>2</v>
      </c>
      <c r="B213" s="269" t="n">
        <v>42401</v>
      </c>
      <c r="C213" s="338" t="n">
        <f aca="false">VLOOKUP(A225,$A$5:$S$16,19)</f>
        <v>462.161908422667</v>
      </c>
      <c r="E213" s="333" t="n">
        <f aca="false">E212+1</f>
        <v>183</v>
      </c>
      <c r="F213" s="348" t="n">
        <f aca="false">C213*'Revenues &amp; Expenses'!N200</f>
        <v>144.024848290023</v>
      </c>
      <c r="I213" s="348" t="n">
        <f aca="false">F213*'Company Power Prices'!C213</f>
        <v>6147.18133310314</v>
      </c>
      <c r="J213" s="349"/>
      <c r="K213" s="348" t="n">
        <f aca="false">F213*'Company Gas Prices'!E213</f>
        <v>9676.89208209694</v>
      </c>
    </row>
    <row r="214" customFormat="false" ht="15.75" hidden="false" customHeight="false" outlineLevel="0" collapsed="false">
      <c r="A214" s="334" t="n">
        <v>3</v>
      </c>
      <c r="B214" s="269" t="n">
        <v>42430</v>
      </c>
      <c r="C214" s="338" t="n">
        <f aca="false">VLOOKUP(A226,$A$5:$S$16,19)</f>
        <v>462.161908422667</v>
      </c>
      <c r="E214" s="333" t="n">
        <f aca="false">E213+1</f>
        <v>184</v>
      </c>
      <c r="F214" s="348" t="n">
        <f aca="false">C214*'Revenues &amp; Expenses'!N201</f>
        <v>143.206427291988</v>
      </c>
      <c r="I214" s="348" t="n">
        <f aca="false">F214*'Company Power Prices'!C214</f>
        <v>6112.24998381538</v>
      </c>
      <c r="J214" s="349"/>
      <c r="K214" s="348" t="n">
        <f aca="false">F214*'Company Gas Prices'!E214</f>
        <v>9631.28384736432</v>
      </c>
    </row>
    <row r="215" customFormat="false" ht="15.75" hidden="false" customHeight="false" outlineLevel="0" collapsed="false">
      <c r="A215" s="334" t="n">
        <v>4</v>
      </c>
      <c r="B215" s="269" t="n">
        <v>42461</v>
      </c>
      <c r="C215" s="338" t="n">
        <f aca="false">VLOOKUP(A227,$A$5:$S$16,19)</f>
        <v>6991.63044670222</v>
      </c>
      <c r="E215" s="333" t="n">
        <f aca="false">E214+1</f>
        <v>185</v>
      </c>
      <c r="F215" s="348" t="n">
        <f aca="false">C215*'Revenues &amp; Expenses'!N202</f>
        <v>2153.28533657742</v>
      </c>
      <c r="I215" s="348" t="n">
        <f aca="false">F215*'Company Power Prices'!C215</f>
        <v>101711.613175059</v>
      </c>
      <c r="J215" s="349"/>
      <c r="K215" s="348" t="n">
        <f aca="false">F215*'Company Gas Prices'!E215</f>
        <v>147946.119793385</v>
      </c>
    </row>
    <row r="216" customFormat="false" ht="15.75" hidden="false" customHeight="false" outlineLevel="0" collapsed="false">
      <c r="A216" s="334" t="n">
        <v>5</v>
      </c>
      <c r="B216" s="269" t="n">
        <v>42491</v>
      </c>
      <c r="C216" s="338" t="n">
        <f aca="false">VLOOKUP(A228,$A$5:$S$16,19)</f>
        <v>17781.5048920787</v>
      </c>
      <c r="E216" s="333" t="n">
        <f aca="false">E215+1</f>
        <v>186</v>
      </c>
      <c r="F216" s="348" t="n">
        <f aca="false">C216*'Revenues &amp; Expenses'!N203</f>
        <v>5444.17488961842</v>
      </c>
      <c r="I216" s="348" t="n">
        <f aca="false">F216*'Company Power Prices'!C216</f>
        <v>327815.357346197</v>
      </c>
      <c r="J216" s="349"/>
      <c r="K216" s="348" t="n">
        <f aca="false">F216*'Company Gas Prices'!E216</f>
        <v>365937.665684271</v>
      </c>
    </row>
    <row r="217" customFormat="false" ht="15.75" hidden="false" customHeight="false" outlineLevel="0" collapsed="false">
      <c r="A217" s="334" t="n">
        <v>6</v>
      </c>
      <c r="B217" s="269" t="n">
        <v>42522</v>
      </c>
      <c r="C217" s="338" t="n">
        <f aca="false">VLOOKUP(A229,$A$5:$S$16,19)</f>
        <v>34009.0458633022</v>
      </c>
      <c r="E217" s="333" t="n">
        <f aca="false">E216+1</f>
        <v>187</v>
      </c>
      <c r="F217" s="348" t="n">
        <f aca="false">C217*'Revenues &amp; Expenses'!N204</f>
        <v>10349.3597122893</v>
      </c>
      <c r="I217" s="348" t="n">
        <f aca="false">F217*'Company Power Prices'!C217</f>
        <v>1144197.99407947</v>
      </c>
      <c r="J217" s="349"/>
      <c r="K217" s="348" t="n">
        <f aca="false">F217*'Company Gas Prices'!E217</f>
        <v>695605.967532152</v>
      </c>
    </row>
    <row r="218" customFormat="false" ht="15.75" hidden="false" customHeight="false" outlineLevel="0" collapsed="false">
      <c r="A218" s="334" t="n">
        <v>7</v>
      </c>
      <c r="B218" s="269" t="n">
        <v>42552</v>
      </c>
      <c r="C218" s="338" t="n">
        <f aca="false">VLOOKUP(A230,$A$5:$S$16,19)</f>
        <v>52207.7993917511</v>
      </c>
      <c r="E218" s="333" t="n">
        <f aca="false">E217+1</f>
        <v>188</v>
      </c>
      <c r="F218" s="348" t="n">
        <f aca="false">C218*'Revenues &amp; Expenses'!N205</f>
        <v>15794.1245631825</v>
      </c>
      <c r="I218" s="348" t="n">
        <f aca="false">F218*'Company Power Prices'!C218</f>
        <v>2858070.62773855</v>
      </c>
      <c r="J218" s="349"/>
      <c r="K218" s="348" t="n">
        <f aca="false">F218*'Company Gas Prices'!E218</f>
        <v>1056774.80385372</v>
      </c>
    </row>
    <row r="219" customFormat="false" ht="15.75" hidden="false" customHeight="false" outlineLevel="0" collapsed="false">
      <c r="A219" s="334" t="n">
        <v>8</v>
      </c>
      <c r="B219" s="269" t="n">
        <v>42583</v>
      </c>
      <c r="C219" s="338" t="n">
        <f aca="false">VLOOKUP(A231,$A$5:$S$16,19)</f>
        <v>34805.199594172</v>
      </c>
      <c r="E219" s="333" t="n">
        <f aca="false">E218+1</f>
        <v>189</v>
      </c>
      <c r="F219" s="348" t="n">
        <f aca="false">C219*'Revenues &amp; Expenses'!N206</f>
        <v>10465.5125605428</v>
      </c>
      <c r="I219" s="348" t="n">
        <f aca="false">F219*'Company Power Prices'!C219</f>
        <v>1893816.52233147</v>
      </c>
      <c r="J219" s="349"/>
      <c r="K219" s="348" t="n">
        <f aca="false">F219*'Company Gas Prices'!E219</f>
        <v>700933.964866383</v>
      </c>
    </row>
    <row r="220" customFormat="false" ht="15.75" hidden="false" customHeight="false" outlineLevel="0" collapsed="false">
      <c r="A220" s="334" t="n">
        <v>9</v>
      </c>
      <c r="B220" s="269" t="n">
        <v>42614</v>
      </c>
      <c r="C220" s="338" t="n">
        <f aca="false">VLOOKUP(A232,$A$5:$S$16,19)</f>
        <v>21732.9504229942</v>
      </c>
      <c r="E220" s="333" t="n">
        <f aca="false">E219+1</f>
        <v>190</v>
      </c>
      <c r="F220" s="348" t="n">
        <f aca="false">C220*'Revenues &amp; Expenses'!N207</f>
        <v>6495.1866432444</v>
      </c>
      <c r="I220" s="348" t="n">
        <f aca="false">F220*'Company Power Prices'!C220</f>
        <v>391100.942503823</v>
      </c>
      <c r="J220" s="349"/>
      <c r="K220" s="348" t="n">
        <f aca="false">F220*'Company Gas Prices'!E220</f>
        <v>438301.812812465</v>
      </c>
    </row>
    <row r="221" customFormat="false" ht="15.75" hidden="false" customHeight="false" outlineLevel="0" collapsed="false">
      <c r="A221" s="334" t="n">
        <v>10</v>
      </c>
      <c r="B221" s="269" t="n">
        <v>42644</v>
      </c>
      <c r="C221" s="338" t="n">
        <f aca="false">VLOOKUP(A233,$A$5:$S$16,19)</f>
        <v>2847.45208691378</v>
      </c>
      <c r="E221" s="333" t="n">
        <f aca="false">E220+1</f>
        <v>191</v>
      </c>
      <c r="F221" s="348" t="n">
        <f aca="false">C221*'Revenues &amp; Expenses'!N208</f>
        <v>846.00234065618</v>
      </c>
      <c r="I221" s="348" t="n">
        <f aca="false">F221*'Company Power Prices'!C221</f>
        <v>41991.6170848344</v>
      </c>
      <c r="J221" s="349"/>
      <c r="K221" s="348" t="n">
        <f aca="false">F221*'Company Gas Prices'!E221</f>
        <v>56824.6073412756</v>
      </c>
    </row>
    <row r="222" customFormat="false" ht="15.75" hidden="false" customHeight="false" outlineLevel="0" collapsed="false">
      <c r="A222" s="334" t="n">
        <v>11</v>
      </c>
      <c r="B222" s="269" t="n">
        <v>42675</v>
      </c>
      <c r="C222" s="338" t="n">
        <f aca="false">VLOOKUP(A234,$A$5:$S$16,19)</f>
        <v>7520.635146164</v>
      </c>
      <c r="E222" s="333" t="n">
        <f aca="false">E221+1</f>
        <v>192</v>
      </c>
      <c r="F222" s="348" t="n">
        <f aca="false">C222*'Revenues &amp; Expenses'!N209</f>
        <v>2220.88951979495</v>
      </c>
      <c r="I222" s="348" t="n">
        <f aca="false">F222*'Company Power Prices'!C222</f>
        <v>114009.182829311</v>
      </c>
      <c r="J222" s="349"/>
      <c r="K222" s="348" t="n">
        <f aca="false">F222*'Company Gas Prices'!E222</f>
        <v>149321.638516455</v>
      </c>
    </row>
    <row r="223" customFormat="false" ht="15.75" hidden="false" customHeight="false" outlineLevel="0" collapsed="false">
      <c r="A223" s="334" t="n">
        <v>12</v>
      </c>
      <c r="B223" s="269" t="n">
        <v>42705</v>
      </c>
      <c r="C223" s="338" t="n">
        <f aca="false">VLOOKUP(A235,$A$5:$S$16,19)</f>
        <v>7520.635146164</v>
      </c>
      <c r="D223" s="342" t="n">
        <f aca="false">SUM(C212:C223)</f>
        <v>200177.386770754</v>
      </c>
      <c r="E223" s="333" t="n">
        <f aca="false">E222+1</f>
        <v>193</v>
      </c>
      <c r="F223" s="348" t="n">
        <f aca="false">C223*'Revenues &amp; Expenses'!N210</f>
        <v>2207.8514456955</v>
      </c>
      <c r="G223" s="350" t="n">
        <f aca="false">SUM(F212:F223)</f>
        <v>60601.786407216</v>
      </c>
      <c r="H223" s="342" t="n">
        <f aca="false">D223</f>
        <v>200177.386770754</v>
      </c>
      <c r="I223" s="348" t="n">
        <f aca="false">F223*'Company Power Prices'!C223</f>
        <v>113339.874356064</v>
      </c>
      <c r="J223" s="349" t="n">
        <f aca="false">SUM(I212:I223)/SUM(F212:F223)</f>
        <v>118.936294995668</v>
      </c>
      <c r="K223" s="348" t="n">
        <f aca="false">F223*'Company Gas Prices'!E223</f>
        <v>148592.566303275</v>
      </c>
      <c r="L223" s="349" t="n">
        <f aca="false">SUM(K212:K223)/SUM(F212:F223)</f>
        <v>67.1719663558485</v>
      </c>
    </row>
    <row r="224" customFormat="false" ht="15.75" hidden="false" customHeight="false" outlineLevel="0" collapsed="false">
      <c r="A224" s="334" t="n">
        <v>1</v>
      </c>
      <c r="B224" s="269" t="n">
        <v>42736</v>
      </c>
      <c r="C224" s="338" t="n">
        <f aca="false">VLOOKUP(A236,$A$5:$T$16,20)</f>
        <v>14369.0338688431</v>
      </c>
      <c r="E224" s="333" t="n">
        <f aca="false">E223+1</f>
        <v>194</v>
      </c>
      <c r="F224" s="348" t="n">
        <f aca="false">C224*'Revenues &amp; Expenses'!N211</f>
        <v>4192.76881308568</v>
      </c>
      <c r="I224" s="348" t="n">
        <f aca="false">F224*'Company Power Prices'!C224</f>
        <v>202264.704555675</v>
      </c>
      <c r="J224" s="349"/>
      <c r="K224" s="348" t="n">
        <f aca="false">F224*'Company Gas Prices'!E224</f>
        <v>284763.038984905</v>
      </c>
    </row>
    <row r="225" customFormat="false" ht="15.75" hidden="false" customHeight="false" outlineLevel="0" collapsed="false">
      <c r="A225" s="334" t="n">
        <v>2</v>
      </c>
      <c r="B225" s="269" t="n">
        <v>42767</v>
      </c>
      <c r="C225" s="338" t="n">
        <f aca="false">VLOOKUP(A237,$A$5:$T$16,20)</f>
        <v>451.658228528889</v>
      </c>
      <c r="E225" s="333" t="n">
        <f aca="false">E224+1</f>
        <v>195</v>
      </c>
      <c r="F225" s="348" t="n">
        <f aca="false">C225*'Revenues &amp; Expenses'!N212</f>
        <v>130.991061545698</v>
      </c>
      <c r="I225" s="348" t="n">
        <f aca="false">F225*'Company Power Prices'!C225</f>
        <v>5585.88760329264</v>
      </c>
      <c r="J225" s="349"/>
      <c r="K225" s="348" t="n">
        <f aca="false">F225*'Company Gas Prices'!E225</f>
        <v>8905.39879864338</v>
      </c>
    </row>
    <row r="226" customFormat="false" ht="15.75" hidden="false" customHeight="false" outlineLevel="0" collapsed="false">
      <c r="A226" s="334" t="n">
        <v>3</v>
      </c>
      <c r="B226" s="269" t="n">
        <v>42795</v>
      </c>
      <c r="C226" s="338" t="n">
        <f aca="false">VLOOKUP(A238,$A$5:$T$16,20)</f>
        <v>451.658228528889</v>
      </c>
      <c r="E226" s="333" t="n">
        <f aca="false">E225+1</f>
        <v>196</v>
      </c>
      <c r="F226" s="348" t="n">
        <f aca="false">C226*'Revenues &amp; Expenses'!N213</f>
        <v>130.273477048824</v>
      </c>
      <c r="I226" s="348" t="n">
        <f aca="false">F226*'Company Power Prices'!C226</f>
        <v>5555.28745166317</v>
      </c>
      <c r="J226" s="349"/>
      <c r="K226" s="348" t="n">
        <f aca="false">F226*'Company Gas Prices'!E226</f>
        <v>8865.3779001448</v>
      </c>
    </row>
    <row r="227" customFormat="false" ht="15.75" hidden="false" customHeight="false" outlineLevel="0" collapsed="false">
      <c r="A227" s="334" t="n">
        <v>4</v>
      </c>
      <c r="B227" s="269" t="n">
        <v>42826</v>
      </c>
      <c r="C227" s="338" t="n">
        <f aca="false">VLOOKUP(A239,$A$5:$T$16,20)</f>
        <v>6578.06214510978</v>
      </c>
      <c r="E227" s="333" t="n">
        <f aca="false">E226+1</f>
        <v>197</v>
      </c>
      <c r="F227" s="348" t="n">
        <f aca="false">C227*'Revenues &amp; Expenses'!N214</f>
        <v>1885.83259186692</v>
      </c>
      <c r="I227" s="348" t="n">
        <f aca="false">F227*'Company Power Prices'!C227</f>
        <v>89146.372491027</v>
      </c>
      <c r="J227" s="349"/>
      <c r="K227" s="348" t="n">
        <f aca="false">F227*'Company Gas Prices'!E227</f>
        <v>131077.505767409</v>
      </c>
    </row>
    <row r="228" customFormat="false" ht="15.75" hidden="false" customHeight="false" outlineLevel="0" collapsed="false">
      <c r="A228" s="334" t="n">
        <v>5</v>
      </c>
      <c r="B228" s="269" t="n">
        <v>42856</v>
      </c>
      <c r="C228" s="338" t="n">
        <f aca="false">VLOOKUP(A240,$A$5:$T$16,20)</f>
        <v>17594.7584429431</v>
      </c>
      <c r="E228" s="333" t="n">
        <f aca="false">E227+1</f>
        <v>198</v>
      </c>
      <c r="F228" s="348" t="n">
        <f aca="false">C228*'Revenues &amp; Expenses'!N215</f>
        <v>5014.56311651344</v>
      </c>
      <c r="I228" s="348" t="n">
        <f aca="false">F228*'Company Power Prices'!C228</f>
        <v>301542.888271035</v>
      </c>
      <c r="J228" s="349"/>
      <c r="K228" s="348" t="n">
        <f aca="false">F228*'Company Gas Prices'!E228</f>
        <v>341077.660626693</v>
      </c>
    </row>
    <row r="229" customFormat="false" ht="15.75" hidden="false" customHeight="false" outlineLevel="0" collapsed="false">
      <c r="A229" s="334" t="n">
        <v>6</v>
      </c>
      <c r="B229" s="269" t="n">
        <v>42887</v>
      </c>
      <c r="C229" s="338" t="n">
        <f aca="false">VLOOKUP(A241,$A$5:$T$16,20)</f>
        <v>33747.4211586307</v>
      </c>
      <c r="E229" s="333" t="n">
        <f aca="false">E228+1</f>
        <v>199</v>
      </c>
      <c r="F229" s="348" t="n">
        <f aca="false">C229*'Revenues &amp; Expenses'!N216</f>
        <v>9559.83057616773</v>
      </c>
      <c r="I229" s="348" t="n">
        <f aca="false">F229*'Company Power Prices'!C229</f>
        <v>1053255.98471202</v>
      </c>
      <c r="J229" s="349"/>
      <c r="K229" s="348" t="n">
        <f aca="false">F229*'Company Gas Prices'!E229</f>
        <v>650214.734643496</v>
      </c>
    </row>
    <row r="230" customFormat="false" ht="15.75" hidden="false" customHeight="false" outlineLevel="0" collapsed="false">
      <c r="A230" s="334" t="n">
        <v>7</v>
      </c>
      <c r="B230" s="269" t="n">
        <v>42917</v>
      </c>
      <c r="C230" s="338" t="n">
        <f aca="false">VLOOKUP(A242,$A$5:$T$16,20)</f>
        <v>51980.4550535542</v>
      </c>
      <c r="E230" s="333" t="n">
        <f aca="false">E229+1</f>
        <v>200</v>
      </c>
      <c r="F230" s="348" t="n">
        <f aca="false">C230*'Revenues &amp; Expenses'!N217</f>
        <v>14638.4471783555</v>
      </c>
      <c r="I230" s="348" t="n">
        <f aca="false">F230*'Company Power Prices'!C230</f>
        <v>2636508.25420488</v>
      </c>
      <c r="J230" s="349"/>
      <c r="K230" s="348" t="n">
        <f aca="false">F230*'Company Gas Prices'!E230</f>
        <v>991227.544326021</v>
      </c>
    </row>
    <row r="231" customFormat="false" ht="15.75" hidden="false" customHeight="false" outlineLevel="0" collapsed="false">
      <c r="A231" s="334" t="n">
        <v>8</v>
      </c>
      <c r="B231" s="269" t="n">
        <v>42948</v>
      </c>
      <c r="C231" s="338" t="n">
        <f aca="false">VLOOKUP(A243,$A$5:$T$16,20)</f>
        <v>34653.636701712</v>
      </c>
      <c r="E231" s="333" t="n">
        <f aca="false">E230+1</f>
        <v>201</v>
      </c>
      <c r="F231" s="348" t="n">
        <f aca="false">C231*'Revenues &amp; Expenses'!N218</f>
        <v>9699.83363841836</v>
      </c>
      <c r="I231" s="348" t="n">
        <f aca="false">F231*'Company Power Prices'!C231</f>
        <v>1747022.14931086</v>
      </c>
      <c r="J231" s="349"/>
      <c r="K231" s="348" t="n">
        <f aca="false">F231*'Company Gas Prices'!E231</f>
        <v>657474.181401587</v>
      </c>
    </row>
    <row r="232" customFormat="false" ht="15.75" hidden="false" customHeight="false" outlineLevel="0" collapsed="false">
      <c r="A232" s="334" t="n">
        <v>9</v>
      </c>
      <c r="B232" s="269" t="n">
        <v>42979</v>
      </c>
      <c r="C232" s="338" t="n">
        <f aca="false">VLOOKUP(A244,$A$5:$T$16,20)</f>
        <v>21504.7047644738</v>
      </c>
      <c r="E232" s="333" t="n">
        <f aca="false">E231+1</f>
        <v>202</v>
      </c>
      <c r="F232" s="348" t="n">
        <f aca="false">C232*'Revenues &amp; Expenses'!N219</f>
        <v>5982.87397726675</v>
      </c>
      <c r="I232" s="348" t="n">
        <f aca="false">F232*'Company Power Prices'!C232</f>
        <v>359770.743203047</v>
      </c>
      <c r="J232" s="349"/>
      <c r="K232" s="348" t="n">
        <f aca="false">F232*'Company Gas Prices'!E232</f>
        <v>408565.791042929</v>
      </c>
    </row>
    <row r="233" customFormat="false" ht="15.75" hidden="false" customHeight="false" outlineLevel="0" collapsed="false">
      <c r="A233" s="334" t="n">
        <v>10</v>
      </c>
      <c r="B233" s="269" t="n">
        <v>43009</v>
      </c>
      <c r="C233" s="338" t="n">
        <f aca="false">VLOOKUP(A245,$A$5:$T$16,20)</f>
        <v>2945.69821723644</v>
      </c>
      <c r="E233" s="333" t="n">
        <f aca="false">E232+1</f>
        <v>203</v>
      </c>
      <c r="F233" s="348" t="n">
        <f aca="false">C233*'Revenues &amp; Expenses'!N220</f>
        <v>814.724933630384</v>
      </c>
      <c r="I233" s="348" t="n">
        <f aca="false">F233*'Company Power Prices'!C233</f>
        <v>40501.2309968082</v>
      </c>
      <c r="J233" s="349"/>
      <c r="K233" s="348" t="n">
        <f aca="false">F233*'Company Gas Prices'!E233</f>
        <v>55383.6787872192</v>
      </c>
    </row>
    <row r="234" customFormat="false" ht="15.75" hidden="false" customHeight="false" outlineLevel="0" collapsed="false">
      <c r="A234" s="334" t="n">
        <v>11</v>
      </c>
      <c r="B234" s="269" t="n">
        <v>43040</v>
      </c>
      <c r="C234" s="338" t="n">
        <f aca="false">VLOOKUP(A246,$A$5:$T$16,20)</f>
        <v>7349.71162072</v>
      </c>
      <c r="E234" s="333" t="n">
        <f aca="false">E233+1</f>
        <v>204</v>
      </c>
      <c r="F234" s="348" t="n">
        <f aca="false">C234*'Revenues &amp; Expenses'!N221</f>
        <v>2020.48058388538</v>
      </c>
      <c r="I234" s="348" t="n">
        <f aca="false">F234*'Company Power Prices'!C234</f>
        <v>103711.736112092</v>
      </c>
      <c r="J234" s="349"/>
      <c r="K234" s="348" t="n">
        <f aca="false">F234*'Company Gas Prices'!E234</f>
        <v>137487.351259506</v>
      </c>
    </row>
    <row r="235" customFormat="false" ht="15.75" hidden="false" customHeight="false" outlineLevel="0" collapsed="false">
      <c r="A235" s="334" t="n">
        <v>12</v>
      </c>
      <c r="B235" s="269" t="n">
        <v>43070</v>
      </c>
      <c r="C235" s="338" t="n">
        <f aca="false">VLOOKUP(A247,$A$5:$T$16,20)</f>
        <v>7349.71162072</v>
      </c>
      <c r="D235" s="342" t="n">
        <f aca="false">SUM(C224:C235)</f>
        <v>198976.510051001</v>
      </c>
      <c r="E235" s="333" t="n">
        <f aca="false">E234+1</f>
        <v>205</v>
      </c>
      <c r="F235" s="348" t="n">
        <f aca="false">C235*'Revenues &amp; Expenses'!N222</f>
        <v>2008.63842819114</v>
      </c>
      <c r="G235" s="350" t="n">
        <f aca="false">SUM(F224:F235)</f>
        <v>56079.2583759758</v>
      </c>
      <c r="H235" s="342" t="n">
        <f aca="false">D235</f>
        <v>198976.510051001</v>
      </c>
      <c r="I235" s="348" t="n">
        <f aca="false">F235*'Company Power Prices'!C235</f>
        <v>103103.875518848</v>
      </c>
      <c r="J235" s="349" t="n">
        <f aca="false">SUM(I224:I235)/SUM(F224:F235)</f>
        <v>118.545952763156</v>
      </c>
      <c r="K235" s="348" t="n">
        <f aca="false">F235*'Company Gas Prices'!E235</f>
        <v>136819.384745269</v>
      </c>
      <c r="L235" s="349" t="n">
        <f aca="false">SUM(K224:K235)/SUM(F224:F235)</f>
        <v>67.9727542530558</v>
      </c>
    </row>
    <row r="236" customFormat="false" ht="15.75" hidden="false" customHeight="false" outlineLevel="0" collapsed="false">
      <c r="A236" s="334" t="n">
        <v>1</v>
      </c>
      <c r="B236" s="269" t="n">
        <v>43101</v>
      </c>
      <c r="C236" s="338" t="n">
        <f aca="false">VLOOKUP(A248,$A$5:$U$16,21)</f>
        <v>14846.4738565733</v>
      </c>
      <c r="E236" s="333" t="n">
        <f aca="false">E235+1</f>
        <v>206</v>
      </c>
      <c r="F236" s="348" t="n">
        <f aca="false">C236*'Revenues &amp; Expenses'!N223</f>
        <v>4032.89705727479</v>
      </c>
      <c r="I236" s="348" t="n">
        <f aca="false">F236*'Company Power Prices'!C236</f>
        <v>194512.403729899</v>
      </c>
      <c r="J236" s="349"/>
      <c r="K236" s="348" t="n">
        <f aca="false">F236*'Company Gas Prices'!E236</f>
        <v>277193.385623181</v>
      </c>
    </row>
    <row r="237" customFormat="false" ht="15.75" hidden="false" customHeight="false" outlineLevel="0" collapsed="false">
      <c r="A237" s="334" t="n">
        <v>2</v>
      </c>
      <c r="B237" s="269" t="n">
        <v>43132</v>
      </c>
      <c r="C237" s="338" t="n">
        <f aca="false">VLOOKUP(A249,$A$5:$U$16,21)</f>
        <v>436.697953415111</v>
      </c>
      <c r="E237" s="333" t="n">
        <f aca="false">E236+1</f>
        <v>207</v>
      </c>
      <c r="F237" s="348" t="n">
        <f aca="false">C237*'Revenues &amp; Expenses'!N224</f>
        <v>117.9064853154</v>
      </c>
      <c r="I237" s="348" t="n">
        <f aca="false">F237*'Company Power Prices'!C237</f>
        <v>5026.91453643839</v>
      </c>
      <c r="J237" s="349"/>
      <c r="K237" s="348" t="n">
        <f aca="false">F237*'Company Gas Prices'!E237</f>
        <v>8112.20246897975</v>
      </c>
    </row>
    <row r="238" customFormat="false" ht="15.75" hidden="false" customHeight="false" outlineLevel="0" collapsed="false">
      <c r="A238" s="334" t="n">
        <v>3</v>
      </c>
      <c r="B238" s="269" t="n">
        <v>43160</v>
      </c>
      <c r="C238" s="338" t="n">
        <f aca="false">VLOOKUP(A250,$A$5:$U$16,21)</f>
        <v>436.697953415111</v>
      </c>
      <c r="E238" s="333" t="n">
        <f aca="false">E237+1</f>
        <v>208</v>
      </c>
      <c r="F238" s="348" t="n">
        <f aca="false">C238*'Revenues &amp; Expenses'!N225</f>
        <v>117.261636011176</v>
      </c>
      <c r="I238" s="348" t="n">
        <f aca="false">F238*'Company Power Prices'!C238</f>
        <v>4999.42154203233</v>
      </c>
      <c r="J238" s="349"/>
      <c r="K238" s="348" t="n">
        <f aca="false">F238*'Company Gas Prices'!E238</f>
        <v>8075.9371139382</v>
      </c>
    </row>
    <row r="239" customFormat="false" ht="15.75" hidden="false" customHeight="false" outlineLevel="0" collapsed="false">
      <c r="A239" s="334" t="n">
        <v>4</v>
      </c>
      <c r="B239" s="269" t="n">
        <v>43191</v>
      </c>
      <c r="C239" s="338" t="n">
        <f aca="false">VLOOKUP(A251,$A$5:$U$16,21)</f>
        <v>6815.61516638178</v>
      </c>
      <c r="E239" s="333" t="n">
        <f aca="false">E238+1</f>
        <v>209</v>
      </c>
      <c r="F239" s="348" t="n">
        <f aca="false">C239*'Revenues &amp; Expenses'!N226</f>
        <v>1819.04428319328</v>
      </c>
      <c r="I239" s="348" t="n">
        <f aca="false">F239*'Company Power Prices'!C239</f>
        <v>86070.2141801389</v>
      </c>
      <c r="J239" s="349"/>
      <c r="K239" s="348" t="n">
        <f aca="false">F239*'Company Gas Prices'!E239</f>
        <v>127928.466268375</v>
      </c>
    </row>
    <row r="240" customFormat="false" ht="15.75" hidden="false" customHeight="false" outlineLevel="0" collapsed="false">
      <c r="A240" s="334" t="n">
        <v>5</v>
      </c>
      <c r="B240" s="269" t="n">
        <v>43221</v>
      </c>
      <c r="C240" s="338" t="n">
        <f aca="false">VLOOKUP(A252,$A$5:$U$16,21)</f>
        <v>17179.0080329653</v>
      </c>
      <c r="E240" s="333" t="n">
        <f aca="false">E239+1</f>
        <v>210</v>
      </c>
      <c r="F240" s="348" t="n">
        <f aca="false">C240*'Revenues &amp; Expenses'!N227</f>
        <v>4558.11327506173</v>
      </c>
      <c r="I240" s="348" t="n">
        <f aca="false">F240*'Company Power Prices'!C240</f>
        <v>274570.48592928</v>
      </c>
      <c r="J240" s="349"/>
      <c r="K240" s="348" t="n">
        <f aca="false">F240*'Company Gas Prices'!E240</f>
        <v>313781.0007235</v>
      </c>
    </row>
    <row r="241" customFormat="false" ht="15.75" hidden="false" customHeight="false" outlineLevel="0" collapsed="false">
      <c r="A241" s="334" t="n">
        <v>6</v>
      </c>
      <c r="B241" s="269" t="n">
        <v>43252</v>
      </c>
      <c r="C241" s="338" t="n">
        <f aca="false">VLOOKUP(A253,$A$5:$U$16,21)</f>
        <v>32295.2558628342</v>
      </c>
      <c r="E241" s="333" t="n">
        <f aca="false">E240+1</f>
        <v>211</v>
      </c>
      <c r="F241" s="348" t="n">
        <f aca="false">C241*'Revenues &amp; Expenses'!N228</f>
        <v>8517.06385252803</v>
      </c>
      <c r="I241" s="348" t="n">
        <f aca="false">F241*'Company Power Prices'!C241</f>
        <v>940619.601344931</v>
      </c>
      <c r="J241" s="349"/>
      <c r="K241" s="348" t="n">
        <f aca="false">F241*'Company Gas Prices'!E241</f>
        <v>586313.060936751</v>
      </c>
    </row>
    <row r="242" customFormat="false" ht="15.75" hidden="false" customHeight="false" outlineLevel="0" collapsed="false">
      <c r="A242" s="334" t="n">
        <v>7</v>
      </c>
      <c r="B242" s="269" t="n">
        <v>43282</v>
      </c>
      <c r="C242" s="338" t="n">
        <f aca="false">VLOOKUP(A254,$A$5:$U$16,21)</f>
        <v>53178.4376410778</v>
      </c>
      <c r="E242" s="333" t="n">
        <f aca="false">E241+1</f>
        <v>212</v>
      </c>
      <c r="F242" s="348" t="n">
        <f aca="false">C242*'Revenues &amp; Expenses'!N229</f>
        <v>13942.3592140556</v>
      </c>
      <c r="I242" s="348" t="n">
        <f aca="false">F242*'Company Power Prices'!C242</f>
        <v>2519896.28038137</v>
      </c>
      <c r="J242" s="349"/>
      <c r="K242" s="348" t="n">
        <f aca="false">F242*'Company Gas Prices'!E242</f>
        <v>955613.842106316</v>
      </c>
    </row>
    <row r="243" customFormat="false" ht="15.75" hidden="false" customHeight="false" outlineLevel="0" collapsed="false">
      <c r="A243" s="334" t="n">
        <v>8</v>
      </c>
      <c r="B243" s="269" t="n">
        <v>43313</v>
      </c>
      <c r="C243" s="338" t="n">
        <f aca="false">VLOOKUP(A255,$A$5:$U$16,21)</f>
        <v>35452.291761376</v>
      </c>
      <c r="E243" s="333" t="n">
        <f aca="false">E242+1</f>
        <v>213</v>
      </c>
      <c r="F243" s="348" t="n">
        <f aca="false">C243*'Revenues &amp; Expenses'!N230</f>
        <v>9238.6789467096</v>
      </c>
      <c r="I243" s="348" t="n">
        <f aca="false">F243*'Company Power Prices'!C243</f>
        <v>1669768.53458069</v>
      </c>
      <c r="J243" s="349"/>
      <c r="K243" s="348" t="n">
        <f aca="false">F243*'Company Gas Prices'!E243</f>
        <v>633867.486903296</v>
      </c>
    </row>
    <row r="244" customFormat="false" ht="15.75" hidden="false" customHeight="false" outlineLevel="0" collapsed="false">
      <c r="A244" s="334" t="n">
        <v>9</v>
      </c>
      <c r="B244" s="269" t="n">
        <v>43344</v>
      </c>
      <c r="C244" s="338" t="n">
        <f aca="false">VLOOKUP(A256,$A$5:$U$16,21)</f>
        <v>20996.5653742818</v>
      </c>
      <c r="E244" s="333" t="n">
        <f aca="false">E243+1</f>
        <v>214</v>
      </c>
      <c r="F244" s="348" t="n">
        <f aca="false">C244*'Revenues &amp; Expenses'!N231</f>
        <v>5438.49900347495</v>
      </c>
      <c r="I244" s="348" t="n">
        <f aca="false">F244*'Company Power Prices'!C244</f>
        <v>327602.940953633</v>
      </c>
      <c r="J244" s="349"/>
      <c r="K244" s="348" t="n">
        <f aca="false">F244*'Company Gas Prices'!E244</f>
        <v>375904.919997233</v>
      </c>
    </row>
    <row r="245" customFormat="false" ht="15.75" hidden="false" customHeight="false" outlineLevel="0" collapsed="false">
      <c r="A245" s="334" t="n">
        <v>10</v>
      </c>
      <c r="B245" s="269" t="n">
        <v>43374</v>
      </c>
      <c r="C245" s="338" t="n">
        <f aca="false">VLOOKUP(A257,$A$5:$U$16,21)</f>
        <v>3064.95338096578</v>
      </c>
      <c r="E245" s="333" t="n">
        <f aca="false">E244+1</f>
        <v>215</v>
      </c>
      <c r="F245" s="348" t="n">
        <f aca="false">C245*'Revenues &amp; Expenses'!N232</f>
        <v>789.233016340839</v>
      </c>
      <c r="I245" s="348" t="n">
        <f aca="false">F245*'Company Power Prices'!C245</f>
        <v>39230.3865464154</v>
      </c>
      <c r="J245" s="349"/>
      <c r="K245" s="348" t="n">
        <f aca="false">F245*'Company Gas Prices'!E245</f>
        <v>54307.31593874</v>
      </c>
    </row>
    <row r="246" customFormat="false" ht="15.75" hidden="false" customHeight="false" outlineLevel="0" collapsed="false">
      <c r="A246" s="334" t="n">
        <v>11</v>
      </c>
      <c r="B246" s="269" t="n">
        <v>43405</v>
      </c>
      <c r="C246" s="338" t="n">
        <f aca="false">VLOOKUP(A258,$A$5:$U$16,21)</f>
        <v>7342.86756395111</v>
      </c>
      <c r="E246" s="333" t="n">
        <f aca="false">E245+1</f>
        <v>216</v>
      </c>
      <c r="F246" s="348" t="n">
        <f aca="false">C246*'Revenues &amp; Expenses'!N233</f>
        <v>1879.37318262304</v>
      </c>
      <c r="I246" s="348" t="n">
        <f aca="false">F246*'Company Power Prices'!C246</f>
        <v>96481.2461185305</v>
      </c>
      <c r="J246" s="349"/>
      <c r="K246" s="348" t="n">
        <f aca="false">F246*'Company Gas Prices'!E246</f>
        <v>129452.298220869</v>
      </c>
    </row>
    <row r="247" customFormat="false" ht="15.75" hidden="false" customHeight="false" outlineLevel="0" collapsed="false">
      <c r="A247" s="334" t="n">
        <v>12</v>
      </c>
      <c r="B247" s="269" t="n">
        <v>43435</v>
      </c>
      <c r="C247" s="338" t="n">
        <f aca="false">VLOOKUP(A259,$A$5:$U$16,21)</f>
        <v>7342.86756395111</v>
      </c>
      <c r="D247" s="342" t="n">
        <f aca="false">SUM(C236:C247)</f>
        <v>199387.732111188</v>
      </c>
      <c r="E247" s="333" t="n">
        <f aca="false">E246+1</f>
        <v>217</v>
      </c>
      <c r="F247" s="348" t="n">
        <f aca="false">C247*'Revenues &amp; Expenses'!N234</f>
        <v>1868.37609960517</v>
      </c>
      <c r="G247" s="350" t="n">
        <f aca="false">SUM(F236:F247)</f>
        <v>52318.8060521936</v>
      </c>
      <c r="H247" s="342" t="n">
        <f aca="false">D247</f>
        <v>199387.732111188</v>
      </c>
      <c r="I247" s="348" t="n">
        <f aca="false">F247*'Company Power Prices'!C247</f>
        <v>95916.689657343</v>
      </c>
      <c r="J247" s="349" t="n">
        <f aca="false">SUM(I236:I247)/SUM(F236:F247)</f>
        <v>119.549653202349</v>
      </c>
      <c r="K247" s="348" t="n">
        <f aca="false">F247*'Company Gas Prices'!E247</f>
        <v>128826.503632547</v>
      </c>
      <c r="L247" s="349" t="n">
        <f aca="false">SUM(K236:K247)/SUM(F236:F247)</f>
        <v>68.7969908247325</v>
      </c>
    </row>
    <row r="248" customFormat="false" ht="15.75" hidden="false" customHeight="false" outlineLevel="0" collapsed="false">
      <c r="A248" s="334" t="n">
        <v>1</v>
      </c>
      <c r="B248" s="269" t="n">
        <v>43466</v>
      </c>
      <c r="C248" s="338" t="n">
        <f aca="false">VLOOKUP(A260,$A$5:$V$16,22)</f>
        <v>14724.4615222258</v>
      </c>
      <c r="E248" s="333" t="n">
        <f aca="false">E247+1</f>
        <v>218</v>
      </c>
      <c r="F248" s="348" t="n">
        <f aca="false">C248*'Revenues &amp; Expenses'!N235</f>
        <v>3723.95746190468</v>
      </c>
      <c r="I248" s="348" t="n">
        <f aca="false">F248*'Company Power Prices'!C248</f>
        <v>179469.343038501</v>
      </c>
      <c r="J248" s="349"/>
      <c r="K248" s="348" t="n">
        <f aca="false">F248*'Company Gas Prices'!E248</f>
        <v>259077.556074254</v>
      </c>
    </row>
    <row r="249" customFormat="false" ht="15.75" hidden="false" customHeight="false" outlineLevel="0" collapsed="false">
      <c r="A249" s="334" t="n">
        <v>2</v>
      </c>
      <c r="B249" s="269" t="n">
        <v>43497</v>
      </c>
      <c r="C249" s="338" t="n">
        <f aca="false">VLOOKUP(A261,$A$5:$V$16,22)</f>
        <v>421.950755557333</v>
      </c>
      <c r="E249" s="333" t="n">
        <f aca="false">E248+1</f>
        <v>219</v>
      </c>
      <c r="F249" s="348" t="n">
        <f aca="false">C249*'Revenues &amp; Expenses'!N236</f>
        <v>106.070376155178</v>
      </c>
      <c r="I249" s="348" t="n">
        <f aca="false">F249*'Company Power Prices'!C249</f>
        <v>4521.44780958181</v>
      </c>
      <c r="J249" s="349"/>
      <c r="K249" s="348" t="n">
        <f aca="false">F249*'Company Gas Prices'!E249</f>
        <v>7386.87789244022</v>
      </c>
    </row>
    <row r="250" customFormat="false" ht="15.75" hidden="false" customHeight="false" outlineLevel="0" collapsed="false">
      <c r="A250" s="334" t="n">
        <v>3</v>
      </c>
      <c r="B250" s="269" t="n">
        <v>43525</v>
      </c>
      <c r="C250" s="338" t="n">
        <f aca="false">VLOOKUP(A262,$A$5:$V$16,22)</f>
        <v>421.950755557333</v>
      </c>
      <c r="E250" s="333" t="n">
        <f aca="false">E249+1</f>
        <v>220</v>
      </c>
      <c r="F250" s="348" t="n">
        <f aca="false">C250*'Revenues &amp; Expenses'!N237</f>
        <v>105.491210761531</v>
      </c>
      <c r="I250" s="348" t="n">
        <f aca="false">F250*'Company Power Prices'!C250</f>
        <v>4496.75980341637</v>
      </c>
      <c r="J250" s="349"/>
      <c r="K250" s="348" t="n">
        <f aca="false">F250*'Company Gas Prices'!E250</f>
        <v>7354.02920689097</v>
      </c>
    </row>
    <row r="251" customFormat="false" ht="15.75" hidden="false" customHeight="false" outlineLevel="0" collapsed="false">
      <c r="A251" s="334" t="n">
        <v>4</v>
      </c>
      <c r="B251" s="269" t="n">
        <v>43556</v>
      </c>
      <c r="C251" s="338" t="n">
        <f aca="false">VLOOKUP(A263,$A$5:$V$16,22)</f>
        <v>7063.13974937511</v>
      </c>
      <c r="E251" s="333" t="n">
        <f aca="false">E250+1</f>
        <v>221</v>
      </c>
      <c r="F251" s="348" t="n">
        <f aca="false">C251*'Revenues &amp; Expenses'!N238</f>
        <v>1755.17351742134</v>
      </c>
      <c r="I251" s="348" t="n">
        <f aca="false">F251*'Company Power Prices'!C251</f>
        <v>83102.0077059857</v>
      </c>
      <c r="J251" s="349"/>
      <c r="K251" s="348" t="n">
        <f aca="false">F251*'Company Gas Prices'!E251</f>
        <v>124916.257289002</v>
      </c>
    </row>
    <row r="252" customFormat="false" ht="15.75" hidden="false" customHeight="false" outlineLevel="0" collapsed="false">
      <c r="A252" s="334" t="n">
        <v>5</v>
      </c>
      <c r="B252" s="269" t="n">
        <v>43586</v>
      </c>
      <c r="C252" s="338" t="n">
        <f aca="false">VLOOKUP(A264,$A$5:$V$16,22)</f>
        <v>16567.6543775711</v>
      </c>
      <c r="E252" s="333" t="n">
        <f aca="false">E251+1</f>
        <v>222</v>
      </c>
      <c r="F252" s="348" t="n">
        <f aca="false">C252*'Revenues &amp; Expenses'!N239</f>
        <v>4092.94865229221</v>
      </c>
      <c r="I252" s="348" t="n">
        <f aca="false">F252*'Company Power Prices'!C252</f>
        <v>236356.552390888</v>
      </c>
      <c r="J252" s="349"/>
      <c r="K252" s="348" t="n">
        <f aca="false">F252*'Company Gas Prices'!E252</f>
        <v>285217.132226527</v>
      </c>
    </row>
    <row r="253" customFormat="false" ht="15.75" hidden="false" customHeight="false" outlineLevel="0" collapsed="false">
      <c r="A253" s="334" t="n">
        <v>6</v>
      </c>
      <c r="B253" s="269" t="n">
        <v>43617</v>
      </c>
      <c r="C253" s="338" t="n">
        <f aca="false">VLOOKUP(A265,$A$5:$V$16,22)</f>
        <v>29151.9587726111</v>
      </c>
      <c r="E253" s="333" t="n">
        <f aca="false">E252+1</f>
        <v>223</v>
      </c>
      <c r="F253" s="348" t="n">
        <f aca="false">C253*'Revenues &amp; Expenses'!N240</f>
        <v>7158.32620978242</v>
      </c>
      <c r="I253" s="348" t="n">
        <f aca="false">F253*'Company Power Prices'!C253</f>
        <v>745126.738111436</v>
      </c>
      <c r="J253" s="349"/>
      <c r="K253" s="348" t="n">
        <f aca="false">F253*'Company Gas Prices'!E253</f>
        <v>498839.29848457</v>
      </c>
    </row>
    <row r="254" customFormat="false" ht="15.75" hidden="false" customHeight="false" outlineLevel="0" collapsed="false">
      <c r="A254" s="334" t="n">
        <v>7</v>
      </c>
      <c r="B254" s="269" t="n">
        <v>43647</v>
      </c>
      <c r="C254" s="338" t="n">
        <f aca="false">VLOOKUP(A266,$A$5:$V$16,22)</f>
        <v>51855.3411183671</v>
      </c>
      <c r="E254" s="333" t="n">
        <f aca="false">E253+1</f>
        <v>224</v>
      </c>
      <c r="F254" s="348" t="n">
        <f aca="false">C254*'Revenues &amp; Expenses'!N241</f>
        <v>12658.7537748283</v>
      </c>
      <c r="I254" s="348" t="n">
        <f aca="false">F254*'Company Power Prices'!C254</f>
        <v>2055267.62712084</v>
      </c>
      <c r="J254" s="349"/>
      <c r="K254" s="348" t="n">
        <f aca="false">F254*'Company Gas Prices'!E254</f>
        <v>878378.02604557</v>
      </c>
    </row>
    <row r="255" customFormat="false" ht="15.75" hidden="false" customHeight="false" outlineLevel="0" collapsed="false">
      <c r="A255" s="334" t="n">
        <v>8</v>
      </c>
      <c r="B255" s="269" t="n">
        <v>43678</v>
      </c>
      <c r="C255" s="338" t="n">
        <f aca="false">VLOOKUP(A267,$A$5:$V$16,22)</f>
        <v>34570.227411916</v>
      </c>
      <c r="E255" s="333" t="n">
        <f aca="false">E254+1</f>
        <v>225</v>
      </c>
      <c r="F255" s="348" t="n">
        <f aca="false">C255*'Revenues &amp; Expenses'!N242</f>
        <v>8388.20221802773</v>
      </c>
      <c r="I255" s="348" t="n">
        <f aca="false">F255*'Company Power Prices'!C255</f>
        <v>1361903.4523554</v>
      </c>
      <c r="J255" s="349"/>
      <c r="K255" s="348" t="n">
        <f aca="false">F255*'Company Gas Prices'!E255</f>
        <v>582650.634533123</v>
      </c>
    </row>
    <row r="256" customFormat="false" ht="15.75" hidden="false" customHeight="false" outlineLevel="0" collapsed="false">
      <c r="A256" s="334" t="n">
        <v>9</v>
      </c>
      <c r="B256" s="269" t="n">
        <v>43709</v>
      </c>
      <c r="C256" s="338" t="n">
        <f aca="false">VLOOKUP(A268,$A$5:$V$16,22)</f>
        <v>20249.3553512413</v>
      </c>
      <c r="E256" s="333" t="n">
        <f aca="false">E255+1</f>
        <v>226</v>
      </c>
      <c r="F256" s="348" t="n">
        <f aca="false">C256*'Revenues &amp; Expenses'!N243</f>
        <v>4883.68251616418</v>
      </c>
      <c r="I256" s="348" t="n">
        <f aca="false">F256*'Company Power Prices'!C256</f>
        <v>282019.263018552</v>
      </c>
      <c r="J256" s="349"/>
      <c r="K256" s="348" t="n">
        <f aca="false">F256*'Company Gas Prices'!E256</f>
        <v>341719.433148268</v>
      </c>
    </row>
    <row r="257" customFormat="false" ht="15.75" hidden="false" customHeight="false" outlineLevel="0" collapsed="false">
      <c r="A257" s="334" t="n">
        <v>10</v>
      </c>
      <c r="B257" s="269" t="n">
        <v>43739</v>
      </c>
      <c r="C257" s="338" t="n">
        <f aca="false">VLOOKUP(A269,$A$5:$V$16,22)</f>
        <v>3045.43021362844</v>
      </c>
      <c r="E257" s="333" t="n">
        <f aca="false">E256+1</f>
        <v>227</v>
      </c>
      <c r="F257" s="348" t="n">
        <f aca="false">C257*'Revenues &amp; Expenses'!N244</f>
        <v>730.196324376154</v>
      </c>
      <c r="I257" s="348" t="n">
        <f aca="false">F257*'Company Power Prices'!C257</f>
        <v>36305.7279890863</v>
      </c>
      <c r="J257" s="349"/>
      <c r="K257" s="348" t="n">
        <f aca="false">F257*'Company Gas Prices'!E257</f>
        <v>50868.8129760873</v>
      </c>
    </row>
    <row r="258" customFormat="false" ht="15.75" hidden="false" customHeight="false" outlineLevel="0" collapsed="false">
      <c r="A258" s="334" t="n">
        <v>11</v>
      </c>
      <c r="B258" s="269" t="n">
        <v>43770</v>
      </c>
      <c r="C258" s="338" t="n">
        <f aca="false">VLOOKUP(A270,$A$5:$V$16,22)</f>
        <v>7342.86756395111</v>
      </c>
      <c r="E258" s="333" t="n">
        <f aca="false">E257+1</f>
        <v>228</v>
      </c>
      <c r="F258" s="348" t="n">
        <f aca="false">C258*'Revenues &amp; Expenses'!N245</f>
        <v>1749.95538237355</v>
      </c>
      <c r="I258" s="348" t="n">
        <f aca="false">F258*'Company Power Prices'!C258</f>
        <v>89829.5837732128</v>
      </c>
      <c r="J258" s="349"/>
      <c r="K258" s="348" t="n">
        <f aca="false">F258*'Company Gas Prices'!E258</f>
        <v>122036.282645119</v>
      </c>
    </row>
    <row r="259" customFormat="false" ht="15.75" hidden="false" customHeight="false" outlineLevel="0" collapsed="false">
      <c r="A259" s="334" t="n">
        <v>12</v>
      </c>
      <c r="B259" s="269" t="n">
        <v>43800</v>
      </c>
      <c r="C259" s="338" t="n">
        <f aca="false">VLOOKUP(A271,$A$5:$V$16,22)</f>
        <v>7342.86756395111</v>
      </c>
      <c r="D259" s="342" t="n">
        <f aca="false">SUM(C248:C259)</f>
        <v>192757.205155953</v>
      </c>
      <c r="E259" s="333" t="n">
        <f aca="false">E258+1</f>
        <v>229</v>
      </c>
      <c r="F259" s="348" t="n">
        <f aca="false">C259*'Revenues &amp; Expenses'!N246</f>
        <v>1739.73237578671</v>
      </c>
      <c r="G259" s="350" t="n">
        <f aca="false">SUM(F248:F259)</f>
        <v>47092.490019874</v>
      </c>
      <c r="H259" s="342" t="n">
        <f aca="false">D259</f>
        <v>192757.205155953</v>
      </c>
      <c r="I259" s="348" t="n">
        <f aca="false">F259*'Company Power Prices'!C259</f>
        <v>89304.8112928076</v>
      </c>
      <c r="J259" s="349" t="n">
        <f aca="false">SUM(I248:I259)/SUM(F248:F259)</f>
        <v>109.735189458634</v>
      </c>
      <c r="K259" s="348" t="n">
        <f aca="false">F259*'Company Gas Prices'!E259</f>
        <v>121449.297182783</v>
      </c>
      <c r="L259" s="349" t="n">
        <f aca="false">SUM(K248:K259)/SUM(F248:F259)</f>
        <v>69.6479127844048</v>
      </c>
    </row>
    <row r="260" customFormat="false" ht="15.75" hidden="false" customHeight="false" outlineLevel="0" collapsed="false">
      <c r="A260" s="334" t="n">
        <v>1</v>
      </c>
      <c r="B260" s="269" t="n">
        <v>43831</v>
      </c>
      <c r="G260" s="351" t="n">
        <f aca="false">SUM(G25:G259)</f>
        <v>2024948.20744609</v>
      </c>
      <c r="H260" s="351" t="n">
        <f aca="false">SUM(H25:H259)</f>
        <v>3915555.75618317</v>
      </c>
      <c r="J260" s="349"/>
    </row>
    <row r="261" customFormat="false" ht="15.75" hidden="false" customHeight="false" outlineLevel="0" collapsed="false">
      <c r="A261" s="334" t="n">
        <v>2</v>
      </c>
      <c r="B261" s="269" t="n">
        <v>43862</v>
      </c>
      <c r="H261" s="348" t="n">
        <f aca="false">SUM(D25:D259)</f>
        <v>3915555.75618317</v>
      </c>
      <c r="J261" s="349"/>
    </row>
    <row r="262" customFormat="false" ht="15.75" hidden="false" customHeight="false" outlineLevel="0" collapsed="false">
      <c r="A262" s="334" t="n">
        <v>3</v>
      </c>
      <c r="B262" s="269" t="n">
        <v>43891</v>
      </c>
      <c r="J262" s="349"/>
    </row>
    <row r="263" customFormat="false" ht="15.75" hidden="false" customHeight="false" outlineLevel="0" collapsed="false">
      <c r="A263" s="334" t="n">
        <v>4</v>
      </c>
      <c r="B263" s="269" t="n">
        <v>43922</v>
      </c>
      <c r="J263" s="349"/>
    </row>
    <row r="264" customFormat="false" ht="15.75" hidden="false" customHeight="false" outlineLevel="0" collapsed="false">
      <c r="A264" s="334" t="n">
        <v>5</v>
      </c>
      <c r="B264" s="269" t="n">
        <v>43952</v>
      </c>
      <c r="J264" s="349"/>
    </row>
    <row r="265" customFormat="false" ht="15.75" hidden="false" customHeight="false" outlineLevel="0" collapsed="false">
      <c r="A265" s="334" t="n">
        <v>6</v>
      </c>
      <c r="B265" s="269" t="n">
        <v>43983</v>
      </c>
      <c r="J265" s="349"/>
    </row>
    <row r="266" customFormat="false" ht="15.75" hidden="false" customHeight="false" outlineLevel="0" collapsed="false">
      <c r="A266" s="334" t="n">
        <v>7</v>
      </c>
      <c r="B266" s="269" t="n">
        <v>44013</v>
      </c>
      <c r="J266" s="349"/>
    </row>
    <row r="267" customFormat="false" ht="15.75" hidden="false" customHeight="false" outlineLevel="0" collapsed="false">
      <c r="A267" s="334" t="n">
        <v>8</v>
      </c>
      <c r="B267" s="269" t="n">
        <v>44044</v>
      </c>
      <c r="J267" s="349"/>
    </row>
    <row r="268" customFormat="false" ht="15.75" hidden="false" customHeight="false" outlineLevel="0" collapsed="false">
      <c r="A268" s="334" t="n">
        <v>9</v>
      </c>
      <c r="B268" s="269" t="n">
        <v>44075</v>
      </c>
      <c r="J268" s="349"/>
    </row>
    <row r="269" customFormat="false" ht="15.75" hidden="false" customHeight="false" outlineLevel="0" collapsed="false">
      <c r="A269" s="334" t="n">
        <v>10</v>
      </c>
      <c r="B269" s="269" t="n">
        <v>44105</v>
      </c>
      <c r="J269" s="349"/>
    </row>
    <row r="270" customFormat="false" ht="15.75" hidden="false" customHeight="false" outlineLevel="0" collapsed="false">
      <c r="A270" s="334" t="n">
        <v>11</v>
      </c>
      <c r="B270" s="269" t="n">
        <v>44136</v>
      </c>
      <c r="J270" s="349"/>
    </row>
    <row r="271" customFormat="false" ht="15.75" hidden="false" customHeight="false" outlineLevel="0" collapsed="false">
      <c r="A271" s="334" t="n">
        <v>12</v>
      </c>
      <c r="B271" s="269" t="n">
        <v>44166</v>
      </c>
      <c r="G271" s="350"/>
      <c r="H271" s="342"/>
      <c r="J271" s="349"/>
      <c r="L271" s="349"/>
    </row>
    <row r="272" customFormat="false" ht="15.75" hidden="false" customHeight="false" outlineLevel="0" collapsed="false">
      <c r="A272" s="334" t="n">
        <v>1</v>
      </c>
      <c r="B272" s="269" t="n">
        <v>44197</v>
      </c>
      <c r="C272" s="338" t="n">
        <f aca="false">VLOOKUP(A272,$A$5:$W$16,23)</f>
        <v>0</v>
      </c>
      <c r="J272" s="349"/>
    </row>
    <row r="273" customFormat="false" ht="15.75" hidden="false" customHeight="false" outlineLevel="0" collapsed="false">
      <c r="A273" s="334" t="n">
        <v>2</v>
      </c>
      <c r="B273" s="269" t="n">
        <v>44228</v>
      </c>
      <c r="C273" s="338" t="n">
        <f aca="false">VLOOKUP(A273,$A$5:$W$16,23)</f>
        <v>0</v>
      </c>
      <c r="J273" s="349"/>
    </row>
    <row r="274" customFormat="false" ht="15.75" hidden="false" customHeight="false" outlineLevel="0" collapsed="false">
      <c r="A274" s="334" t="n">
        <v>3</v>
      </c>
      <c r="B274" s="269" t="n">
        <v>44256</v>
      </c>
      <c r="C274" s="338" t="n">
        <f aca="false">VLOOKUP(A274,$A$5:$W$16,23)</f>
        <v>0</v>
      </c>
      <c r="J274" s="349"/>
    </row>
    <row r="275" customFormat="false" ht="15.75" hidden="false" customHeight="false" outlineLevel="0" collapsed="false">
      <c r="A275" s="334" t="n">
        <v>4</v>
      </c>
      <c r="B275" s="269" t="n">
        <v>44287</v>
      </c>
      <c r="C275" s="338" t="n">
        <f aca="false">VLOOKUP(A275,$A$5:$W$16,23)</f>
        <v>0</v>
      </c>
      <c r="J275" s="349"/>
    </row>
    <row r="276" customFormat="false" ht="15.75" hidden="false" customHeight="false" outlineLevel="0" collapsed="false">
      <c r="A276" s="334" t="n">
        <v>5</v>
      </c>
      <c r="B276" s="269" t="n">
        <v>44317</v>
      </c>
      <c r="C276" s="338" t="n">
        <f aca="false">VLOOKUP(A276,$A$5:$W$16,23)</f>
        <v>0</v>
      </c>
      <c r="J276" s="349"/>
    </row>
    <row r="277" customFormat="false" ht="15.75" hidden="false" customHeight="false" outlineLevel="0" collapsed="false">
      <c r="A277" s="334" t="n">
        <v>6</v>
      </c>
      <c r="B277" s="269" t="n">
        <v>44348</v>
      </c>
      <c r="C277" s="338" t="n">
        <f aca="false">VLOOKUP(A277,$A$5:$W$16,23)</f>
        <v>0</v>
      </c>
      <c r="J277" s="349"/>
    </row>
    <row r="278" customFormat="false" ht="15.75" hidden="false" customHeight="false" outlineLevel="0" collapsed="false">
      <c r="A278" s="334" t="n">
        <v>7</v>
      </c>
      <c r="B278" s="269" t="n">
        <v>44378</v>
      </c>
      <c r="C278" s="338" t="n">
        <f aca="false">VLOOKUP(A278,$A$5:$W$16,23)</f>
        <v>0</v>
      </c>
      <c r="J278" s="349"/>
    </row>
    <row r="279" customFormat="false" ht="15.75" hidden="false" customHeight="false" outlineLevel="0" collapsed="false">
      <c r="A279" s="334" t="n">
        <v>8</v>
      </c>
      <c r="B279" s="269" t="n">
        <v>44409</v>
      </c>
      <c r="C279" s="338" t="n">
        <f aca="false">VLOOKUP(A279,$A$5:$W$16,23)</f>
        <v>0</v>
      </c>
      <c r="J279" s="349"/>
    </row>
    <row r="280" customFormat="false" ht="15.75" hidden="false" customHeight="false" outlineLevel="0" collapsed="false">
      <c r="A280" s="334" t="n">
        <v>9</v>
      </c>
      <c r="B280" s="269" t="n">
        <v>44440</v>
      </c>
      <c r="C280" s="338" t="n">
        <f aca="false">VLOOKUP(A280,$A$5:$W$16,23)</f>
        <v>0</v>
      </c>
      <c r="J280" s="349"/>
    </row>
    <row r="281" customFormat="false" ht="15.75" hidden="false" customHeight="false" outlineLevel="0" collapsed="false">
      <c r="A281" s="334" t="n">
        <v>10</v>
      </c>
      <c r="B281" s="269" t="n">
        <v>44470</v>
      </c>
      <c r="C281" s="338" t="n">
        <f aca="false">VLOOKUP(A281,$A$5:$W$16,23)</f>
        <v>0</v>
      </c>
      <c r="J281" s="349"/>
    </row>
    <row r="282" customFormat="false" ht="15.75" hidden="false" customHeight="false" outlineLevel="0" collapsed="false">
      <c r="A282" s="334" t="n">
        <v>11</v>
      </c>
      <c r="B282" s="269" t="n">
        <v>44501</v>
      </c>
      <c r="C282" s="338" t="n">
        <f aca="false">VLOOKUP(A282,$A$5:$W$16,23)</f>
        <v>0</v>
      </c>
      <c r="J282" s="349"/>
    </row>
    <row r="283" customFormat="false" ht="15.75" hidden="false" customHeight="false" outlineLevel="0" collapsed="false">
      <c r="A283" s="334" t="n">
        <v>12</v>
      </c>
      <c r="B283" s="269" t="n">
        <v>44531</v>
      </c>
      <c r="C283" s="338" t="n">
        <f aca="false">VLOOKUP(A283,$A$5:$W$16,23)</f>
        <v>0</v>
      </c>
      <c r="D283" s="342" t="n">
        <f aca="false">SUM(C272:C283)</f>
        <v>0</v>
      </c>
      <c r="G283" s="350"/>
      <c r="H283" s="342"/>
      <c r="J283" s="349"/>
      <c r="L283" s="349"/>
    </row>
    <row r="284" customFormat="false" ht="15.75" hidden="false" customHeight="false" outlineLevel="0" collapsed="false">
      <c r="A284" s="334" t="n">
        <v>1</v>
      </c>
      <c r="B284" s="269" t="n">
        <v>44562</v>
      </c>
      <c r="J284" s="349"/>
    </row>
    <row r="285" customFormat="false" ht="15.75" hidden="false" customHeight="false" outlineLevel="0" collapsed="false">
      <c r="A285" s="334" t="n">
        <v>2</v>
      </c>
      <c r="B285" s="269" t="n">
        <v>44593</v>
      </c>
      <c r="J285" s="349"/>
    </row>
    <row r="286" customFormat="false" ht="15.75" hidden="false" customHeight="false" outlineLevel="0" collapsed="false">
      <c r="A286" s="334" t="n">
        <v>3</v>
      </c>
      <c r="B286" s="269" t="n">
        <v>44621</v>
      </c>
      <c r="J286" s="349"/>
    </row>
    <row r="287" customFormat="false" ht="15.75" hidden="false" customHeight="false" outlineLevel="0" collapsed="false">
      <c r="A287" s="334" t="n">
        <v>4</v>
      </c>
      <c r="B287" s="269" t="n">
        <v>44652</v>
      </c>
      <c r="J287" s="349"/>
    </row>
    <row r="288" customFormat="false" ht="15.75" hidden="false" customHeight="false" outlineLevel="0" collapsed="false">
      <c r="A288" s="334" t="n">
        <v>5</v>
      </c>
      <c r="B288" s="269" t="n">
        <v>44682</v>
      </c>
      <c r="J288" s="349"/>
    </row>
    <row r="289" customFormat="false" ht="15.75" hidden="false" customHeight="false" outlineLevel="0" collapsed="false">
      <c r="A289" s="334" t="n">
        <v>6</v>
      </c>
      <c r="B289" s="269" t="n">
        <v>44713</v>
      </c>
      <c r="J289" s="349"/>
    </row>
    <row r="290" customFormat="false" ht="15.75" hidden="false" customHeight="false" outlineLevel="0" collapsed="false">
      <c r="A290" s="334" t="n">
        <v>7</v>
      </c>
      <c r="B290" s="269" t="n">
        <v>44743</v>
      </c>
      <c r="J290" s="349"/>
    </row>
    <row r="291" customFormat="false" ht="15.75" hidden="false" customHeight="false" outlineLevel="0" collapsed="false">
      <c r="A291" s="334" t="n">
        <v>8</v>
      </c>
      <c r="B291" s="269" t="n">
        <v>44774</v>
      </c>
      <c r="J291" s="349"/>
    </row>
    <row r="292" customFormat="false" ht="15.75" hidden="false" customHeight="false" outlineLevel="0" collapsed="false">
      <c r="A292" s="334" t="n">
        <v>9</v>
      </c>
      <c r="B292" s="269" t="n">
        <v>44805</v>
      </c>
      <c r="J292" s="349"/>
    </row>
    <row r="293" customFormat="false" ht="15.75" hidden="false" customHeight="false" outlineLevel="0" collapsed="false">
      <c r="A293" s="334" t="n">
        <v>10</v>
      </c>
      <c r="B293" s="269" t="n">
        <v>44835</v>
      </c>
      <c r="J293" s="349"/>
    </row>
    <row r="294" customFormat="false" ht="15.75" hidden="false" customHeight="false" outlineLevel="0" collapsed="false">
      <c r="A294" s="334" t="n">
        <v>11</v>
      </c>
      <c r="B294" s="269" t="n">
        <v>44866</v>
      </c>
      <c r="J294" s="349"/>
    </row>
    <row r="295" customFormat="false" ht="15.75" hidden="false" customHeight="false" outlineLevel="0" collapsed="false">
      <c r="A295" s="334" t="n">
        <v>12</v>
      </c>
      <c r="B295" s="269" t="n">
        <v>44896</v>
      </c>
      <c r="G295" s="350"/>
      <c r="H295" s="342"/>
      <c r="J295" s="349"/>
      <c r="L295" s="349"/>
    </row>
    <row r="296" customFormat="false" ht="15.75" hidden="false" customHeight="false" outlineLevel="0" collapsed="false">
      <c r="A296" s="334" t="n">
        <v>1</v>
      </c>
      <c r="B296" s="269" t="n">
        <v>44927</v>
      </c>
      <c r="J296" s="349"/>
    </row>
    <row r="297" customFormat="false" ht="15.75" hidden="false" customHeight="false" outlineLevel="0" collapsed="false">
      <c r="A297" s="334" t="n">
        <v>2</v>
      </c>
      <c r="B297" s="269" t="n">
        <v>44958</v>
      </c>
      <c r="J297" s="349"/>
    </row>
    <row r="298" customFormat="false" ht="15.75" hidden="false" customHeight="false" outlineLevel="0" collapsed="false">
      <c r="A298" s="334" t="n">
        <v>3</v>
      </c>
      <c r="B298" s="269" t="n">
        <v>44986</v>
      </c>
      <c r="J298" s="349"/>
    </row>
    <row r="299" customFormat="false" ht="15.75" hidden="false" customHeight="false" outlineLevel="0" collapsed="false">
      <c r="A299" s="334" t="n">
        <v>4</v>
      </c>
      <c r="B299" s="269" t="n">
        <v>45017</v>
      </c>
      <c r="J299" s="349"/>
    </row>
    <row r="300" customFormat="false" ht="15.75" hidden="false" customHeight="false" outlineLevel="0" collapsed="false">
      <c r="A300" s="334" t="n">
        <v>5</v>
      </c>
      <c r="B300" s="269" t="n">
        <v>45047</v>
      </c>
      <c r="J300" s="349"/>
    </row>
    <row r="301" customFormat="false" ht="15.75" hidden="false" customHeight="false" outlineLevel="0" collapsed="false">
      <c r="A301" s="334" t="n">
        <v>6</v>
      </c>
      <c r="B301" s="269" t="n">
        <v>45078</v>
      </c>
      <c r="J301" s="349"/>
    </row>
    <row r="302" customFormat="false" ht="15.75" hidden="false" customHeight="false" outlineLevel="0" collapsed="false">
      <c r="A302" s="334" t="n">
        <v>7</v>
      </c>
      <c r="B302" s="269" t="n">
        <v>45108</v>
      </c>
      <c r="J302" s="349"/>
    </row>
    <row r="303" customFormat="false" ht="15.75" hidden="false" customHeight="false" outlineLevel="0" collapsed="false">
      <c r="A303" s="334" t="n">
        <v>8</v>
      </c>
      <c r="B303" s="269" t="n">
        <v>45139</v>
      </c>
      <c r="J303" s="349"/>
    </row>
    <row r="304" customFormat="false" ht="15.75" hidden="false" customHeight="false" outlineLevel="0" collapsed="false">
      <c r="A304" s="334" t="n">
        <v>9</v>
      </c>
      <c r="B304" s="269" t="n">
        <v>45170</v>
      </c>
      <c r="J304" s="349"/>
    </row>
    <row r="305" customFormat="false" ht="15.75" hidden="false" customHeight="false" outlineLevel="0" collapsed="false">
      <c r="A305" s="334" t="n">
        <v>10</v>
      </c>
      <c r="B305" s="269" t="n">
        <v>45200</v>
      </c>
      <c r="J305" s="349"/>
    </row>
    <row r="306" customFormat="false" ht="15.75" hidden="false" customHeight="false" outlineLevel="0" collapsed="false">
      <c r="A306" s="334" t="n">
        <v>11</v>
      </c>
      <c r="B306" s="269" t="n">
        <v>45231</v>
      </c>
      <c r="J306" s="349"/>
    </row>
    <row r="307" customFormat="false" ht="15.75" hidden="false" customHeight="false" outlineLevel="0" collapsed="false">
      <c r="A307" s="334" t="n">
        <v>12</v>
      </c>
      <c r="B307" s="269" t="n">
        <v>45261</v>
      </c>
      <c r="G307" s="350"/>
      <c r="H307" s="342"/>
      <c r="J307" s="349"/>
      <c r="L307" s="349"/>
    </row>
    <row r="308" customFormat="false" ht="15.75" hidden="false" customHeight="false" outlineLevel="0" collapsed="false">
      <c r="A308" s="334" t="n">
        <v>1</v>
      </c>
      <c r="B308" s="269" t="n">
        <v>45292</v>
      </c>
      <c r="J308" s="349"/>
    </row>
    <row r="309" customFormat="false" ht="15.75" hidden="false" customHeight="false" outlineLevel="0" collapsed="false">
      <c r="A309" s="334" t="n">
        <v>2</v>
      </c>
      <c r="B309" s="269" t="n">
        <v>45323</v>
      </c>
      <c r="J309" s="349"/>
    </row>
    <row r="310" customFormat="false" ht="15.75" hidden="false" customHeight="false" outlineLevel="0" collapsed="false">
      <c r="A310" s="334" t="n">
        <v>3</v>
      </c>
      <c r="B310" s="269" t="n">
        <v>45352</v>
      </c>
      <c r="J310" s="349"/>
    </row>
    <row r="311" customFormat="false" ht="15.75" hidden="false" customHeight="false" outlineLevel="0" collapsed="false">
      <c r="A311" s="334" t="n">
        <v>4</v>
      </c>
      <c r="B311" s="269" t="n">
        <v>45383</v>
      </c>
      <c r="J311" s="349"/>
    </row>
    <row r="312" customFormat="false" ht="15.75" hidden="false" customHeight="false" outlineLevel="0" collapsed="false">
      <c r="A312" s="334" t="n">
        <v>5</v>
      </c>
      <c r="B312" s="269" t="n">
        <v>45413</v>
      </c>
      <c r="J312" s="349"/>
    </row>
    <row r="313" customFormat="false" ht="15.75" hidden="false" customHeight="false" outlineLevel="0" collapsed="false">
      <c r="A313" s="334" t="n">
        <v>6</v>
      </c>
      <c r="B313" s="269" t="n">
        <v>45444</v>
      </c>
      <c r="J313" s="349"/>
    </row>
    <row r="314" customFormat="false" ht="15.75" hidden="false" customHeight="false" outlineLevel="0" collapsed="false">
      <c r="A314" s="334" t="n">
        <v>7</v>
      </c>
      <c r="B314" s="269" t="n">
        <v>45474</v>
      </c>
      <c r="J314" s="349"/>
    </row>
    <row r="315" customFormat="false" ht="15.75" hidden="false" customHeight="false" outlineLevel="0" collapsed="false">
      <c r="A315" s="334" t="n">
        <v>8</v>
      </c>
      <c r="B315" s="269" t="n">
        <v>45505</v>
      </c>
      <c r="J315" s="349"/>
    </row>
    <row r="316" customFormat="false" ht="15.75" hidden="false" customHeight="false" outlineLevel="0" collapsed="false">
      <c r="A316" s="334" t="n">
        <v>9</v>
      </c>
      <c r="B316" s="269" t="n">
        <v>45536</v>
      </c>
      <c r="J316" s="349"/>
    </row>
    <row r="317" customFormat="false" ht="15.75" hidden="false" customHeight="false" outlineLevel="0" collapsed="false">
      <c r="A317" s="334" t="n">
        <v>10</v>
      </c>
      <c r="B317" s="269" t="n">
        <v>45566</v>
      </c>
      <c r="J317" s="349"/>
    </row>
    <row r="318" customFormat="false" ht="15.75" hidden="false" customHeight="false" outlineLevel="0" collapsed="false">
      <c r="A318" s="334" t="n">
        <v>11</v>
      </c>
      <c r="B318" s="269" t="n">
        <v>45597</v>
      </c>
      <c r="J318" s="349"/>
    </row>
    <row r="319" customFormat="false" ht="15.75" hidden="false" customHeight="false" outlineLevel="0" collapsed="false">
      <c r="A319" s="334" t="n">
        <v>12</v>
      </c>
      <c r="B319" s="269" t="n">
        <v>45627</v>
      </c>
      <c r="G319" s="350"/>
      <c r="H319" s="342"/>
      <c r="J319" s="349"/>
      <c r="L319" s="349"/>
    </row>
    <row r="320" customFormat="false" ht="15.75" hidden="false" customHeight="false" outlineLevel="0" collapsed="false">
      <c r="A320" s="334" t="n">
        <v>1</v>
      </c>
      <c r="B320" s="269" t="n">
        <v>45658</v>
      </c>
      <c r="J320" s="349"/>
    </row>
    <row r="321" customFormat="false" ht="15.75" hidden="false" customHeight="false" outlineLevel="0" collapsed="false">
      <c r="A321" s="334" t="n">
        <v>2</v>
      </c>
      <c r="B321" s="269" t="n">
        <v>45689</v>
      </c>
      <c r="J321" s="349"/>
    </row>
    <row r="322" customFormat="false" ht="15.75" hidden="false" customHeight="false" outlineLevel="0" collapsed="false">
      <c r="A322" s="334" t="n">
        <v>3</v>
      </c>
      <c r="B322" s="269" t="n">
        <v>45717</v>
      </c>
      <c r="J322" s="349"/>
    </row>
    <row r="323" customFormat="false" ht="15.75" hidden="false" customHeight="false" outlineLevel="0" collapsed="false">
      <c r="A323" s="334" t="n">
        <v>4</v>
      </c>
      <c r="B323" s="269" t="n">
        <v>45748</v>
      </c>
      <c r="J323" s="349"/>
    </row>
    <row r="324" customFormat="false" ht="15.75" hidden="false" customHeight="false" outlineLevel="0" collapsed="false">
      <c r="A324" s="334" t="n">
        <v>5</v>
      </c>
      <c r="B324" s="269" t="n">
        <v>45778</v>
      </c>
      <c r="J324" s="349"/>
    </row>
    <row r="325" customFormat="false" ht="15.75" hidden="false" customHeight="false" outlineLevel="0" collapsed="false">
      <c r="A325" s="334" t="n">
        <v>6</v>
      </c>
      <c r="B325" s="269" t="n">
        <v>45809</v>
      </c>
      <c r="J325" s="349"/>
    </row>
    <row r="326" customFormat="false" ht="15.75" hidden="false" customHeight="false" outlineLevel="0" collapsed="false">
      <c r="A326" s="334" t="n">
        <v>7</v>
      </c>
      <c r="B326" s="269" t="n">
        <v>45839</v>
      </c>
      <c r="J326" s="349"/>
    </row>
    <row r="327" customFormat="false" ht="15.75" hidden="false" customHeight="false" outlineLevel="0" collapsed="false">
      <c r="A327" s="334" t="n">
        <v>8</v>
      </c>
      <c r="B327" s="269" t="n">
        <v>45870</v>
      </c>
      <c r="J327" s="349"/>
    </row>
    <row r="328" customFormat="false" ht="15.75" hidden="false" customHeight="false" outlineLevel="0" collapsed="false">
      <c r="A328" s="334" t="n">
        <v>9</v>
      </c>
      <c r="B328" s="269" t="n">
        <v>45901</v>
      </c>
      <c r="J328" s="349"/>
    </row>
    <row r="329" customFormat="false" ht="15.75" hidden="false" customHeight="false" outlineLevel="0" collapsed="false">
      <c r="A329" s="334" t="n">
        <v>10</v>
      </c>
      <c r="B329" s="269" t="n">
        <v>45931</v>
      </c>
      <c r="J329" s="349"/>
    </row>
    <row r="330" customFormat="false" ht="15.75" hidden="false" customHeight="false" outlineLevel="0" collapsed="false">
      <c r="A330" s="334" t="n">
        <v>11</v>
      </c>
      <c r="B330" s="269" t="n">
        <v>45962</v>
      </c>
      <c r="J330" s="349"/>
    </row>
    <row r="331" customFormat="false" ht="15.75" hidden="false" customHeight="false" outlineLevel="0" collapsed="false">
      <c r="A331" s="334" t="n">
        <v>12</v>
      </c>
      <c r="B331" s="269" t="n">
        <v>45992</v>
      </c>
      <c r="J331" s="349"/>
    </row>
    <row r="332" customFormat="false" ht="15.75" hidden="false" customHeight="false" outlineLevel="0" collapsed="false">
      <c r="A332" s="334" t="n">
        <v>1</v>
      </c>
      <c r="B332" s="269" t="n">
        <v>46023</v>
      </c>
      <c r="J332" s="349"/>
    </row>
    <row r="333" customFormat="false" ht="15.75" hidden="false" customHeight="false" outlineLevel="0" collapsed="false">
      <c r="A333" s="334" t="n">
        <v>2</v>
      </c>
      <c r="B333" s="269" t="n">
        <v>46054</v>
      </c>
      <c r="J333" s="349"/>
    </row>
    <row r="334" customFormat="false" ht="15.75" hidden="false" customHeight="false" outlineLevel="0" collapsed="false">
      <c r="A334" s="334" t="n">
        <v>3</v>
      </c>
      <c r="B334" s="269" t="n">
        <v>46082</v>
      </c>
      <c r="J334" s="349"/>
    </row>
    <row r="335" customFormat="false" ht="15.75" hidden="false" customHeight="false" outlineLevel="0" collapsed="false">
      <c r="A335" s="334" t="n">
        <v>4</v>
      </c>
      <c r="B335" s="269" t="n">
        <v>46113</v>
      </c>
      <c r="J335" s="349"/>
    </row>
    <row r="336" customFormat="false" ht="15.75" hidden="false" customHeight="false" outlineLevel="0" collapsed="false">
      <c r="A336" s="334" t="n">
        <v>5</v>
      </c>
      <c r="B336" s="269" t="n">
        <v>46143</v>
      </c>
      <c r="J336" s="349"/>
    </row>
    <row r="337" customFormat="false" ht="15.75" hidden="false" customHeight="false" outlineLevel="0" collapsed="false">
      <c r="A337" s="334" t="n">
        <v>6</v>
      </c>
      <c r="B337" s="269" t="n">
        <v>46174</v>
      </c>
      <c r="J337" s="349"/>
    </row>
    <row r="338" customFormat="false" ht="15.75" hidden="false" customHeight="false" outlineLevel="0" collapsed="false">
      <c r="A338" s="334" t="n">
        <v>7</v>
      </c>
      <c r="B338" s="269" t="n">
        <v>46204</v>
      </c>
      <c r="J338" s="349"/>
    </row>
    <row r="339" customFormat="false" ht="15.75" hidden="false" customHeight="false" outlineLevel="0" collapsed="false">
      <c r="A339" s="334" t="n">
        <v>8</v>
      </c>
      <c r="B339" s="269" t="n">
        <v>46235</v>
      </c>
      <c r="J339" s="349"/>
    </row>
    <row r="340" customFormat="false" ht="15.75" hidden="false" customHeight="false" outlineLevel="0" collapsed="false">
      <c r="A340" s="334" t="n">
        <v>9</v>
      </c>
      <c r="B340" s="269" t="n">
        <v>46266</v>
      </c>
      <c r="J340" s="349"/>
    </row>
    <row r="341" customFormat="false" ht="15.75" hidden="false" customHeight="false" outlineLevel="0" collapsed="false">
      <c r="A341" s="334" t="n">
        <v>10</v>
      </c>
      <c r="B341" s="269" t="n">
        <v>46296</v>
      </c>
      <c r="J341" s="349"/>
    </row>
    <row r="342" customFormat="false" ht="15.75" hidden="false" customHeight="false" outlineLevel="0" collapsed="false">
      <c r="A342" s="334" t="n">
        <v>11</v>
      </c>
      <c r="B342" s="269" t="n">
        <v>46327</v>
      </c>
      <c r="J342" s="349"/>
    </row>
    <row r="343" customFormat="false" ht="15.75" hidden="false" customHeight="false" outlineLevel="0" collapsed="false">
      <c r="A343" s="334" t="n">
        <v>12</v>
      </c>
      <c r="B343" s="269" t="n">
        <v>46357</v>
      </c>
      <c r="J343" s="349"/>
    </row>
    <row r="344" customFormat="false" ht="15.75" hidden="false" customHeight="false" outlineLevel="0" collapsed="false">
      <c r="A344" s="334" t="n">
        <v>1</v>
      </c>
      <c r="B344" s="269" t="n">
        <v>46388</v>
      </c>
      <c r="J344" s="349"/>
    </row>
    <row r="345" customFormat="false" ht="15.75" hidden="false" customHeight="false" outlineLevel="0" collapsed="false">
      <c r="A345" s="334" t="n">
        <v>2</v>
      </c>
      <c r="B345" s="269" t="n">
        <v>46419</v>
      </c>
      <c r="J345" s="349"/>
    </row>
    <row r="346" customFormat="false" ht="15.75" hidden="false" customHeight="false" outlineLevel="0" collapsed="false">
      <c r="A346" s="334" t="n">
        <v>3</v>
      </c>
      <c r="B346" s="269" t="n">
        <v>46447</v>
      </c>
      <c r="J346" s="349"/>
    </row>
    <row r="347" customFormat="false" ht="15.75" hidden="false" customHeight="false" outlineLevel="0" collapsed="false">
      <c r="A347" s="334" t="n">
        <v>4</v>
      </c>
      <c r="B347" s="269" t="n">
        <v>46478</v>
      </c>
      <c r="J347" s="349"/>
    </row>
    <row r="348" customFormat="false" ht="15.75" hidden="false" customHeight="false" outlineLevel="0" collapsed="false">
      <c r="A348" s="334" t="n">
        <v>5</v>
      </c>
      <c r="B348" s="269" t="n">
        <v>46508</v>
      </c>
      <c r="J348" s="349"/>
    </row>
    <row r="349" customFormat="false" ht="15.75" hidden="false" customHeight="false" outlineLevel="0" collapsed="false">
      <c r="A349" s="334" t="n">
        <v>6</v>
      </c>
      <c r="B349" s="269" t="n">
        <v>46539</v>
      </c>
      <c r="J349" s="349"/>
    </row>
    <row r="350" customFormat="false" ht="15.75" hidden="false" customHeight="false" outlineLevel="0" collapsed="false">
      <c r="A350" s="334" t="n">
        <v>7</v>
      </c>
      <c r="B350" s="269" t="n">
        <v>46569</v>
      </c>
      <c r="J350" s="349"/>
    </row>
    <row r="351" customFormat="false" ht="15.75" hidden="false" customHeight="false" outlineLevel="0" collapsed="false">
      <c r="A351" s="334" t="n">
        <v>8</v>
      </c>
      <c r="B351" s="269" t="n">
        <v>46600</v>
      </c>
      <c r="J351" s="349"/>
    </row>
    <row r="352" customFormat="false" ht="15.75" hidden="false" customHeight="false" outlineLevel="0" collapsed="false">
      <c r="A352" s="334" t="n">
        <v>9</v>
      </c>
      <c r="B352" s="269" t="n">
        <v>46631</v>
      </c>
      <c r="J352" s="349"/>
    </row>
    <row r="353" customFormat="false" ht="15.75" hidden="false" customHeight="false" outlineLevel="0" collapsed="false">
      <c r="A353" s="334" t="n">
        <v>10</v>
      </c>
      <c r="B353" s="269" t="n">
        <v>46661</v>
      </c>
      <c r="J353" s="349"/>
    </row>
    <row r="354" customFormat="false" ht="15.75" hidden="false" customHeight="false" outlineLevel="0" collapsed="false">
      <c r="A354" s="334" t="n">
        <v>11</v>
      </c>
      <c r="B354" s="269" t="n">
        <v>46692</v>
      </c>
      <c r="J354" s="349"/>
    </row>
    <row r="355" customFormat="false" ht="15.75" hidden="false" customHeight="false" outlineLevel="0" collapsed="false">
      <c r="A355" s="334" t="n">
        <v>12</v>
      </c>
      <c r="B355" s="269" t="n">
        <v>46722</v>
      </c>
      <c r="J355" s="349"/>
    </row>
    <row r="356" customFormat="false" ht="15.75" hidden="false" customHeight="false" outlineLevel="0" collapsed="false">
      <c r="A356" s="334" t="n">
        <v>1</v>
      </c>
      <c r="B356" s="269" t="n">
        <v>46753</v>
      </c>
      <c r="J356" s="349"/>
    </row>
    <row r="357" customFormat="false" ht="15.75" hidden="false" customHeight="false" outlineLevel="0" collapsed="false">
      <c r="A357" s="334" t="n">
        <v>2</v>
      </c>
      <c r="B357" s="269" t="n">
        <v>46784</v>
      </c>
      <c r="J357" s="349"/>
    </row>
    <row r="358" customFormat="false" ht="15.75" hidden="false" customHeight="false" outlineLevel="0" collapsed="false">
      <c r="A358" s="334" t="n">
        <v>3</v>
      </c>
      <c r="B358" s="269" t="n">
        <v>46813</v>
      </c>
      <c r="J358" s="349"/>
    </row>
    <row r="359" customFormat="false" ht="15.75" hidden="false" customHeight="false" outlineLevel="0" collapsed="false">
      <c r="A359" s="334" t="n">
        <v>4</v>
      </c>
      <c r="B359" s="269" t="n">
        <v>46844</v>
      </c>
      <c r="J359" s="349"/>
    </row>
    <row r="360" customFormat="false" ht="15.75" hidden="false" customHeight="false" outlineLevel="0" collapsed="false">
      <c r="A360" s="334" t="n">
        <v>5</v>
      </c>
      <c r="B360" s="269" t="n">
        <v>46874</v>
      </c>
      <c r="J360" s="349"/>
    </row>
    <row r="361" customFormat="false" ht="15.75" hidden="false" customHeight="false" outlineLevel="0" collapsed="false">
      <c r="A361" s="334" t="n">
        <v>6</v>
      </c>
      <c r="B361" s="269" t="n">
        <v>46905</v>
      </c>
      <c r="J361" s="349"/>
    </row>
    <row r="362" customFormat="false" ht="15.75" hidden="false" customHeight="false" outlineLevel="0" collapsed="false">
      <c r="A362" s="334" t="n">
        <v>7</v>
      </c>
      <c r="B362" s="269" t="n">
        <v>46935</v>
      </c>
      <c r="J362" s="349"/>
    </row>
    <row r="363" customFormat="false" ht="15.75" hidden="false" customHeight="false" outlineLevel="0" collapsed="false">
      <c r="A363" s="334" t="n">
        <v>8</v>
      </c>
      <c r="B363" s="269" t="n">
        <v>46966</v>
      </c>
      <c r="J363" s="349"/>
    </row>
    <row r="364" customFormat="false" ht="15.75" hidden="false" customHeight="false" outlineLevel="0" collapsed="false">
      <c r="A364" s="334" t="n">
        <v>9</v>
      </c>
      <c r="B364" s="269" t="n">
        <v>46997</v>
      </c>
      <c r="J364" s="349"/>
    </row>
    <row r="365" customFormat="false" ht="15.75" hidden="false" customHeight="false" outlineLevel="0" collapsed="false">
      <c r="A365" s="334" t="n">
        <v>10</v>
      </c>
      <c r="B365" s="269" t="n">
        <v>47027</v>
      </c>
      <c r="J365" s="349"/>
    </row>
    <row r="366" customFormat="false" ht="15.75" hidden="false" customHeight="false" outlineLevel="0" collapsed="false">
      <c r="A366" s="334" t="n">
        <v>11</v>
      </c>
      <c r="B366" s="269" t="n">
        <v>47058</v>
      </c>
      <c r="J366" s="349"/>
    </row>
    <row r="367" customFormat="false" ht="15.75" hidden="false" customHeight="false" outlineLevel="0" collapsed="false">
      <c r="A367" s="334" t="n">
        <v>12</v>
      </c>
      <c r="B367" s="269" t="n">
        <v>47088</v>
      </c>
      <c r="J367" s="349"/>
    </row>
    <row r="368" customFormat="false" ht="15.75" hidden="false" customHeight="false" outlineLevel="0" collapsed="false">
      <c r="A368" s="334" t="n">
        <v>1</v>
      </c>
      <c r="B368" s="269" t="n">
        <v>47119</v>
      </c>
      <c r="J368" s="349"/>
    </row>
    <row r="369" customFormat="false" ht="15.75" hidden="false" customHeight="false" outlineLevel="0" collapsed="false">
      <c r="A369" s="334" t="n">
        <v>2</v>
      </c>
      <c r="B369" s="269" t="n">
        <v>47150</v>
      </c>
      <c r="J369" s="349"/>
    </row>
    <row r="370" customFormat="false" ht="15.75" hidden="false" customHeight="false" outlineLevel="0" collapsed="false">
      <c r="A370" s="334" t="n">
        <v>3</v>
      </c>
      <c r="B370" s="269" t="n">
        <v>47178</v>
      </c>
      <c r="J370" s="349"/>
    </row>
    <row r="371" customFormat="false" ht="15.75" hidden="false" customHeight="false" outlineLevel="0" collapsed="false">
      <c r="A371" s="334" t="n">
        <v>4</v>
      </c>
      <c r="B371" s="269" t="n">
        <v>47209</v>
      </c>
      <c r="J371" s="349"/>
    </row>
    <row r="372" customFormat="false" ht="15.75" hidden="false" customHeight="false" outlineLevel="0" collapsed="false">
      <c r="A372" s="334" t="n">
        <v>5</v>
      </c>
      <c r="B372" s="269" t="n">
        <v>47239</v>
      </c>
      <c r="J372" s="349"/>
    </row>
    <row r="373" customFormat="false" ht="15.75" hidden="false" customHeight="false" outlineLevel="0" collapsed="false">
      <c r="A373" s="334" t="n">
        <v>6</v>
      </c>
      <c r="B373" s="269" t="n">
        <v>47270</v>
      </c>
      <c r="J373" s="349"/>
    </row>
    <row r="374" customFormat="false" ht="15.75" hidden="false" customHeight="false" outlineLevel="0" collapsed="false">
      <c r="A374" s="334" t="n">
        <v>7</v>
      </c>
      <c r="B374" s="269" t="n">
        <v>47300</v>
      </c>
      <c r="J374" s="349"/>
    </row>
    <row r="375" customFormat="false" ht="15.75" hidden="false" customHeight="false" outlineLevel="0" collapsed="false">
      <c r="A375" s="334" t="n">
        <v>8</v>
      </c>
      <c r="B375" s="269" t="n">
        <v>47331</v>
      </c>
      <c r="J375" s="349"/>
    </row>
    <row r="376" customFormat="false" ht="15.75" hidden="false" customHeight="false" outlineLevel="0" collapsed="false">
      <c r="A376" s="334" t="n">
        <v>9</v>
      </c>
      <c r="B376" s="269" t="n">
        <v>47362</v>
      </c>
      <c r="J376" s="349"/>
    </row>
    <row r="377" customFormat="false" ht="15.75" hidden="false" customHeight="false" outlineLevel="0" collapsed="false">
      <c r="A377" s="334" t="n">
        <v>10</v>
      </c>
      <c r="B377" s="269" t="n">
        <v>47392</v>
      </c>
      <c r="J377" s="349"/>
    </row>
    <row r="378" customFormat="false" ht="15.75" hidden="false" customHeight="false" outlineLevel="0" collapsed="false">
      <c r="A378" s="334" t="n">
        <v>11</v>
      </c>
      <c r="B378" s="269" t="n">
        <v>47423</v>
      </c>
      <c r="J378" s="349"/>
    </row>
    <row r="379" customFormat="false" ht="15.75" hidden="false" customHeight="false" outlineLevel="0" collapsed="false">
      <c r="A379" s="334" t="n">
        <v>12</v>
      </c>
      <c r="B379" s="269" t="n">
        <v>47453</v>
      </c>
      <c r="J379" s="349"/>
    </row>
    <row r="380" customFormat="false" ht="15.75" hidden="false" customHeight="false" outlineLevel="0" collapsed="false">
      <c r="A380" s="334" t="n">
        <v>1</v>
      </c>
      <c r="B380" s="269" t="n">
        <v>47484</v>
      </c>
      <c r="J380" s="349"/>
    </row>
    <row r="381" customFormat="false" ht="15.75" hidden="false" customHeight="false" outlineLevel="0" collapsed="false">
      <c r="A381" s="334" t="n">
        <v>2</v>
      </c>
      <c r="B381" s="269" t="n">
        <v>47515</v>
      </c>
      <c r="J381" s="349"/>
    </row>
    <row r="382" customFormat="false" ht="15.75" hidden="false" customHeight="false" outlineLevel="0" collapsed="false">
      <c r="A382" s="334" t="n">
        <v>3</v>
      </c>
      <c r="B382" s="269" t="n">
        <v>47543</v>
      </c>
      <c r="J382" s="349"/>
    </row>
    <row r="383" customFormat="false" ht="15.75" hidden="false" customHeight="false" outlineLevel="0" collapsed="false">
      <c r="A383" s="334" t="n">
        <v>4</v>
      </c>
      <c r="B383" s="269" t="n">
        <v>47574</v>
      </c>
      <c r="J383" s="349"/>
    </row>
    <row r="384" customFormat="false" ht="15.75" hidden="false" customHeight="false" outlineLevel="0" collapsed="false">
      <c r="A384" s="334" t="n">
        <v>5</v>
      </c>
      <c r="B384" s="269" t="n">
        <v>47604</v>
      </c>
      <c r="J384" s="349"/>
    </row>
    <row r="385" customFormat="false" ht="15.75" hidden="false" customHeight="false" outlineLevel="0" collapsed="false">
      <c r="A385" s="334" t="n">
        <v>6</v>
      </c>
      <c r="B385" s="269" t="n">
        <v>47635</v>
      </c>
      <c r="J385" s="349"/>
    </row>
    <row r="386" customFormat="false" ht="15.75" hidden="false" customHeight="false" outlineLevel="0" collapsed="false">
      <c r="A386" s="334" t="n">
        <v>7</v>
      </c>
      <c r="B386" s="269" t="n">
        <v>47665</v>
      </c>
      <c r="J386" s="349"/>
    </row>
    <row r="387" customFormat="false" ht="15.75" hidden="false" customHeight="false" outlineLevel="0" collapsed="false">
      <c r="A387" s="334" t="n">
        <v>8</v>
      </c>
      <c r="B387" s="269" t="n">
        <v>47696</v>
      </c>
      <c r="J387" s="349"/>
    </row>
    <row r="388" customFormat="false" ht="15.75" hidden="false" customHeight="false" outlineLevel="0" collapsed="false">
      <c r="A388" s="334" t="n">
        <v>9</v>
      </c>
      <c r="B388" s="269" t="n">
        <v>47727</v>
      </c>
      <c r="J388" s="349"/>
    </row>
    <row r="389" customFormat="false" ht="15.75" hidden="false" customHeight="false" outlineLevel="0" collapsed="false">
      <c r="A389" s="334" t="n">
        <v>10</v>
      </c>
      <c r="B389" s="269" t="n">
        <v>47757</v>
      </c>
      <c r="J389" s="349"/>
    </row>
    <row r="390" customFormat="false" ht="15.75" hidden="false" customHeight="false" outlineLevel="0" collapsed="false">
      <c r="A390" s="334" t="n">
        <v>11</v>
      </c>
      <c r="B390" s="269" t="n">
        <v>47788</v>
      </c>
      <c r="J390" s="349"/>
    </row>
    <row r="391" customFormat="false" ht="15.75" hidden="false" customHeight="false" outlineLevel="0" collapsed="false">
      <c r="A391" s="334" t="n">
        <v>12</v>
      </c>
      <c r="B391" s="269" t="n">
        <v>47818</v>
      </c>
      <c r="J391" s="349"/>
    </row>
    <row r="392" customFormat="false" ht="15.75" hidden="false" customHeight="false" outlineLevel="0" collapsed="false">
      <c r="A392" s="334" t="n">
        <v>1</v>
      </c>
      <c r="B392" s="269" t="n">
        <v>47849</v>
      </c>
      <c r="J392" s="349"/>
    </row>
    <row r="393" customFormat="false" ht="15.75" hidden="false" customHeight="false" outlineLevel="0" collapsed="false">
      <c r="A393" s="334" t="n">
        <v>2</v>
      </c>
      <c r="B393" s="269" t="n">
        <v>47880</v>
      </c>
      <c r="J393" s="349"/>
    </row>
    <row r="394" customFormat="false" ht="15.75" hidden="false" customHeight="false" outlineLevel="0" collapsed="false">
      <c r="A394" s="334" t="n">
        <v>3</v>
      </c>
      <c r="B394" s="269" t="n">
        <v>47908</v>
      </c>
      <c r="J394" s="349"/>
    </row>
    <row r="395" customFormat="false" ht="15.75" hidden="false" customHeight="false" outlineLevel="0" collapsed="false">
      <c r="A395" s="334" t="n">
        <v>4</v>
      </c>
      <c r="B395" s="269" t="n">
        <v>47939</v>
      </c>
      <c r="J395" s="349"/>
    </row>
    <row r="396" customFormat="false" ht="15.75" hidden="false" customHeight="false" outlineLevel="0" collapsed="false">
      <c r="A396" s="334" t="n">
        <v>5</v>
      </c>
      <c r="B396" s="269" t="n">
        <v>47969</v>
      </c>
      <c r="J396" s="349"/>
    </row>
    <row r="397" customFormat="false" ht="15.75" hidden="false" customHeight="false" outlineLevel="0" collapsed="false">
      <c r="A397" s="334" t="n">
        <v>6</v>
      </c>
      <c r="B397" s="269" t="n">
        <v>48000</v>
      </c>
      <c r="J397" s="349"/>
    </row>
    <row r="398" customFormat="false" ht="15.75" hidden="false" customHeight="false" outlineLevel="0" collapsed="false">
      <c r="A398" s="334" t="n">
        <v>7</v>
      </c>
      <c r="B398" s="269" t="n">
        <v>48030</v>
      </c>
      <c r="J398" s="349"/>
    </row>
    <row r="399" customFormat="false" ht="15.75" hidden="false" customHeight="false" outlineLevel="0" collapsed="false">
      <c r="A399" s="334" t="n">
        <v>8</v>
      </c>
      <c r="B399" s="269" t="n">
        <v>48061</v>
      </c>
      <c r="J399" s="349"/>
    </row>
    <row r="400" customFormat="false" ht="15.75" hidden="false" customHeight="false" outlineLevel="0" collapsed="false">
      <c r="A400" s="334" t="n">
        <v>9</v>
      </c>
      <c r="B400" s="269" t="n">
        <v>48092</v>
      </c>
      <c r="J400" s="349"/>
    </row>
    <row r="401" customFormat="false" ht="15.75" hidden="false" customHeight="false" outlineLevel="0" collapsed="false">
      <c r="A401" s="334" t="n">
        <v>10</v>
      </c>
      <c r="B401" s="269" t="n">
        <v>48122</v>
      </c>
      <c r="J401" s="349"/>
    </row>
    <row r="402" customFormat="false" ht="15.75" hidden="false" customHeight="false" outlineLevel="0" collapsed="false">
      <c r="A402" s="334" t="n">
        <v>11</v>
      </c>
      <c r="B402" s="269" t="n">
        <v>48153</v>
      </c>
      <c r="J402" s="349"/>
    </row>
    <row r="403" customFormat="false" ht="15.75" hidden="false" customHeight="false" outlineLevel="0" collapsed="false">
      <c r="A403" s="334" t="n">
        <v>12</v>
      </c>
      <c r="B403" s="269" t="n">
        <v>48183</v>
      </c>
      <c r="J403" s="349"/>
    </row>
    <row r="404" customFormat="false" ht="15.75" hidden="false" customHeight="false" outlineLevel="0" collapsed="false">
      <c r="A404" s="334" t="n">
        <v>1</v>
      </c>
      <c r="B404" s="269" t="n">
        <v>48214</v>
      </c>
      <c r="J404" s="349"/>
    </row>
    <row r="405" customFormat="false" ht="15.75" hidden="false" customHeight="false" outlineLevel="0" collapsed="false">
      <c r="A405" s="334" t="n">
        <v>2</v>
      </c>
      <c r="B405" s="269" t="n">
        <v>48245</v>
      </c>
      <c r="J405" s="349"/>
    </row>
    <row r="406" customFormat="false" ht="15.75" hidden="false" customHeight="false" outlineLevel="0" collapsed="false">
      <c r="A406" s="334" t="n">
        <v>3</v>
      </c>
      <c r="B406" s="269" t="n">
        <v>48274</v>
      </c>
      <c r="J406" s="349"/>
    </row>
    <row r="407" customFormat="false" ht="15.75" hidden="false" customHeight="false" outlineLevel="0" collapsed="false">
      <c r="A407" s="334" t="n">
        <v>4</v>
      </c>
      <c r="B407" s="269" t="n">
        <v>48305</v>
      </c>
      <c r="J407" s="349"/>
    </row>
    <row r="408" customFormat="false" ht="15.75" hidden="false" customHeight="false" outlineLevel="0" collapsed="false">
      <c r="A408" s="334" t="n">
        <v>5</v>
      </c>
      <c r="B408" s="269" t="n">
        <v>48335</v>
      </c>
      <c r="J408" s="349"/>
    </row>
    <row r="409" customFormat="false" ht="15.75" hidden="false" customHeight="false" outlineLevel="0" collapsed="false">
      <c r="A409" s="334" t="n">
        <v>6</v>
      </c>
      <c r="B409" s="269" t="n">
        <v>48366</v>
      </c>
      <c r="J409" s="349"/>
    </row>
    <row r="410" customFormat="false" ht="15.75" hidden="false" customHeight="false" outlineLevel="0" collapsed="false">
      <c r="A410" s="334" t="n">
        <v>7</v>
      </c>
      <c r="B410" s="269" t="n">
        <v>48396</v>
      </c>
      <c r="J410" s="349"/>
    </row>
    <row r="411" customFormat="false" ht="15.75" hidden="false" customHeight="false" outlineLevel="0" collapsed="false">
      <c r="A411" s="334" t="n">
        <v>8</v>
      </c>
      <c r="B411" s="269" t="n">
        <v>48427</v>
      </c>
      <c r="J411" s="349"/>
    </row>
    <row r="412" customFormat="false" ht="15.75" hidden="false" customHeight="false" outlineLevel="0" collapsed="false">
      <c r="A412" s="334" t="n">
        <v>9</v>
      </c>
      <c r="B412" s="269" t="n">
        <v>48458</v>
      </c>
      <c r="J412" s="349"/>
    </row>
    <row r="413" customFormat="false" ht="15.75" hidden="false" customHeight="false" outlineLevel="0" collapsed="false">
      <c r="A413" s="334" t="n">
        <v>10</v>
      </c>
      <c r="B413" s="269" t="n">
        <v>48488</v>
      </c>
      <c r="J413" s="349"/>
    </row>
    <row r="414" customFormat="false" ht="15.75" hidden="false" customHeight="false" outlineLevel="0" collapsed="false">
      <c r="A414" s="334" t="n">
        <v>11</v>
      </c>
      <c r="B414" s="269" t="n">
        <v>48519</v>
      </c>
      <c r="J414" s="349"/>
    </row>
    <row r="415" customFormat="false" ht="15.75" hidden="false" customHeight="false" outlineLevel="0" collapsed="false">
      <c r="A415" s="334" t="n">
        <v>12</v>
      </c>
      <c r="B415" s="269" t="n">
        <v>48549</v>
      </c>
      <c r="J415" s="349"/>
    </row>
    <row r="416" customFormat="false" ht="15.75" hidden="false" customHeight="false" outlineLevel="0" collapsed="false">
      <c r="A416" s="334" t="n">
        <v>1</v>
      </c>
      <c r="B416" s="269" t="n">
        <v>48580</v>
      </c>
    </row>
    <row r="417" customFormat="false" ht="15.75" hidden="false" customHeight="false" outlineLevel="0" collapsed="false">
      <c r="A417" s="334" t="n">
        <v>2</v>
      </c>
      <c r="B417" s="269" t="n">
        <v>48611</v>
      </c>
    </row>
    <row r="418" customFormat="false" ht="15.75" hidden="false" customHeight="false" outlineLevel="0" collapsed="false">
      <c r="A418" s="334" t="n">
        <v>3</v>
      </c>
      <c r="B418" s="269" t="n">
        <v>48639</v>
      </c>
    </row>
    <row r="419" customFormat="false" ht="15.75" hidden="false" customHeight="false" outlineLevel="0" collapsed="false">
      <c r="A419" s="334" t="n">
        <v>4</v>
      </c>
      <c r="B419" s="269" t="n">
        <v>48670</v>
      </c>
    </row>
    <row r="420" customFormat="false" ht="15.75" hidden="false" customHeight="false" outlineLevel="0" collapsed="false">
      <c r="A420" s="334" t="n">
        <v>5</v>
      </c>
      <c r="B420" s="269" t="n">
        <v>48700</v>
      </c>
    </row>
    <row r="421" customFormat="false" ht="15.75" hidden="false" customHeight="false" outlineLevel="0" collapsed="false">
      <c r="A421" s="334" t="n">
        <v>6</v>
      </c>
      <c r="B421" s="269" t="n">
        <v>48731</v>
      </c>
    </row>
    <row r="422" customFormat="false" ht="15.75" hidden="false" customHeight="false" outlineLevel="0" collapsed="false">
      <c r="A422" s="334" t="n">
        <v>7</v>
      </c>
      <c r="B422" s="269" t="n">
        <v>48761</v>
      </c>
    </row>
    <row r="423" customFormat="false" ht="15.75" hidden="false" customHeight="false" outlineLevel="0" collapsed="false">
      <c r="A423" s="334" t="n">
        <v>8</v>
      </c>
      <c r="B423" s="269" t="n">
        <v>48792</v>
      </c>
    </row>
    <row r="424" customFormat="false" ht="15.75" hidden="false" customHeight="false" outlineLevel="0" collapsed="false">
      <c r="A424" s="334" t="n">
        <v>9</v>
      </c>
      <c r="B424" s="269" t="n">
        <v>48823</v>
      </c>
    </row>
    <row r="425" customFormat="false" ht="15.75" hidden="false" customHeight="false" outlineLevel="0" collapsed="false">
      <c r="A425" s="334" t="n">
        <v>10</v>
      </c>
      <c r="B425" s="269" t="n">
        <v>48853</v>
      </c>
    </row>
    <row r="426" customFormat="false" ht="15.75" hidden="false" customHeight="false" outlineLevel="0" collapsed="false">
      <c r="A426" s="334" t="n">
        <v>11</v>
      </c>
      <c r="B426" s="269" t="n">
        <v>48884</v>
      </c>
    </row>
    <row r="427" customFormat="false" ht="15.75" hidden="false" customHeight="false" outlineLevel="0" collapsed="false">
      <c r="A427" s="334" t="n">
        <v>12</v>
      </c>
      <c r="B427" s="269" t="n">
        <v>48914</v>
      </c>
    </row>
    <row r="428" customFormat="false" ht="15.75" hidden="false" customHeight="false" outlineLevel="0" collapsed="false">
      <c r="A428" s="334" t="n">
        <v>1</v>
      </c>
      <c r="B428" s="269" t="n">
        <v>48945</v>
      </c>
    </row>
    <row r="429" customFormat="false" ht="15.75" hidden="false" customHeight="false" outlineLevel="0" collapsed="false">
      <c r="A429" s="334" t="n">
        <v>2</v>
      </c>
      <c r="B429" s="269" t="n">
        <v>48976</v>
      </c>
    </row>
    <row r="430" customFormat="false" ht="15.75" hidden="false" customHeight="false" outlineLevel="0" collapsed="false">
      <c r="A430" s="334" t="n">
        <v>3</v>
      </c>
      <c r="B430" s="269" t="n">
        <v>49004</v>
      </c>
    </row>
    <row r="431" customFormat="false" ht="15.75" hidden="false" customHeight="false" outlineLevel="0" collapsed="false">
      <c r="A431" s="334" t="n">
        <v>4</v>
      </c>
      <c r="B431" s="269" t="n">
        <v>49035</v>
      </c>
    </row>
    <row r="432" customFormat="false" ht="15.75" hidden="false" customHeight="false" outlineLevel="0" collapsed="false">
      <c r="A432" s="334" t="n">
        <v>5</v>
      </c>
      <c r="B432" s="269" t="n">
        <v>49065</v>
      </c>
    </row>
    <row r="433" customFormat="false" ht="15.75" hidden="false" customHeight="false" outlineLevel="0" collapsed="false">
      <c r="A433" s="334" t="n">
        <v>6</v>
      </c>
      <c r="B433" s="269" t="n">
        <v>49096</v>
      </c>
    </row>
    <row r="434" customFormat="false" ht="15.75" hidden="false" customHeight="false" outlineLevel="0" collapsed="false">
      <c r="A434" s="334" t="n">
        <v>7</v>
      </c>
      <c r="B434" s="269" t="n">
        <v>49126</v>
      </c>
    </row>
    <row r="435" customFormat="false" ht="15.75" hidden="false" customHeight="false" outlineLevel="0" collapsed="false">
      <c r="A435" s="334" t="n">
        <v>8</v>
      </c>
      <c r="B435" s="269" t="n">
        <v>49157</v>
      </c>
    </row>
    <row r="436" customFormat="false" ht="15.75" hidden="false" customHeight="false" outlineLevel="0" collapsed="false">
      <c r="A436" s="334" t="n">
        <v>9</v>
      </c>
      <c r="B436" s="269" t="n">
        <v>49188</v>
      </c>
    </row>
    <row r="437" customFormat="false" ht="15.75" hidden="false" customHeight="false" outlineLevel="0" collapsed="false">
      <c r="A437" s="334" t="n">
        <v>10</v>
      </c>
      <c r="B437" s="269" t="n">
        <v>49218</v>
      </c>
    </row>
    <row r="438" customFormat="false" ht="15.75" hidden="false" customHeight="false" outlineLevel="0" collapsed="false">
      <c r="A438" s="334" t="n">
        <v>11</v>
      </c>
      <c r="B438" s="269" t="n">
        <v>49249</v>
      </c>
    </row>
    <row r="439" customFormat="false" ht="15.75" hidden="false" customHeight="false" outlineLevel="0" collapsed="false">
      <c r="A439" s="334" t="n">
        <v>12</v>
      </c>
      <c r="B439" s="269" t="n">
        <v>49279</v>
      </c>
    </row>
    <row r="440" customFormat="false" ht="15.75" hidden="false" customHeight="false" outlineLevel="0" collapsed="false">
      <c r="A440" s="334" t="n">
        <v>1</v>
      </c>
      <c r="B440" s="269" t="n">
        <v>49310</v>
      </c>
    </row>
    <row r="441" customFormat="false" ht="15.75" hidden="false" customHeight="false" outlineLevel="0" collapsed="false">
      <c r="A441" s="334" t="n">
        <v>2</v>
      </c>
      <c r="B441" s="269" t="n">
        <v>49341</v>
      </c>
    </row>
    <row r="442" customFormat="false" ht="15.75" hidden="false" customHeight="false" outlineLevel="0" collapsed="false">
      <c r="A442" s="334" t="n">
        <v>3</v>
      </c>
      <c r="B442" s="269" t="n">
        <v>49369</v>
      </c>
    </row>
    <row r="443" customFormat="false" ht="15.75" hidden="false" customHeight="false" outlineLevel="0" collapsed="false">
      <c r="A443" s="334" t="n">
        <v>4</v>
      </c>
      <c r="B443" s="269" t="n">
        <v>49400</v>
      </c>
    </row>
    <row r="444" customFormat="false" ht="15.75" hidden="false" customHeight="false" outlineLevel="0" collapsed="false">
      <c r="A444" s="334" t="n">
        <v>5</v>
      </c>
      <c r="B444" s="269" t="n">
        <v>49430</v>
      </c>
    </row>
    <row r="445" customFormat="false" ht="15.75" hidden="false" customHeight="false" outlineLevel="0" collapsed="false">
      <c r="A445" s="334" t="n">
        <v>6</v>
      </c>
      <c r="B445" s="269" t="n">
        <v>49461</v>
      </c>
    </row>
    <row r="446" customFormat="false" ht="15.75" hidden="false" customHeight="false" outlineLevel="0" collapsed="false">
      <c r="A446" s="334" t="n">
        <v>7</v>
      </c>
      <c r="B446" s="269" t="n">
        <v>49491</v>
      </c>
    </row>
    <row r="447" customFormat="false" ht="15.75" hidden="false" customHeight="false" outlineLevel="0" collapsed="false">
      <c r="A447" s="334" t="n">
        <v>8</v>
      </c>
      <c r="B447" s="269" t="n">
        <v>49522</v>
      </c>
    </row>
    <row r="448" customFormat="false" ht="15.75" hidden="false" customHeight="false" outlineLevel="0" collapsed="false">
      <c r="A448" s="334" t="n">
        <v>9</v>
      </c>
      <c r="B448" s="269" t="n">
        <v>49553</v>
      </c>
    </row>
    <row r="449" customFormat="false" ht="15.75" hidden="false" customHeight="false" outlineLevel="0" collapsed="false">
      <c r="A449" s="334" t="n">
        <v>10</v>
      </c>
      <c r="B449" s="269" t="n">
        <v>49583</v>
      </c>
    </row>
    <row r="450" customFormat="false" ht="15.75" hidden="false" customHeight="false" outlineLevel="0" collapsed="false">
      <c r="A450" s="334" t="n">
        <v>11</v>
      </c>
      <c r="B450" s="269" t="n">
        <v>49614</v>
      </c>
    </row>
    <row r="451" customFormat="false" ht="15.75" hidden="false" customHeight="false" outlineLevel="0" collapsed="false">
      <c r="A451" s="334" t="n">
        <v>12</v>
      </c>
      <c r="B451" s="269" t="n">
        <v>49644</v>
      </c>
    </row>
    <row r="452" customFormat="false" ht="15.75" hidden="false" customHeight="false" outlineLevel="0" collapsed="false">
      <c r="A452" s="334" t="n">
        <v>1</v>
      </c>
      <c r="B452" s="269" t="n">
        <v>49675</v>
      </c>
    </row>
    <row r="453" customFormat="false" ht="15.75" hidden="false" customHeight="false" outlineLevel="0" collapsed="false">
      <c r="A453" s="334" t="n">
        <v>2</v>
      </c>
      <c r="B453" s="269" t="n">
        <v>49706</v>
      </c>
    </row>
    <row r="454" customFormat="false" ht="15.75" hidden="false" customHeight="false" outlineLevel="0" collapsed="false">
      <c r="A454" s="334" t="n">
        <v>3</v>
      </c>
      <c r="B454" s="269" t="n">
        <v>49735</v>
      </c>
    </row>
    <row r="455" customFormat="false" ht="15.75" hidden="false" customHeight="false" outlineLevel="0" collapsed="false">
      <c r="A455" s="334" t="n">
        <v>4</v>
      </c>
      <c r="B455" s="269" t="n">
        <v>49766</v>
      </c>
    </row>
    <row r="456" customFormat="false" ht="15.75" hidden="false" customHeight="false" outlineLevel="0" collapsed="false">
      <c r="A456" s="334" t="n">
        <v>5</v>
      </c>
      <c r="B456" s="269" t="n">
        <v>49796</v>
      </c>
    </row>
    <row r="457" customFormat="false" ht="15.75" hidden="false" customHeight="false" outlineLevel="0" collapsed="false">
      <c r="A457" s="334" t="n">
        <v>6</v>
      </c>
      <c r="B457" s="269" t="n">
        <v>49827</v>
      </c>
    </row>
    <row r="458" customFormat="false" ht="15.75" hidden="false" customHeight="false" outlineLevel="0" collapsed="false">
      <c r="A458" s="334" t="n">
        <v>7</v>
      </c>
      <c r="B458" s="269" t="n">
        <v>49857</v>
      </c>
    </row>
    <row r="459" customFormat="false" ht="15.75" hidden="false" customHeight="false" outlineLevel="0" collapsed="false">
      <c r="A459" s="334" t="n">
        <v>8</v>
      </c>
      <c r="B459" s="269" t="n">
        <v>49888</v>
      </c>
    </row>
    <row r="460" customFormat="false" ht="15.75" hidden="false" customHeight="false" outlineLevel="0" collapsed="false">
      <c r="A460" s="334" t="n">
        <v>9</v>
      </c>
      <c r="B460" s="269" t="n">
        <v>49919</v>
      </c>
    </row>
    <row r="461" customFormat="false" ht="15.75" hidden="false" customHeight="false" outlineLevel="0" collapsed="false">
      <c r="A461" s="334" t="n">
        <v>10</v>
      </c>
      <c r="B461" s="269" t="n">
        <v>49949</v>
      </c>
    </row>
    <row r="462" customFormat="false" ht="15.75" hidden="false" customHeight="false" outlineLevel="0" collapsed="false">
      <c r="A462" s="334" t="n">
        <v>11</v>
      </c>
      <c r="B462" s="269" t="n">
        <v>49980</v>
      </c>
    </row>
    <row r="463" customFormat="false" ht="15.75" hidden="false" customHeight="false" outlineLevel="0" collapsed="false">
      <c r="A463" s="334" t="n">
        <v>12</v>
      </c>
      <c r="B463" s="269" t="n">
        <v>50010</v>
      </c>
    </row>
    <row r="464" customFormat="false" ht="15.75" hidden="false" customHeight="false" outlineLevel="0" collapsed="false">
      <c r="A464" s="334" t="n">
        <v>1</v>
      </c>
      <c r="B464" s="269" t="n">
        <v>50041</v>
      </c>
    </row>
    <row r="465" customFormat="false" ht="15.75" hidden="false" customHeight="false" outlineLevel="0" collapsed="false">
      <c r="A465" s="334" t="n">
        <v>2</v>
      </c>
      <c r="B465" s="269" t="n">
        <v>50072</v>
      </c>
    </row>
    <row r="466" customFormat="false" ht="15.75" hidden="false" customHeight="false" outlineLevel="0" collapsed="false">
      <c r="A466" s="334" t="n">
        <v>3</v>
      </c>
      <c r="B466" s="269" t="n">
        <v>50100</v>
      </c>
    </row>
    <row r="467" customFormat="false" ht="15.75" hidden="false" customHeight="false" outlineLevel="0" collapsed="false">
      <c r="A467" s="334" t="n">
        <v>4</v>
      </c>
      <c r="B467" s="269" t="n">
        <v>50131</v>
      </c>
    </row>
    <row r="468" customFormat="false" ht="15.75" hidden="false" customHeight="false" outlineLevel="0" collapsed="false">
      <c r="A468" s="334" t="n">
        <v>5</v>
      </c>
      <c r="B468" s="269" t="n">
        <v>50161</v>
      </c>
    </row>
    <row r="469" customFormat="false" ht="15.75" hidden="false" customHeight="false" outlineLevel="0" collapsed="false">
      <c r="A469" s="334" t="n">
        <v>6</v>
      </c>
      <c r="B469" s="269" t="n">
        <v>50192</v>
      </c>
    </row>
    <row r="470" customFormat="false" ht="15.75" hidden="false" customHeight="false" outlineLevel="0" collapsed="false">
      <c r="A470" s="334" t="n">
        <v>7</v>
      </c>
      <c r="B470" s="269" t="n">
        <v>50222</v>
      </c>
    </row>
    <row r="471" customFormat="false" ht="15.75" hidden="false" customHeight="false" outlineLevel="0" collapsed="false">
      <c r="A471" s="334" t="n">
        <v>8</v>
      </c>
      <c r="B471" s="269" t="n">
        <v>50253</v>
      </c>
    </row>
    <row r="472" customFormat="false" ht="15.75" hidden="false" customHeight="false" outlineLevel="0" collapsed="false">
      <c r="A472" s="334" t="n">
        <v>9</v>
      </c>
      <c r="B472" s="269" t="n">
        <v>50284</v>
      </c>
    </row>
    <row r="473" customFormat="false" ht="15.75" hidden="false" customHeight="false" outlineLevel="0" collapsed="false">
      <c r="A473" s="334" t="n">
        <v>10</v>
      </c>
      <c r="B473" s="269" t="n">
        <v>50314</v>
      </c>
    </row>
    <row r="474" customFormat="false" ht="15.75" hidden="false" customHeight="false" outlineLevel="0" collapsed="false">
      <c r="A474" s="334" t="n">
        <v>11</v>
      </c>
      <c r="B474" s="269" t="n">
        <v>50345</v>
      </c>
    </row>
    <row r="475" customFormat="false" ht="15.75" hidden="false" customHeight="false" outlineLevel="0" collapsed="false">
      <c r="A475" s="334" t="n">
        <v>12</v>
      </c>
      <c r="B475" s="269" t="n">
        <v>50375</v>
      </c>
    </row>
    <row r="476" customFormat="false" ht="15.75" hidden="false" customHeight="false" outlineLevel="0" collapsed="false">
      <c r="A476" s="334" t="n">
        <v>1</v>
      </c>
      <c r="B476" s="269" t="n">
        <v>50406</v>
      </c>
    </row>
    <row r="477" customFormat="false" ht="15.75" hidden="false" customHeight="false" outlineLevel="0" collapsed="false">
      <c r="A477" s="334" t="n">
        <v>2</v>
      </c>
      <c r="B477" s="269" t="n">
        <v>50437</v>
      </c>
    </row>
    <row r="478" customFormat="false" ht="15.75" hidden="false" customHeight="false" outlineLevel="0" collapsed="false">
      <c r="A478" s="334" t="n">
        <v>3</v>
      </c>
      <c r="B478" s="269" t="n">
        <v>50465</v>
      </c>
    </row>
    <row r="479" customFormat="false" ht="15.75" hidden="false" customHeight="false" outlineLevel="0" collapsed="false">
      <c r="A479" s="334" t="n">
        <v>4</v>
      </c>
      <c r="B479" s="269" t="n">
        <v>50496</v>
      </c>
    </row>
    <row r="480" customFormat="false" ht="15.75" hidden="false" customHeight="false" outlineLevel="0" collapsed="false">
      <c r="A480" s="334" t="n">
        <v>5</v>
      </c>
      <c r="B480" s="269" t="n">
        <v>50526</v>
      </c>
    </row>
    <row r="481" customFormat="false" ht="15.75" hidden="false" customHeight="false" outlineLevel="0" collapsed="false">
      <c r="A481" s="334" t="n">
        <v>6</v>
      </c>
      <c r="B481" s="269" t="n">
        <v>50557</v>
      </c>
    </row>
    <row r="482" customFormat="false" ht="15.75" hidden="false" customHeight="false" outlineLevel="0" collapsed="false">
      <c r="A482" s="334" t="n">
        <v>7</v>
      </c>
      <c r="B482" s="269" t="n">
        <v>50587</v>
      </c>
    </row>
    <row r="483" customFormat="false" ht="15.75" hidden="false" customHeight="false" outlineLevel="0" collapsed="false">
      <c r="A483" s="334" t="n">
        <v>8</v>
      </c>
      <c r="B483" s="269" t="n">
        <v>50618</v>
      </c>
    </row>
    <row r="484" customFormat="false" ht="15.75" hidden="false" customHeight="false" outlineLevel="0" collapsed="false">
      <c r="A484" s="334" t="n">
        <v>9</v>
      </c>
      <c r="B484" s="269" t="n">
        <v>50649</v>
      </c>
    </row>
    <row r="485" customFormat="false" ht="15.75" hidden="false" customHeight="false" outlineLevel="0" collapsed="false">
      <c r="A485" s="334" t="n">
        <v>10</v>
      </c>
      <c r="B485" s="269" t="n">
        <v>50679</v>
      </c>
    </row>
    <row r="486" customFormat="false" ht="15.75" hidden="false" customHeight="false" outlineLevel="0" collapsed="false">
      <c r="A486" s="334" t="n">
        <v>11</v>
      </c>
      <c r="B486" s="269" t="n">
        <v>50710</v>
      </c>
    </row>
    <row r="487" customFormat="false" ht="15.75" hidden="false" customHeight="false" outlineLevel="0" collapsed="false">
      <c r="A487" s="334" t="n">
        <v>12</v>
      </c>
      <c r="B487" s="269" t="n">
        <v>50740</v>
      </c>
    </row>
    <row r="488" customFormat="false" ht="15.75" hidden="false" customHeight="false" outlineLevel="0" collapsed="false">
      <c r="A488" s="334" t="n">
        <v>1</v>
      </c>
      <c r="B488" s="269" t="n">
        <v>50771</v>
      </c>
    </row>
    <row r="489" customFormat="false" ht="15.75" hidden="false" customHeight="false" outlineLevel="0" collapsed="false">
      <c r="A489" s="334" t="n">
        <v>2</v>
      </c>
      <c r="B489" s="269" t="n">
        <v>50802</v>
      </c>
    </row>
    <row r="490" customFormat="false" ht="15.75" hidden="false" customHeight="false" outlineLevel="0" collapsed="false">
      <c r="A490" s="334" t="n">
        <v>3</v>
      </c>
      <c r="B490" s="269" t="n">
        <v>50830</v>
      </c>
    </row>
    <row r="491" customFormat="false" ht="15.75" hidden="false" customHeight="false" outlineLevel="0" collapsed="false">
      <c r="A491" s="334" t="n">
        <v>4</v>
      </c>
      <c r="B491" s="269" t="n">
        <v>50861</v>
      </c>
    </row>
    <row r="492" customFormat="false" ht="15.75" hidden="false" customHeight="false" outlineLevel="0" collapsed="false">
      <c r="A492" s="334" t="n">
        <v>5</v>
      </c>
      <c r="B492" s="269" t="n">
        <v>50891</v>
      </c>
    </row>
    <row r="493" customFormat="false" ht="15.75" hidden="false" customHeight="false" outlineLevel="0" collapsed="false">
      <c r="A493" s="334" t="n">
        <v>6</v>
      </c>
      <c r="B493" s="269" t="n">
        <v>50922</v>
      </c>
    </row>
    <row r="494" customFormat="false" ht="15.75" hidden="false" customHeight="false" outlineLevel="0" collapsed="false">
      <c r="A494" s="334" t="n">
        <v>7</v>
      </c>
      <c r="B494" s="269" t="n">
        <v>50952</v>
      </c>
    </row>
    <row r="495" customFormat="false" ht="15.75" hidden="false" customHeight="false" outlineLevel="0" collapsed="false">
      <c r="A495" s="334" t="n">
        <v>8</v>
      </c>
      <c r="B495" s="269" t="n">
        <v>50983</v>
      </c>
    </row>
    <row r="496" customFormat="false" ht="15.75" hidden="false" customHeight="false" outlineLevel="0" collapsed="false">
      <c r="A496" s="334" t="n">
        <v>9</v>
      </c>
      <c r="B496" s="269" t="n">
        <v>51014</v>
      </c>
    </row>
    <row r="497" customFormat="false" ht="15.75" hidden="false" customHeight="false" outlineLevel="0" collapsed="false">
      <c r="A497" s="334" t="n">
        <v>10</v>
      </c>
      <c r="B497" s="269" t="n">
        <v>51044</v>
      </c>
    </row>
    <row r="498" customFormat="false" ht="15.75" hidden="false" customHeight="false" outlineLevel="0" collapsed="false">
      <c r="A498" s="334" t="n">
        <v>11</v>
      </c>
      <c r="B498" s="269" t="n">
        <v>51075</v>
      </c>
    </row>
    <row r="499" customFormat="false" ht="15.75" hidden="false" customHeight="false" outlineLevel="0" collapsed="false">
      <c r="A499" s="334" t="n">
        <v>12</v>
      </c>
      <c r="B499" s="269" t="n">
        <v>51105</v>
      </c>
    </row>
    <row r="500" customFormat="false" ht="15.75" hidden="false" customHeight="false" outlineLevel="0" collapsed="false">
      <c r="A500" s="334" t="n">
        <v>1</v>
      </c>
      <c r="B500" s="269" t="n">
        <v>51136</v>
      </c>
    </row>
    <row r="501" customFormat="false" ht="15.75" hidden="false" customHeight="false" outlineLevel="0" collapsed="false">
      <c r="A501" s="334" t="n">
        <v>2</v>
      </c>
      <c r="B501" s="269" t="n">
        <v>51167</v>
      </c>
    </row>
    <row r="502" customFormat="false" ht="15.75" hidden="false" customHeight="false" outlineLevel="0" collapsed="false">
      <c r="A502" s="334" t="n">
        <v>3</v>
      </c>
      <c r="B502" s="269" t="n">
        <v>51196</v>
      </c>
    </row>
    <row r="503" customFormat="false" ht="15.75" hidden="false" customHeight="false" outlineLevel="0" collapsed="false">
      <c r="A503" s="334" t="n">
        <v>4</v>
      </c>
      <c r="B503" s="269" t="n">
        <v>51227</v>
      </c>
    </row>
    <row r="504" customFormat="false" ht="15.75" hidden="false" customHeight="false" outlineLevel="0" collapsed="false">
      <c r="A504" s="334" t="n">
        <v>5</v>
      </c>
      <c r="B504" s="269" t="n">
        <v>51257</v>
      </c>
    </row>
    <row r="505" customFormat="false" ht="15.75" hidden="false" customHeight="false" outlineLevel="0" collapsed="false">
      <c r="A505" s="334" t="n">
        <v>6</v>
      </c>
      <c r="B505" s="269" t="n">
        <v>51288</v>
      </c>
    </row>
    <row r="506" customFormat="false" ht="15.75" hidden="false" customHeight="false" outlineLevel="0" collapsed="false">
      <c r="A506" s="334" t="n">
        <v>7</v>
      </c>
      <c r="B506" s="269" t="n">
        <v>51318</v>
      </c>
    </row>
    <row r="507" customFormat="false" ht="15.75" hidden="false" customHeight="false" outlineLevel="0" collapsed="false">
      <c r="A507" s="334" t="n">
        <v>8</v>
      </c>
      <c r="B507" s="269" t="n">
        <v>51349</v>
      </c>
    </row>
    <row r="508" customFormat="false" ht="15.75" hidden="false" customHeight="false" outlineLevel="0" collapsed="false">
      <c r="A508" s="334" t="n">
        <v>9</v>
      </c>
      <c r="B508" s="269" t="n">
        <v>51380</v>
      </c>
    </row>
    <row r="509" customFormat="false" ht="15.75" hidden="false" customHeight="false" outlineLevel="0" collapsed="false">
      <c r="A509" s="334" t="n">
        <v>10</v>
      </c>
      <c r="B509" s="269" t="n">
        <v>51410</v>
      </c>
    </row>
    <row r="510" customFormat="false" ht="15.75" hidden="false" customHeight="false" outlineLevel="0" collapsed="false">
      <c r="A510" s="334" t="n">
        <v>11</v>
      </c>
      <c r="B510" s="269" t="n">
        <v>51441</v>
      </c>
    </row>
    <row r="511" customFormat="false" ht="15.75" hidden="false" customHeight="false" outlineLevel="0" collapsed="false">
      <c r="A511" s="334" t="n">
        <v>12</v>
      </c>
      <c r="B511" s="269" t="n">
        <v>51471</v>
      </c>
    </row>
    <row r="512" customFormat="false" ht="15.75" hidden="false" customHeight="false" outlineLevel="0" collapsed="false">
      <c r="A512" s="334" t="n">
        <v>1</v>
      </c>
      <c r="B512" s="269" t="n">
        <v>51502</v>
      </c>
    </row>
    <row r="513" customFormat="false" ht="15.75" hidden="false" customHeight="false" outlineLevel="0" collapsed="false">
      <c r="A513" s="334" t="n">
        <v>2</v>
      </c>
      <c r="B513" s="269" t="n">
        <v>51533</v>
      </c>
    </row>
    <row r="514" customFormat="false" ht="15.75" hidden="false" customHeight="false" outlineLevel="0" collapsed="false">
      <c r="A514" s="334" t="n">
        <v>3</v>
      </c>
      <c r="B514" s="269" t="n">
        <v>51561</v>
      </c>
    </row>
    <row r="515" customFormat="false" ht="15.75" hidden="false" customHeight="false" outlineLevel="0" collapsed="false">
      <c r="A515" s="334" t="n">
        <v>4</v>
      </c>
      <c r="B515" s="269" t="n">
        <v>51592</v>
      </c>
    </row>
    <row r="516" customFormat="false" ht="15.75" hidden="false" customHeight="false" outlineLevel="0" collapsed="false">
      <c r="A516" s="334" t="n">
        <v>5</v>
      </c>
      <c r="B516" s="269" t="n">
        <v>51622</v>
      </c>
    </row>
    <row r="517" customFormat="false" ht="15.75" hidden="false" customHeight="false" outlineLevel="0" collapsed="false">
      <c r="A517" s="334" t="n">
        <v>6</v>
      </c>
      <c r="B517" s="269" t="n">
        <v>51653</v>
      </c>
    </row>
    <row r="518" customFormat="false" ht="15.75" hidden="false" customHeight="false" outlineLevel="0" collapsed="false">
      <c r="A518" s="334" t="n">
        <v>7</v>
      </c>
      <c r="B518" s="269" t="n">
        <v>51683</v>
      </c>
    </row>
    <row r="519" customFormat="false" ht="15.75" hidden="false" customHeight="false" outlineLevel="0" collapsed="false">
      <c r="A519" s="334" t="n">
        <v>8</v>
      </c>
      <c r="B519" s="269" t="n">
        <v>51714</v>
      </c>
    </row>
    <row r="520" customFormat="false" ht="15.75" hidden="false" customHeight="false" outlineLevel="0" collapsed="false">
      <c r="A520" s="334" t="n">
        <v>9</v>
      </c>
      <c r="B520" s="269" t="n">
        <v>51745</v>
      </c>
    </row>
    <row r="521" customFormat="false" ht="15.75" hidden="false" customHeight="false" outlineLevel="0" collapsed="false">
      <c r="A521" s="334" t="n">
        <v>10</v>
      </c>
      <c r="B521" s="269" t="n">
        <v>51775</v>
      </c>
    </row>
    <row r="522" customFormat="false" ht="15.75" hidden="false" customHeight="false" outlineLevel="0" collapsed="false">
      <c r="A522" s="334" t="n">
        <v>11</v>
      </c>
      <c r="B522" s="269" t="n">
        <v>51806</v>
      </c>
    </row>
    <row r="523" customFormat="false" ht="15.75" hidden="false" customHeight="false" outlineLevel="0" collapsed="false">
      <c r="A523" s="334" t="n">
        <v>12</v>
      </c>
      <c r="B523" s="269" t="n">
        <v>51836</v>
      </c>
    </row>
    <row r="524" customFormat="false" ht="15.75" hidden="false" customHeight="false" outlineLevel="0" collapsed="false">
      <c r="A524" s="334" t="n">
        <v>1</v>
      </c>
      <c r="B524" s="269" t="n">
        <v>51867</v>
      </c>
    </row>
    <row r="525" customFormat="false" ht="15.75" hidden="false" customHeight="false" outlineLevel="0" collapsed="false">
      <c r="A525" s="334" t="n">
        <v>2</v>
      </c>
      <c r="B525" s="269" t="n">
        <v>51898</v>
      </c>
    </row>
    <row r="526" customFormat="false" ht="15.75" hidden="false" customHeight="false" outlineLevel="0" collapsed="false">
      <c r="A526" s="334" t="n">
        <v>3</v>
      </c>
      <c r="B526" s="269" t="n">
        <v>51926</v>
      </c>
    </row>
    <row r="527" customFormat="false" ht="15.75" hidden="false" customHeight="false" outlineLevel="0" collapsed="false">
      <c r="A527" s="334" t="n">
        <v>4</v>
      </c>
      <c r="B527" s="269" t="n">
        <v>51957</v>
      </c>
    </row>
    <row r="528" customFormat="false" ht="15.75" hidden="false" customHeight="false" outlineLevel="0" collapsed="false">
      <c r="A528" s="334" t="n">
        <v>5</v>
      </c>
      <c r="B528" s="269" t="n">
        <v>51987</v>
      </c>
    </row>
    <row r="529" customFormat="false" ht="15.75" hidden="false" customHeight="false" outlineLevel="0" collapsed="false">
      <c r="A529" s="334" t="n">
        <v>6</v>
      </c>
      <c r="B529" s="269" t="n">
        <v>52018</v>
      </c>
    </row>
    <row r="530" customFormat="false" ht="15.75" hidden="false" customHeight="false" outlineLevel="0" collapsed="false">
      <c r="A530" s="334" t="n">
        <v>7</v>
      </c>
      <c r="B530" s="269" t="n">
        <v>52048</v>
      </c>
    </row>
    <row r="531" customFormat="false" ht="15.75" hidden="false" customHeight="false" outlineLevel="0" collapsed="false">
      <c r="A531" s="334" t="n">
        <v>8</v>
      </c>
      <c r="B531" s="269" t="n">
        <v>52079</v>
      </c>
    </row>
    <row r="532" customFormat="false" ht="15.75" hidden="false" customHeight="false" outlineLevel="0" collapsed="false">
      <c r="A532" s="334" t="n">
        <v>9</v>
      </c>
      <c r="B532" s="269" t="n">
        <v>52110</v>
      </c>
    </row>
    <row r="533" customFormat="false" ht="15.75" hidden="false" customHeight="false" outlineLevel="0" collapsed="false">
      <c r="A533" s="334" t="n">
        <v>10</v>
      </c>
      <c r="B533" s="269" t="n">
        <v>52140</v>
      </c>
    </row>
    <row r="534" customFormat="false" ht="15.75" hidden="false" customHeight="false" outlineLevel="0" collapsed="false">
      <c r="A534" s="334" t="n">
        <v>11</v>
      </c>
      <c r="B534" s="269" t="n">
        <v>52171</v>
      </c>
    </row>
    <row r="535" customFormat="false" ht="15.75" hidden="false" customHeight="false" outlineLevel="0" collapsed="false">
      <c r="A535" s="334" t="n">
        <v>12</v>
      </c>
      <c r="B535" s="269" t="n">
        <v>52201</v>
      </c>
    </row>
    <row r="536" customFormat="false" ht="15.75" hidden="false" customHeight="false" outlineLevel="0" collapsed="false">
      <c r="A536" s="334" t="n">
        <v>1</v>
      </c>
      <c r="B536" s="269" t="n">
        <v>52232</v>
      </c>
    </row>
    <row r="537" customFormat="false" ht="15.75" hidden="false" customHeight="false" outlineLevel="0" collapsed="false">
      <c r="A537" s="334" t="n">
        <v>2</v>
      </c>
      <c r="B537" s="269" t="n">
        <v>52263</v>
      </c>
    </row>
    <row r="538" customFormat="false" ht="15.75" hidden="false" customHeight="false" outlineLevel="0" collapsed="false">
      <c r="A538" s="334" t="n">
        <v>3</v>
      </c>
      <c r="B538" s="269" t="n">
        <v>52291</v>
      </c>
    </row>
    <row r="539" customFormat="false" ht="15.75" hidden="false" customHeight="false" outlineLevel="0" collapsed="false">
      <c r="A539" s="334" t="n">
        <v>4</v>
      </c>
      <c r="B539" s="269" t="n">
        <v>52322</v>
      </c>
    </row>
    <row r="540" customFormat="false" ht="15.75" hidden="false" customHeight="false" outlineLevel="0" collapsed="false">
      <c r="A540" s="334" t="n">
        <v>5</v>
      </c>
      <c r="B540" s="269" t="n">
        <v>52352</v>
      </c>
    </row>
    <row r="541" customFormat="false" ht="15.75" hidden="false" customHeight="false" outlineLevel="0" collapsed="false">
      <c r="A541" s="334" t="n">
        <v>6</v>
      </c>
      <c r="B541" s="269" t="n">
        <v>52383</v>
      </c>
    </row>
    <row r="542" customFormat="false" ht="15.75" hidden="false" customHeight="false" outlineLevel="0" collapsed="false">
      <c r="A542" s="334" t="n">
        <v>7</v>
      </c>
      <c r="B542" s="269" t="n">
        <v>52413</v>
      </c>
    </row>
    <row r="543" customFormat="false" ht="15.75" hidden="false" customHeight="false" outlineLevel="0" collapsed="false">
      <c r="A543" s="334" t="n">
        <v>8</v>
      </c>
      <c r="B543" s="269" t="n">
        <v>52444</v>
      </c>
    </row>
    <row r="544" customFormat="false" ht="15.75" hidden="false" customHeight="false" outlineLevel="0" collapsed="false">
      <c r="A544" s="334" t="n">
        <v>9</v>
      </c>
      <c r="B544" s="269" t="n">
        <v>52475</v>
      </c>
    </row>
    <row r="545" customFormat="false" ht="15.75" hidden="false" customHeight="false" outlineLevel="0" collapsed="false">
      <c r="A545" s="334" t="n">
        <v>10</v>
      </c>
      <c r="B545" s="269" t="n">
        <v>52505</v>
      </c>
    </row>
    <row r="546" customFormat="false" ht="15.75" hidden="false" customHeight="false" outlineLevel="0" collapsed="false">
      <c r="A546" s="334" t="n">
        <v>11</v>
      </c>
      <c r="B546" s="269" t="n">
        <v>52536</v>
      </c>
    </row>
    <row r="547" customFormat="false" ht="15.75" hidden="false" customHeight="false" outlineLevel="0" collapsed="false">
      <c r="A547" s="334" t="n">
        <v>12</v>
      </c>
      <c r="B547" s="269" t="n">
        <v>52566</v>
      </c>
    </row>
    <row r="548" customFormat="false" ht="15.75" hidden="false" customHeight="false" outlineLevel="0" collapsed="false">
      <c r="A548" s="334" t="n">
        <v>1</v>
      </c>
      <c r="B548" s="269" t="n">
        <v>52597</v>
      </c>
    </row>
    <row r="549" customFormat="false" ht="15.75" hidden="false" customHeight="false" outlineLevel="0" collapsed="false">
      <c r="A549" s="334" t="n">
        <v>2</v>
      </c>
      <c r="B549" s="269" t="n">
        <v>52628</v>
      </c>
    </row>
    <row r="550" customFormat="false" ht="15.75" hidden="false" customHeight="false" outlineLevel="0" collapsed="false">
      <c r="A550" s="334" t="n">
        <v>3</v>
      </c>
      <c r="B550" s="269" t="n">
        <v>52657</v>
      </c>
    </row>
    <row r="551" customFormat="false" ht="15.75" hidden="false" customHeight="false" outlineLevel="0" collapsed="false">
      <c r="A551" s="334" t="n">
        <v>4</v>
      </c>
      <c r="B551" s="269" t="n">
        <v>52688</v>
      </c>
    </row>
    <row r="552" customFormat="false" ht="15.75" hidden="false" customHeight="false" outlineLevel="0" collapsed="false">
      <c r="A552" s="334" t="n">
        <v>5</v>
      </c>
      <c r="B552" s="269" t="n">
        <v>52718</v>
      </c>
    </row>
    <row r="553" customFormat="false" ht="15.75" hidden="false" customHeight="false" outlineLevel="0" collapsed="false">
      <c r="A553" s="334" t="n">
        <v>6</v>
      </c>
      <c r="B553" s="269" t="n">
        <v>52749</v>
      </c>
    </row>
    <row r="554" customFormat="false" ht="15.75" hidden="false" customHeight="false" outlineLevel="0" collapsed="false">
      <c r="A554" s="334" t="n">
        <v>7</v>
      </c>
      <c r="B554" s="269" t="n">
        <v>52779</v>
      </c>
    </row>
    <row r="555" customFormat="false" ht="15.75" hidden="false" customHeight="false" outlineLevel="0" collapsed="false">
      <c r="A555" s="334" t="n">
        <v>8</v>
      </c>
      <c r="B555" s="269" t="n">
        <v>52810</v>
      </c>
    </row>
    <row r="556" customFormat="false" ht="15.75" hidden="false" customHeight="false" outlineLevel="0" collapsed="false">
      <c r="A556" s="334" t="n">
        <v>9</v>
      </c>
      <c r="B556" s="269" t="n">
        <v>52841</v>
      </c>
    </row>
    <row r="557" customFormat="false" ht="15.75" hidden="false" customHeight="false" outlineLevel="0" collapsed="false">
      <c r="A557" s="334" t="n">
        <v>10</v>
      </c>
      <c r="B557" s="269" t="n">
        <v>52871</v>
      </c>
    </row>
    <row r="558" customFormat="false" ht="15.75" hidden="false" customHeight="false" outlineLevel="0" collapsed="false">
      <c r="A558" s="334" t="n">
        <v>11</v>
      </c>
      <c r="B558" s="269" t="n">
        <v>52902</v>
      </c>
    </row>
    <row r="559" customFormat="false" ht="15.75" hidden="false" customHeight="false" outlineLevel="0" collapsed="false">
      <c r="A559" s="334" t="n">
        <v>12</v>
      </c>
      <c r="B559" s="269" t="n">
        <v>52932</v>
      </c>
    </row>
    <row r="560" customFormat="false" ht="15.75" hidden="false" customHeight="false" outlineLevel="0" collapsed="false">
      <c r="A560" s="334" t="n">
        <v>1</v>
      </c>
      <c r="B560" s="269" t="n">
        <v>52963</v>
      </c>
    </row>
    <row r="561" customFormat="false" ht="15.75" hidden="false" customHeight="false" outlineLevel="0" collapsed="false">
      <c r="A561" s="334" t="n">
        <v>2</v>
      </c>
      <c r="B561" s="269" t="n">
        <v>52994</v>
      </c>
    </row>
    <row r="562" customFormat="false" ht="15.75" hidden="false" customHeight="false" outlineLevel="0" collapsed="false">
      <c r="A562" s="334" t="n">
        <v>3</v>
      </c>
      <c r="B562" s="269" t="n">
        <v>53022</v>
      </c>
    </row>
    <row r="563" customFormat="false" ht="15.75" hidden="false" customHeight="false" outlineLevel="0" collapsed="false">
      <c r="A563" s="334" t="n">
        <v>4</v>
      </c>
      <c r="B563" s="269" t="n">
        <v>53053</v>
      </c>
    </row>
    <row r="564" customFormat="false" ht="15.75" hidden="false" customHeight="false" outlineLevel="0" collapsed="false">
      <c r="A564" s="334" t="n">
        <v>5</v>
      </c>
      <c r="B564" s="269" t="n">
        <v>53083</v>
      </c>
    </row>
    <row r="565" customFormat="false" ht="15.75" hidden="false" customHeight="false" outlineLevel="0" collapsed="false">
      <c r="A565" s="334" t="n">
        <v>6</v>
      </c>
      <c r="B565" s="269" t="n">
        <v>53114</v>
      </c>
    </row>
    <row r="566" customFormat="false" ht="15.75" hidden="false" customHeight="false" outlineLevel="0" collapsed="false">
      <c r="A566" s="334" t="n">
        <v>7</v>
      </c>
      <c r="B566" s="269" t="n">
        <v>53144</v>
      </c>
    </row>
    <row r="567" customFormat="false" ht="15.75" hidden="false" customHeight="false" outlineLevel="0" collapsed="false">
      <c r="A567" s="334" t="n">
        <v>8</v>
      </c>
      <c r="B567" s="269" t="n">
        <v>53175</v>
      </c>
    </row>
    <row r="568" customFormat="false" ht="15.75" hidden="false" customHeight="false" outlineLevel="0" collapsed="false">
      <c r="A568" s="334" t="n">
        <v>9</v>
      </c>
      <c r="B568" s="269" t="n">
        <v>53206</v>
      </c>
    </row>
    <row r="569" customFormat="false" ht="15.75" hidden="false" customHeight="false" outlineLevel="0" collapsed="false">
      <c r="A569" s="334" t="n">
        <v>10</v>
      </c>
      <c r="B569" s="269" t="n">
        <v>53236</v>
      </c>
    </row>
    <row r="570" customFormat="false" ht="15.75" hidden="false" customHeight="false" outlineLevel="0" collapsed="false">
      <c r="A570" s="334" t="n">
        <v>11</v>
      </c>
      <c r="B570" s="269" t="n">
        <v>53267</v>
      </c>
    </row>
    <row r="571" customFormat="false" ht="15.75" hidden="false" customHeight="false" outlineLevel="0" collapsed="false">
      <c r="A571" s="334" t="n">
        <v>12</v>
      </c>
      <c r="B571" s="269" t="n">
        <v>53297</v>
      </c>
    </row>
    <row r="572" customFormat="false" ht="15.75" hidden="false" customHeight="false" outlineLevel="0" collapsed="false">
      <c r="A572" s="334" t="n">
        <v>1</v>
      </c>
      <c r="B572" s="269" t="n">
        <v>53328</v>
      </c>
    </row>
    <row r="573" customFormat="false" ht="15.75" hidden="false" customHeight="false" outlineLevel="0" collapsed="false">
      <c r="A573" s="334" t="n">
        <v>2</v>
      </c>
      <c r="B573" s="269" t="n">
        <v>53359</v>
      </c>
    </row>
    <row r="574" customFormat="false" ht="15.75" hidden="false" customHeight="false" outlineLevel="0" collapsed="false">
      <c r="A574" s="334" t="n">
        <v>3</v>
      </c>
      <c r="B574" s="269" t="n">
        <v>53387</v>
      </c>
    </row>
    <row r="575" customFormat="false" ht="15.75" hidden="false" customHeight="false" outlineLevel="0" collapsed="false">
      <c r="A575" s="334" t="n">
        <v>4</v>
      </c>
      <c r="B575" s="269" t="n">
        <v>53418</v>
      </c>
    </row>
    <row r="576" customFormat="false" ht="15.75" hidden="false" customHeight="false" outlineLevel="0" collapsed="false">
      <c r="A576" s="334" t="n">
        <v>5</v>
      </c>
      <c r="B576" s="269" t="n">
        <v>53448</v>
      </c>
    </row>
    <row r="577" customFormat="false" ht="15.75" hidden="false" customHeight="false" outlineLevel="0" collapsed="false">
      <c r="A577" s="334" t="n">
        <v>6</v>
      </c>
      <c r="B577" s="269" t="n">
        <v>53479</v>
      </c>
    </row>
    <row r="578" customFormat="false" ht="15.75" hidden="false" customHeight="false" outlineLevel="0" collapsed="false">
      <c r="A578" s="334" t="n">
        <v>7</v>
      </c>
      <c r="B578" s="269" t="n">
        <v>53509</v>
      </c>
    </row>
    <row r="579" customFormat="false" ht="15.75" hidden="false" customHeight="false" outlineLevel="0" collapsed="false">
      <c r="A579" s="334" t="n">
        <v>8</v>
      </c>
      <c r="B579" s="269" t="n">
        <v>53540</v>
      </c>
    </row>
    <row r="580" customFormat="false" ht="15.75" hidden="false" customHeight="false" outlineLevel="0" collapsed="false">
      <c r="A580" s="334" t="n">
        <v>9</v>
      </c>
      <c r="B580" s="269" t="n">
        <v>53571</v>
      </c>
    </row>
    <row r="581" customFormat="false" ht="15.75" hidden="false" customHeight="false" outlineLevel="0" collapsed="false">
      <c r="A581" s="334" t="n">
        <v>10</v>
      </c>
      <c r="B581" s="269" t="n">
        <v>53601</v>
      </c>
    </row>
    <row r="582" customFormat="false" ht="15.75" hidden="false" customHeight="false" outlineLevel="0" collapsed="false">
      <c r="A582" s="334" t="n">
        <v>11</v>
      </c>
      <c r="B582" s="269" t="n">
        <v>53632</v>
      </c>
    </row>
    <row r="583" customFormat="false" ht="15.75" hidden="false" customHeight="false" outlineLevel="0" collapsed="false">
      <c r="A583" s="334" t="n">
        <v>12</v>
      </c>
      <c r="B583" s="269" t="n">
        <v>53662</v>
      </c>
    </row>
    <row r="584" customFormat="false" ht="15.75" hidden="false" customHeight="false" outlineLevel="0" collapsed="false">
      <c r="A584" s="334" t="n">
        <v>1</v>
      </c>
      <c r="B584" s="269" t="n">
        <v>53693</v>
      </c>
    </row>
    <row r="585" customFormat="false" ht="15.75" hidden="false" customHeight="false" outlineLevel="0" collapsed="false">
      <c r="A585" s="334" t="n">
        <v>2</v>
      </c>
      <c r="B585" s="269" t="n">
        <v>53724</v>
      </c>
    </row>
    <row r="586" customFormat="false" ht="15.75" hidden="false" customHeight="false" outlineLevel="0" collapsed="false">
      <c r="A586" s="334" t="n">
        <v>3</v>
      </c>
      <c r="B586" s="269" t="n">
        <v>53752</v>
      </c>
    </row>
    <row r="587" customFormat="false" ht="15.75" hidden="false" customHeight="false" outlineLevel="0" collapsed="false">
      <c r="A587" s="334" t="n">
        <v>4</v>
      </c>
      <c r="B587" s="269" t="n">
        <v>53783</v>
      </c>
    </row>
    <row r="588" customFormat="false" ht="15.75" hidden="false" customHeight="false" outlineLevel="0" collapsed="false">
      <c r="A588" s="334" t="n">
        <v>5</v>
      </c>
      <c r="B588" s="269" t="n">
        <v>53813</v>
      </c>
    </row>
    <row r="589" customFormat="false" ht="15.75" hidden="false" customHeight="false" outlineLevel="0" collapsed="false">
      <c r="A589" s="334" t="n">
        <v>6</v>
      </c>
      <c r="B589" s="269" t="n">
        <v>53844</v>
      </c>
    </row>
    <row r="590" customFormat="false" ht="15.75" hidden="false" customHeight="false" outlineLevel="0" collapsed="false">
      <c r="A590" s="334" t="n">
        <v>7</v>
      </c>
      <c r="B590" s="269" t="n">
        <v>53874</v>
      </c>
    </row>
    <row r="591" customFormat="false" ht="15.75" hidden="false" customHeight="false" outlineLevel="0" collapsed="false">
      <c r="A591" s="334" t="n">
        <v>8</v>
      </c>
      <c r="B591" s="269" t="n">
        <v>53905</v>
      </c>
    </row>
    <row r="592" customFormat="false" ht="15.75" hidden="false" customHeight="false" outlineLevel="0" collapsed="false">
      <c r="A592" s="334" t="n">
        <v>9</v>
      </c>
      <c r="B592" s="269" t="n">
        <v>53936</v>
      </c>
    </row>
    <row r="593" customFormat="false" ht="15.75" hidden="false" customHeight="false" outlineLevel="0" collapsed="false">
      <c r="A593" s="334" t="n">
        <v>10</v>
      </c>
      <c r="B593" s="269" t="n">
        <v>53966</v>
      </c>
    </row>
    <row r="594" customFormat="false" ht="15.75" hidden="false" customHeight="false" outlineLevel="0" collapsed="false">
      <c r="A594" s="334" t="n">
        <v>11</v>
      </c>
      <c r="B594" s="269" t="n">
        <v>53997</v>
      </c>
    </row>
    <row r="595" customFormat="false" ht="15.75" hidden="false" customHeight="false" outlineLevel="0" collapsed="false">
      <c r="A595" s="334" t="n">
        <v>12</v>
      </c>
      <c r="B595" s="269" t="n">
        <v>54027</v>
      </c>
    </row>
    <row r="596" customFormat="false" ht="15.75" hidden="false" customHeight="false" outlineLevel="0" collapsed="false">
      <c r="A596" s="334" t="n">
        <v>1</v>
      </c>
      <c r="B596" s="269" t="n">
        <v>54058</v>
      </c>
    </row>
    <row r="597" customFormat="false" ht="15.75" hidden="false" customHeight="false" outlineLevel="0" collapsed="false">
      <c r="A597" s="334" t="n">
        <v>2</v>
      </c>
      <c r="B597" s="269" t="n">
        <v>54089</v>
      </c>
    </row>
    <row r="598" customFormat="false" ht="15.75" hidden="false" customHeight="false" outlineLevel="0" collapsed="false">
      <c r="A598" s="334" t="n">
        <v>3</v>
      </c>
      <c r="B598" s="269" t="n">
        <v>54118</v>
      </c>
    </row>
    <row r="599" customFormat="false" ht="15.75" hidden="false" customHeight="false" outlineLevel="0" collapsed="false">
      <c r="A599" s="334" t="n">
        <v>4</v>
      </c>
      <c r="B599" s="269" t="n">
        <v>54149</v>
      </c>
    </row>
    <row r="600" customFormat="false" ht="15.75" hidden="false" customHeight="false" outlineLevel="0" collapsed="false">
      <c r="A600" s="334" t="n">
        <v>5</v>
      </c>
      <c r="B600" s="269" t="n">
        <v>54179</v>
      </c>
    </row>
    <row r="601" customFormat="false" ht="15.75" hidden="false" customHeight="false" outlineLevel="0" collapsed="false">
      <c r="A601" s="334" t="n">
        <v>6</v>
      </c>
      <c r="B601" s="269" t="n">
        <v>54210</v>
      </c>
    </row>
    <row r="602" customFormat="false" ht="15.75" hidden="false" customHeight="false" outlineLevel="0" collapsed="false">
      <c r="A602" s="334" t="n">
        <v>7</v>
      </c>
      <c r="B602" s="269" t="n">
        <v>54240</v>
      </c>
    </row>
    <row r="603" customFormat="false" ht="15.75" hidden="false" customHeight="false" outlineLevel="0" collapsed="false">
      <c r="A603" s="334" t="n">
        <v>8</v>
      </c>
      <c r="B603" s="269" t="n">
        <v>54271</v>
      </c>
    </row>
    <row r="604" customFormat="false" ht="15.75" hidden="false" customHeight="false" outlineLevel="0" collapsed="false">
      <c r="A604" s="334" t="n">
        <v>9</v>
      </c>
      <c r="B604" s="269" t="n">
        <v>54302</v>
      </c>
    </row>
    <row r="605" customFormat="false" ht="15.75" hidden="false" customHeight="false" outlineLevel="0" collapsed="false">
      <c r="A605" s="334" t="n">
        <v>10</v>
      </c>
      <c r="B605" s="269" t="n">
        <v>54332</v>
      </c>
    </row>
    <row r="606" customFormat="false" ht="15.75" hidden="false" customHeight="false" outlineLevel="0" collapsed="false">
      <c r="A606" s="334" t="n">
        <v>11</v>
      </c>
      <c r="B606" s="269" t="n">
        <v>54363</v>
      </c>
    </row>
    <row r="607" customFormat="false" ht="15.75" hidden="false" customHeight="false" outlineLevel="0" collapsed="false">
      <c r="A607" s="334" t="n">
        <v>12</v>
      </c>
      <c r="B607" s="269" t="n">
        <v>54393</v>
      </c>
    </row>
    <row r="608" customFormat="false" ht="15.75" hidden="false" customHeight="false" outlineLevel="0" collapsed="false">
      <c r="A608" s="334" t="n">
        <v>1</v>
      </c>
      <c r="B608" s="269" t="n">
        <v>54424</v>
      </c>
    </row>
    <row r="609" customFormat="false" ht="15.75" hidden="false" customHeight="false" outlineLevel="0" collapsed="false">
      <c r="A609" s="334" t="n">
        <v>2</v>
      </c>
      <c r="B609" s="269" t="n">
        <v>54455</v>
      </c>
    </row>
    <row r="610" customFormat="false" ht="15.75" hidden="false" customHeight="false" outlineLevel="0" collapsed="false">
      <c r="A610" s="334" t="n">
        <v>3</v>
      </c>
      <c r="B610" s="269" t="n">
        <v>54483</v>
      </c>
    </row>
    <row r="611" customFormat="false" ht="15.75" hidden="false" customHeight="false" outlineLevel="0" collapsed="false">
      <c r="A611" s="334" t="n">
        <v>4</v>
      </c>
      <c r="B611" s="269" t="n">
        <v>54514</v>
      </c>
    </row>
    <row r="612" customFormat="false" ht="15.75" hidden="false" customHeight="false" outlineLevel="0" collapsed="false">
      <c r="A612" s="334" t="n">
        <v>5</v>
      </c>
      <c r="B612" s="269" t="n">
        <v>54544</v>
      </c>
    </row>
    <row r="613" customFormat="false" ht="15.75" hidden="false" customHeight="false" outlineLevel="0" collapsed="false">
      <c r="A613" s="334" t="n">
        <v>6</v>
      </c>
      <c r="B613" s="269" t="n">
        <v>54575</v>
      </c>
    </row>
    <row r="614" customFormat="false" ht="15.75" hidden="false" customHeight="false" outlineLevel="0" collapsed="false">
      <c r="A614" s="334" t="n">
        <v>7</v>
      </c>
      <c r="B614" s="269" t="n">
        <v>54605</v>
      </c>
    </row>
    <row r="615" customFormat="false" ht="15.75" hidden="false" customHeight="false" outlineLevel="0" collapsed="false">
      <c r="A615" s="334" t="n">
        <v>8</v>
      </c>
      <c r="B615" s="269" t="n">
        <v>54636</v>
      </c>
    </row>
    <row r="616" customFormat="false" ht="15.75" hidden="false" customHeight="false" outlineLevel="0" collapsed="false">
      <c r="A616" s="334" t="n">
        <v>9</v>
      </c>
      <c r="B616" s="269" t="n">
        <v>54667</v>
      </c>
    </row>
    <row r="617" customFormat="false" ht="15.75" hidden="false" customHeight="false" outlineLevel="0" collapsed="false">
      <c r="A617" s="334" t="n">
        <v>10</v>
      </c>
      <c r="B617" s="269" t="n">
        <v>54697</v>
      </c>
    </row>
    <row r="618" customFormat="false" ht="15.75" hidden="false" customHeight="false" outlineLevel="0" collapsed="false">
      <c r="A618" s="334" t="n">
        <v>11</v>
      </c>
      <c r="B618" s="269" t="n">
        <v>54728</v>
      </c>
    </row>
    <row r="619" customFormat="false" ht="15.75" hidden="false" customHeight="false" outlineLevel="0" collapsed="false">
      <c r="A619" s="334" t="n">
        <v>12</v>
      </c>
      <c r="B619" s="269" t="n">
        <v>54758</v>
      </c>
    </row>
    <row r="620" customFormat="false" ht="15.75" hidden="false" customHeight="false" outlineLevel="0" collapsed="false">
      <c r="A620" s="334" t="n">
        <v>1</v>
      </c>
      <c r="B620" s="269" t="n">
        <v>54789</v>
      </c>
    </row>
    <row r="621" customFormat="false" ht="15.75" hidden="false" customHeight="false" outlineLevel="0" collapsed="false">
      <c r="A621" s="334" t="n">
        <v>2</v>
      </c>
      <c r="B621" s="269" t="n">
        <v>54820</v>
      </c>
    </row>
    <row r="622" customFormat="false" ht="15.75" hidden="false" customHeight="false" outlineLevel="0" collapsed="false">
      <c r="A622" s="334" t="n">
        <v>3</v>
      </c>
      <c r="B622" s="269" t="n">
        <v>54848</v>
      </c>
    </row>
    <row r="623" customFormat="false" ht="15.75" hidden="false" customHeight="false" outlineLevel="0" collapsed="false">
      <c r="A623" s="334" t="n">
        <v>4</v>
      </c>
      <c r="B623" s="269" t="n">
        <v>54879</v>
      </c>
    </row>
    <row r="624" customFormat="false" ht="15.75" hidden="false" customHeight="false" outlineLevel="0" collapsed="false">
      <c r="A624" s="334" t="n">
        <v>5</v>
      </c>
      <c r="B624" s="269" t="n">
        <v>54909</v>
      </c>
    </row>
    <row r="625" customFormat="false" ht="15.75" hidden="false" customHeight="false" outlineLevel="0" collapsed="false">
      <c r="A625" s="334" t="n">
        <v>6</v>
      </c>
      <c r="B625" s="269" t="n">
        <v>54940</v>
      </c>
    </row>
    <row r="626" customFormat="false" ht="15.75" hidden="false" customHeight="false" outlineLevel="0" collapsed="false">
      <c r="A626" s="334" t="n">
        <v>7</v>
      </c>
      <c r="B626" s="269" t="n">
        <v>54970</v>
      </c>
    </row>
    <row r="627" customFormat="false" ht="15.75" hidden="false" customHeight="false" outlineLevel="0" collapsed="false">
      <c r="A627" s="334" t="n">
        <v>8</v>
      </c>
      <c r="B627" s="269" t="n">
        <v>55001</v>
      </c>
    </row>
    <row r="628" customFormat="false" ht="15.75" hidden="false" customHeight="false" outlineLevel="0" collapsed="false">
      <c r="A628" s="334" t="n">
        <v>9</v>
      </c>
      <c r="B628" s="269" t="n">
        <v>55032</v>
      </c>
    </row>
    <row r="629" customFormat="false" ht="15.75" hidden="false" customHeight="false" outlineLevel="0" collapsed="false">
      <c r="A629" s="334" t="n">
        <v>10</v>
      </c>
      <c r="B629" s="269" t="n">
        <v>55062</v>
      </c>
    </row>
    <row r="630" customFormat="false" ht="15.75" hidden="false" customHeight="false" outlineLevel="0" collapsed="false">
      <c r="A630" s="334" t="n">
        <v>11</v>
      </c>
      <c r="B630" s="269" t="n">
        <v>55093</v>
      </c>
    </row>
    <row r="631" customFormat="false" ht="15.75" hidden="false" customHeight="false" outlineLevel="0" collapsed="false">
      <c r="A631" s="334" t="n">
        <v>12</v>
      </c>
      <c r="B631" s="269" t="n">
        <v>55123</v>
      </c>
    </row>
    <row r="632" customFormat="false" ht="15.75" hidden="false" customHeight="false" outlineLevel="0" collapsed="false">
      <c r="A632" s="334" t="n">
        <v>1</v>
      </c>
      <c r="B632" s="269" t="n">
        <v>55154</v>
      </c>
    </row>
    <row r="633" customFormat="false" ht="15.75" hidden="false" customHeight="false" outlineLevel="0" collapsed="false">
      <c r="A633" s="334" t="n">
        <v>2</v>
      </c>
      <c r="B633" s="269" t="n">
        <v>55185</v>
      </c>
    </row>
    <row r="634" customFormat="false" ht="15.75" hidden="false" customHeight="false" outlineLevel="0" collapsed="false">
      <c r="A634" s="334" t="n">
        <v>3</v>
      </c>
      <c r="B634" s="269" t="n">
        <v>55213</v>
      </c>
    </row>
    <row r="635" customFormat="false" ht="15.75" hidden="false" customHeight="false" outlineLevel="0" collapsed="false">
      <c r="A635" s="334" t="n">
        <v>4</v>
      </c>
      <c r="B635" s="269" t="n">
        <v>55244</v>
      </c>
    </row>
    <row r="636" customFormat="false" ht="15.75" hidden="false" customHeight="false" outlineLevel="0" collapsed="false">
      <c r="A636" s="334" t="n">
        <v>5</v>
      </c>
      <c r="B636" s="269" t="n">
        <v>55274</v>
      </c>
    </row>
    <row r="637" customFormat="false" ht="15.75" hidden="false" customHeight="false" outlineLevel="0" collapsed="false">
      <c r="A637" s="334" t="n">
        <v>6</v>
      </c>
      <c r="B637" s="269" t="n">
        <v>55305</v>
      </c>
    </row>
    <row r="638" customFormat="false" ht="15.75" hidden="false" customHeight="false" outlineLevel="0" collapsed="false">
      <c r="A638" s="334" t="n">
        <v>7</v>
      </c>
      <c r="B638" s="269" t="n">
        <v>55335</v>
      </c>
    </row>
    <row r="639" customFormat="false" ht="15.75" hidden="false" customHeight="false" outlineLevel="0" collapsed="false">
      <c r="A639" s="334" t="n">
        <v>8</v>
      </c>
      <c r="B639" s="269" t="n">
        <v>55366</v>
      </c>
    </row>
    <row r="640" customFormat="false" ht="15.75" hidden="false" customHeight="false" outlineLevel="0" collapsed="false">
      <c r="A640" s="334" t="n">
        <v>9</v>
      </c>
      <c r="B640" s="269" t="n">
        <v>55397</v>
      </c>
    </row>
    <row r="641" customFormat="false" ht="15.75" hidden="false" customHeight="false" outlineLevel="0" collapsed="false">
      <c r="A641" s="334" t="n">
        <v>10</v>
      </c>
      <c r="B641" s="269" t="n">
        <v>55427</v>
      </c>
    </row>
    <row r="642" customFormat="false" ht="15.75" hidden="false" customHeight="false" outlineLevel="0" collapsed="false">
      <c r="A642" s="334" t="n">
        <v>11</v>
      </c>
      <c r="B642" s="269" t="n">
        <v>55458</v>
      </c>
    </row>
    <row r="643" customFormat="false" ht="15.75" hidden="false" customHeight="false" outlineLevel="0" collapsed="false">
      <c r="A643" s="334" t="n">
        <v>12</v>
      </c>
      <c r="B643" s="269" t="n">
        <v>55488</v>
      </c>
    </row>
    <row r="644" customFormat="false" ht="15.75" hidden="false" customHeight="false" outlineLevel="0" collapsed="false">
      <c r="A644" s="334" t="n">
        <v>1</v>
      </c>
      <c r="B644" s="269" t="n">
        <v>55519</v>
      </c>
    </row>
    <row r="645" customFormat="false" ht="15.75" hidden="false" customHeight="false" outlineLevel="0" collapsed="false">
      <c r="A645" s="334" t="n">
        <v>2</v>
      </c>
      <c r="B645" s="269" t="n">
        <v>55550</v>
      </c>
    </row>
    <row r="646" customFormat="false" ht="15.75" hidden="false" customHeight="false" outlineLevel="0" collapsed="false">
      <c r="A646" s="334" t="n">
        <v>3</v>
      </c>
      <c r="B646" s="269" t="n">
        <v>55579</v>
      </c>
    </row>
    <row r="647" customFormat="false" ht="15.75" hidden="false" customHeight="false" outlineLevel="0" collapsed="false">
      <c r="A647" s="334" t="n">
        <v>4</v>
      </c>
      <c r="B647" s="269" t="n">
        <v>55610</v>
      </c>
    </row>
    <row r="648" customFormat="false" ht="15.75" hidden="false" customHeight="false" outlineLevel="0" collapsed="false">
      <c r="A648" s="334" t="n">
        <v>5</v>
      </c>
      <c r="B648" s="269" t="n">
        <v>55640</v>
      </c>
    </row>
    <row r="649" customFormat="false" ht="15.75" hidden="false" customHeight="false" outlineLevel="0" collapsed="false">
      <c r="A649" s="334" t="n">
        <v>6</v>
      </c>
      <c r="B649" s="269" t="n">
        <v>55671</v>
      </c>
    </row>
    <row r="650" customFormat="false" ht="15.75" hidden="false" customHeight="false" outlineLevel="0" collapsed="false">
      <c r="A650" s="334" t="n">
        <v>7</v>
      </c>
      <c r="B650" s="269" t="n">
        <v>55701</v>
      </c>
    </row>
    <row r="651" customFormat="false" ht="15.75" hidden="false" customHeight="false" outlineLevel="0" collapsed="false">
      <c r="A651" s="334" t="n">
        <v>8</v>
      </c>
      <c r="B651" s="269" t="n">
        <v>55732</v>
      </c>
    </row>
    <row r="652" customFormat="false" ht="15.75" hidden="false" customHeight="false" outlineLevel="0" collapsed="false">
      <c r="A652" s="334" t="n">
        <v>9</v>
      </c>
      <c r="B652" s="269" t="n">
        <v>55763</v>
      </c>
    </row>
    <row r="653" customFormat="false" ht="15.75" hidden="false" customHeight="false" outlineLevel="0" collapsed="false">
      <c r="A653" s="334" t="n">
        <v>10</v>
      </c>
      <c r="B653" s="269" t="n">
        <v>55793</v>
      </c>
    </row>
    <row r="654" customFormat="false" ht="15.75" hidden="false" customHeight="false" outlineLevel="0" collapsed="false">
      <c r="A654" s="334" t="n">
        <v>11</v>
      </c>
      <c r="B654" s="269" t="n">
        <v>55824</v>
      </c>
    </row>
    <row r="655" customFormat="false" ht="15.75" hidden="false" customHeight="false" outlineLevel="0" collapsed="false">
      <c r="A655" s="334" t="n">
        <v>12</v>
      </c>
      <c r="B655" s="269" t="n">
        <v>55854</v>
      </c>
    </row>
    <row r="656" customFormat="false" ht="15.75" hidden="false" customHeight="false" outlineLevel="0" collapsed="false">
      <c r="A656" s="334" t="n">
        <v>1</v>
      </c>
      <c r="B656" s="269" t="n">
        <v>55885</v>
      </c>
    </row>
    <row r="657" customFormat="false" ht="15.75" hidden="false" customHeight="false" outlineLevel="0" collapsed="false">
      <c r="A657" s="334" t="n">
        <v>2</v>
      </c>
      <c r="B657" s="269" t="n">
        <v>55916</v>
      </c>
    </row>
    <row r="658" customFormat="false" ht="15.75" hidden="false" customHeight="false" outlineLevel="0" collapsed="false">
      <c r="A658" s="334" t="n">
        <v>3</v>
      </c>
      <c r="B658" s="269" t="n">
        <v>55944</v>
      </c>
    </row>
    <row r="659" customFormat="false" ht="15.75" hidden="false" customHeight="false" outlineLevel="0" collapsed="false">
      <c r="A659" s="334" t="n">
        <v>4</v>
      </c>
      <c r="B659" s="269" t="n">
        <v>55975</v>
      </c>
    </row>
    <row r="660" customFormat="false" ht="15.75" hidden="false" customHeight="false" outlineLevel="0" collapsed="false">
      <c r="A660" s="334" t="n">
        <v>5</v>
      </c>
      <c r="B660" s="269" t="n">
        <v>56005</v>
      </c>
    </row>
    <row r="661" customFormat="false" ht="15.75" hidden="false" customHeight="false" outlineLevel="0" collapsed="false">
      <c r="A661" s="334" t="n">
        <v>6</v>
      </c>
      <c r="B661" s="269" t="n">
        <v>56036</v>
      </c>
    </row>
    <row r="662" customFormat="false" ht="15.75" hidden="false" customHeight="false" outlineLevel="0" collapsed="false">
      <c r="A662" s="334" t="n">
        <v>7</v>
      </c>
      <c r="B662" s="269" t="n">
        <v>56066</v>
      </c>
    </row>
    <row r="663" customFormat="false" ht="15.75" hidden="false" customHeight="false" outlineLevel="0" collapsed="false">
      <c r="A663" s="334" t="n">
        <v>8</v>
      </c>
      <c r="B663" s="269" t="n">
        <v>56097</v>
      </c>
    </row>
    <row r="664" customFormat="false" ht="15.75" hidden="false" customHeight="false" outlineLevel="0" collapsed="false">
      <c r="A664" s="334" t="n">
        <v>9</v>
      </c>
      <c r="B664" s="269" t="n">
        <v>56128</v>
      </c>
    </row>
    <row r="665" customFormat="false" ht="15.75" hidden="false" customHeight="false" outlineLevel="0" collapsed="false">
      <c r="A665" s="334" t="n">
        <v>10</v>
      </c>
      <c r="B665" s="269" t="n">
        <v>56158</v>
      </c>
    </row>
    <row r="666" customFormat="false" ht="15.75" hidden="false" customHeight="false" outlineLevel="0" collapsed="false">
      <c r="A666" s="334" t="n">
        <v>11</v>
      </c>
      <c r="B666" s="269" t="n">
        <v>56189</v>
      </c>
    </row>
    <row r="667" customFormat="false" ht="15.75" hidden="false" customHeight="false" outlineLevel="0" collapsed="false">
      <c r="A667" s="334" t="n">
        <v>12</v>
      </c>
      <c r="B667" s="269" t="n">
        <v>56219</v>
      </c>
    </row>
    <row r="668" customFormat="false" ht="15.75" hidden="false" customHeight="false" outlineLevel="0" collapsed="false">
      <c r="A668" s="334" t="n">
        <v>1</v>
      </c>
      <c r="B668" s="269" t="n">
        <v>56250</v>
      </c>
    </row>
    <row r="669" customFormat="false" ht="15.75" hidden="false" customHeight="false" outlineLevel="0" collapsed="false">
      <c r="A669" s="334" t="n">
        <v>2</v>
      </c>
      <c r="B669" s="269" t="n">
        <v>56281</v>
      </c>
    </row>
    <row r="670" customFormat="false" ht="15.75" hidden="false" customHeight="false" outlineLevel="0" collapsed="false">
      <c r="A670" s="334" t="n">
        <v>3</v>
      </c>
      <c r="B670" s="269" t="n">
        <v>56309</v>
      </c>
    </row>
    <row r="671" customFormat="false" ht="15.75" hidden="false" customHeight="false" outlineLevel="0" collapsed="false">
      <c r="A671" s="334" t="n">
        <v>4</v>
      </c>
      <c r="B671" s="269" t="n">
        <v>56340</v>
      </c>
    </row>
    <row r="672" customFormat="false" ht="15.75" hidden="false" customHeight="false" outlineLevel="0" collapsed="false">
      <c r="A672" s="334" t="n">
        <v>5</v>
      </c>
      <c r="B672" s="269" t="n">
        <v>56370</v>
      </c>
    </row>
    <row r="673" customFormat="false" ht="15.75" hidden="false" customHeight="false" outlineLevel="0" collapsed="false">
      <c r="A673" s="334" t="n">
        <v>6</v>
      </c>
      <c r="B673" s="269" t="n">
        <v>56401</v>
      </c>
    </row>
    <row r="674" customFormat="false" ht="15.75" hidden="false" customHeight="false" outlineLevel="0" collapsed="false">
      <c r="A674" s="334" t="n">
        <v>7</v>
      </c>
      <c r="B674" s="269" t="n">
        <v>56431</v>
      </c>
    </row>
    <row r="675" customFormat="false" ht="15.75" hidden="false" customHeight="false" outlineLevel="0" collapsed="false">
      <c r="A675" s="334" t="n">
        <v>8</v>
      </c>
      <c r="B675" s="269" t="n">
        <v>56462</v>
      </c>
    </row>
    <row r="676" customFormat="false" ht="15.75" hidden="false" customHeight="false" outlineLevel="0" collapsed="false">
      <c r="A676" s="334" t="n">
        <v>9</v>
      </c>
      <c r="B676" s="269" t="n">
        <v>56493</v>
      </c>
    </row>
    <row r="677" customFormat="false" ht="15.75" hidden="false" customHeight="false" outlineLevel="0" collapsed="false">
      <c r="A677" s="334" t="n">
        <v>10</v>
      </c>
      <c r="B677" s="269" t="n">
        <v>56523</v>
      </c>
    </row>
    <row r="678" customFormat="false" ht="15.75" hidden="false" customHeight="false" outlineLevel="0" collapsed="false">
      <c r="A678" s="334" t="n">
        <v>11</v>
      </c>
      <c r="B678" s="269" t="n">
        <v>56554</v>
      </c>
    </row>
    <row r="679" customFormat="false" ht="15.75" hidden="false" customHeight="false" outlineLevel="0" collapsed="false">
      <c r="A679" s="334" t="n">
        <v>12</v>
      </c>
      <c r="B679" s="269" t="n">
        <v>56584</v>
      </c>
    </row>
    <row r="680" customFormat="false" ht="15.75" hidden="false" customHeight="false" outlineLevel="0" collapsed="false">
      <c r="A680" s="334" t="n">
        <v>1</v>
      </c>
      <c r="B680" s="269" t="n">
        <v>56615</v>
      </c>
    </row>
    <row r="681" customFormat="false" ht="15.75" hidden="false" customHeight="false" outlineLevel="0" collapsed="false">
      <c r="A681" s="334" t="n">
        <v>2</v>
      </c>
      <c r="B681" s="269" t="n">
        <v>56646</v>
      </c>
    </row>
    <row r="682" customFormat="false" ht="15.75" hidden="false" customHeight="false" outlineLevel="0" collapsed="false">
      <c r="A682" s="334" t="n">
        <v>3</v>
      </c>
      <c r="B682" s="269" t="n">
        <v>56674</v>
      </c>
    </row>
    <row r="683" customFormat="false" ht="15.75" hidden="false" customHeight="false" outlineLevel="0" collapsed="false">
      <c r="A683" s="334" t="n">
        <v>4</v>
      </c>
      <c r="B683" s="269" t="n">
        <v>56705</v>
      </c>
    </row>
    <row r="684" customFormat="false" ht="15.75" hidden="false" customHeight="false" outlineLevel="0" collapsed="false">
      <c r="A684" s="334" t="n">
        <v>5</v>
      </c>
      <c r="B684" s="269" t="n">
        <v>56735</v>
      </c>
    </row>
    <row r="685" customFormat="false" ht="15.75" hidden="false" customHeight="false" outlineLevel="0" collapsed="false">
      <c r="A685" s="334" t="n">
        <v>6</v>
      </c>
      <c r="B685" s="269" t="n">
        <v>56766</v>
      </c>
    </row>
    <row r="686" customFormat="false" ht="15.75" hidden="false" customHeight="false" outlineLevel="0" collapsed="false">
      <c r="A686" s="334" t="n">
        <v>7</v>
      </c>
      <c r="B686" s="269" t="n">
        <v>56796</v>
      </c>
    </row>
    <row r="687" customFormat="false" ht="15.75" hidden="false" customHeight="false" outlineLevel="0" collapsed="false">
      <c r="A687" s="334" t="n">
        <v>8</v>
      </c>
      <c r="B687" s="269" t="n">
        <v>56827</v>
      </c>
    </row>
    <row r="688" customFormat="false" ht="15.75" hidden="false" customHeight="false" outlineLevel="0" collapsed="false">
      <c r="A688" s="334" t="n">
        <v>9</v>
      </c>
      <c r="B688" s="269" t="n">
        <v>56858</v>
      </c>
    </row>
    <row r="689" customFormat="false" ht="15.75" hidden="false" customHeight="false" outlineLevel="0" collapsed="false">
      <c r="A689" s="334" t="n">
        <v>10</v>
      </c>
      <c r="B689" s="269" t="n">
        <v>56888</v>
      </c>
    </row>
    <row r="690" customFormat="false" ht="15.75" hidden="false" customHeight="false" outlineLevel="0" collapsed="false">
      <c r="A690" s="334" t="n">
        <v>11</v>
      </c>
      <c r="B690" s="269" t="n">
        <v>56919</v>
      </c>
    </row>
    <row r="691" customFormat="false" ht="15.75" hidden="false" customHeight="false" outlineLevel="0" collapsed="false">
      <c r="A691" s="334" t="n">
        <v>12</v>
      </c>
      <c r="B691" s="269" t="n">
        <v>56949</v>
      </c>
    </row>
    <row r="692" customFormat="false" ht="15.75" hidden="false" customHeight="false" outlineLevel="0" collapsed="false">
      <c r="A692" s="334" t="n">
        <v>1</v>
      </c>
      <c r="B692" s="269" t="n">
        <v>56980</v>
      </c>
    </row>
    <row r="693" customFormat="false" ht="15.75" hidden="false" customHeight="false" outlineLevel="0" collapsed="false">
      <c r="A693" s="334" t="n">
        <v>2</v>
      </c>
      <c r="B693" s="269" t="n">
        <v>57011</v>
      </c>
    </row>
    <row r="694" customFormat="false" ht="15.75" hidden="false" customHeight="false" outlineLevel="0" collapsed="false">
      <c r="A694" s="334" t="n">
        <v>3</v>
      </c>
      <c r="B694" s="269" t="n">
        <v>57040</v>
      </c>
    </row>
    <row r="695" customFormat="false" ht="15.75" hidden="false" customHeight="false" outlineLevel="0" collapsed="false">
      <c r="A695" s="334" t="n">
        <v>4</v>
      </c>
      <c r="B695" s="269" t="n">
        <v>57071</v>
      </c>
    </row>
    <row r="696" customFormat="false" ht="15.75" hidden="false" customHeight="false" outlineLevel="0" collapsed="false">
      <c r="A696" s="334" t="n">
        <v>5</v>
      </c>
      <c r="B696" s="269" t="n">
        <v>57101</v>
      </c>
    </row>
    <row r="697" customFormat="false" ht="15.75" hidden="false" customHeight="false" outlineLevel="0" collapsed="false">
      <c r="A697" s="334" t="n">
        <v>6</v>
      </c>
      <c r="B697" s="269" t="n">
        <v>57132</v>
      </c>
    </row>
    <row r="698" customFormat="false" ht="15.75" hidden="false" customHeight="false" outlineLevel="0" collapsed="false">
      <c r="A698" s="334" t="n">
        <v>7</v>
      </c>
      <c r="B698" s="269" t="n">
        <v>57162</v>
      </c>
    </row>
    <row r="699" customFormat="false" ht="15.75" hidden="false" customHeight="false" outlineLevel="0" collapsed="false">
      <c r="A699" s="334" t="n">
        <v>8</v>
      </c>
      <c r="B699" s="269" t="n">
        <v>57193</v>
      </c>
    </row>
    <row r="700" customFormat="false" ht="15.75" hidden="false" customHeight="false" outlineLevel="0" collapsed="false">
      <c r="A700" s="334" t="n">
        <v>9</v>
      </c>
      <c r="B700" s="269" t="n">
        <v>57224</v>
      </c>
    </row>
    <row r="701" customFormat="false" ht="15.75" hidden="false" customHeight="false" outlineLevel="0" collapsed="false">
      <c r="A701" s="334" t="n">
        <v>10</v>
      </c>
      <c r="B701" s="269" t="n">
        <v>57254</v>
      </c>
    </row>
    <row r="702" customFormat="false" ht="15.75" hidden="false" customHeight="false" outlineLevel="0" collapsed="false">
      <c r="A702" s="334" t="n">
        <v>11</v>
      </c>
      <c r="B702" s="269" t="n">
        <v>57285</v>
      </c>
    </row>
    <row r="703" customFormat="false" ht="15.75" hidden="false" customHeight="false" outlineLevel="0" collapsed="false">
      <c r="A703" s="334" t="n">
        <v>12</v>
      </c>
      <c r="B703" s="269" t="n">
        <v>57315</v>
      </c>
    </row>
    <row r="704" customFormat="false" ht="15.75" hidden="false" customHeight="false" outlineLevel="0" collapsed="false">
      <c r="A704" s="334" t="n">
        <v>1</v>
      </c>
      <c r="B704" s="269" t="n">
        <v>57346</v>
      </c>
    </row>
    <row r="705" customFormat="false" ht="15.75" hidden="false" customHeight="false" outlineLevel="0" collapsed="false">
      <c r="A705" s="334" t="n">
        <v>2</v>
      </c>
      <c r="B705" s="269" t="n">
        <v>57377</v>
      </c>
    </row>
    <row r="706" customFormat="false" ht="15.75" hidden="false" customHeight="false" outlineLevel="0" collapsed="false">
      <c r="A706" s="334" t="n">
        <v>3</v>
      </c>
      <c r="B706" s="269" t="n">
        <v>57405</v>
      </c>
    </row>
    <row r="707" customFormat="false" ht="15.75" hidden="false" customHeight="false" outlineLevel="0" collapsed="false">
      <c r="A707" s="334" t="n">
        <v>4</v>
      </c>
      <c r="B707" s="269" t="n">
        <v>57436</v>
      </c>
    </row>
    <row r="708" customFormat="false" ht="15.75" hidden="false" customHeight="false" outlineLevel="0" collapsed="false">
      <c r="A708" s="334" t="n">
        <v>5</v>
      </c>
      <c r="B708" s="269" t="n">
        <v>57466</v>
      </c>
    </row>
    <row r="709" customFormat="false" ht="15.75" hidden="false" customHeight="false" outlineLevel="0" collapsed="false">
      <c r="A709" s="334" t="n">
        <v>6</v>
      </c>
      <c r="B709" s="269" t="n">
        <v>57497</v>
      </c>
    </row>
    <row r="710" customFormat="false" ht="15.75" hidden="false" customHeight="false" outlineLevel="0" collapsed="false">
      <c r="A710" s="334" t="n">
        <v>7</v>
      </c>
      <c r="B710" s="269" t="n">
        <v>57527</v>
      </c>
    </row>
    <row r="711" customFormat="false" ht="15.75" hidden="false" customHeight="false" outlineLevel="0" collapsed="false">
      <c r="A711" s="334" t="n">
        <v>8</v>
      </c>
      <c r="B711" s="269" t="n">
        <v>57558</v>
      </c>
    </row>
    <row r="712" customFormat="false" ht="15.75" hidden="false" customHeight="false" outlineLevel="0" collapsed="false">
      <c r="A712" s="334" t="n">
        <v>9</v>
      </c>
      <c r="B712" s="269" t="n">
        <v>57589</v>
      </c>
    </row>
    <row r="713" customFormat="false" ht="15.75" hidden="false" customHeight="false" outlineLevel="0" collapsed="false">
      <c r="A713" s="334" t="n">
        <v>10</v>
      </c>
      <c r="B713" s="269" t="n">
        <v>57619</v>
      </c>
    </row>
    <row r="714" customFormat="false" ht="15.75" hidden="false" customHeight="false" outlineLevel="0" collapsed="false">
      <c r="A714" s="334" t="n">
        <v>11</v>
      </c>
      <c r="B714" s="269" t="n">
        <v>57650</v>
      </c>
    </row>
    <row r="715" customFormat="false" ht="15.75" hidden="false" customHeight="false" outlineLevel="0" collapsed="false">
      <c r="A715" s="334" t="n">
        <v>12</v>
      </c>
      <c r="B715" s="269" t="n">
        <v>57680</v>
      </c>
    </row>
    <row r="716" customFormat="false" ht="15.75" hidden="false" customHeight="false" outlineLevel="0" collapsed="false">
      <c r="A716" s="334" t="n">
        <v>1</v>
      </c>
      <c r="B716" s="269" t="n">
        <v>57711</v>
      </c>
    </row>
    <row r="717" customFormat="false" ht="15.75" hidden="false" customHeight="false" outlineLevel="0" collapsed="false">
      <c r="A717" s="334" t="n">
        <v>2</v>
      </c>
      <c r="B717" s="269" t="n">
        <v>57742</v>
      </c>
    </row>
    <row r="718" customFormat="false" ht="15.75" hidden="false" customHeight="false" outlineLevel="0" collapsed="false">
      <c r="A718" s="334" t="n">
        <v>3</v>
      </c>
      <c r="B718" s="269" t="n">
        <v>57770</v>
      </c>
    </row>
    <row r="719" customFormat="false" ht="15.75" hidden="false" customHeight="false" outlineLevel="0" collapsed="false">
      <c r="A719" s="334" t="n">
        <v>4</v>
      </c>
      <c r="B719" s="269" t="n">
        <v>57801</v>
      </c>
    </row>
    <row r="720" customFormat="false" ht="15.75" hidden="false" customHeight="false" outlineLevel="0" collapsed="false">
      <c r="A720" s="334" t="n">
        <v>5</v>
      </c>
      <c r="B720" s="269" t="n">
        <v>57831</v>
      </c>
    </row>
    <row r="721" customFormat="false" ht="15.75" hidden="false" customHeight="false" outlineLevel="0" collapsed="false">
      <c r="A721" s="334" t="n">
        <v>6</v>
      </c>
      <c r="B721" s="269" t="n">
        <v>57862</v>
      </c>
    </row>
    <row r="722" customFormat="false" ht="15.75" hidden="false" customHeight="false" outlineLevel="0" collapsed="false">
      <c r="A722" s="334" t="n">
        <v>7</v>
      </c>
      <c r="B722" s="269" t="n">
        <v>57892</v>
      </c>
    </row>
    <row r="723" customFormat="false" ht="15.75" hidden="false" customHeight="false" outlineLevel="0" collapsed="false">
      <c r="A723" s="334" t="n">
        <v>8</v>
      </c>
      <c r="B723" s="269" t="n">
        <v>57923</v>
      </c>
    </row>
    <row r="724" customFormat="false" ht="15.75" hidden="false" customHeight="false" outlineLevel="0" collapsed="false">
      <c r="A724" s="334" t="n">
        <v>9</v>
      </c>
      <c r="B724" s="269" t="n">
        <v>57954</v>
      </c>
    </row>
    <row r="725" customFormat="false" ht="15.75" hidden="false" customHeight="false" outlineLevel="0" collapsed="false">
      <c r="A725" s="334" t="n">
        <v>10</v>
      </c>
      <c r="B725" s="269" t="n">
        <v>57984</v>
      </c>
    </row>
    <row r="726" customFormat="false" ht="15.75" hidden="false" customHeight="false" outlineLevel="0" collapsed="false">
      <c r="A726" s="334" t="n">
        <v>11</v>
      </c>
      <c r="B726" s="269" t="n">
        <v>58015</v>
      </c>
    </row>
    <row r="727" customFormat="false" ht="15.75" hidden="false" customHeight="false" outlineLevel="0" collapsed="false">
      <c r="A727" s="334" t="n">
        <v>12</v>
      </c>
      <c r="B727" s="269" t="n">
        <v>58045</v>
      </c>
    </row>
    <row r="728" customFormat="false" ht="15.75" hidden="false" customHeight="false" outlineLevel="0" collapsed="false">
      <c r="A728" s="334" t="n">
        <v>1</v>
      </c>
      <c r="B728" s="269" t="n">
        <v>58076</v>
      </c>
    </row>
    <row r="729" customFormat="false" ht="15.75" hidden="false" customHeight="false" outlineLevel="0" collapsed="false">
      <c r="A729" s="334" t="n">
        <v>2</v>
      </c>
      <c r="B729" s="269" t="n">
        <v>58107</v>
      </c>
    </row>
    <row r="730" customFormat="false" ht="15.75" hidden="false" customHeight="false" outlineLevel="0" collapsed="false">
      <c r="A730" s="334" t="n">
        <v>3</v>
      </c>
      <c r="B730" s="269" t="n">
        <v>58135</v>
      </c>
    </row>
    <row r="731" customFormat="false" ht="15.75" hidden="false" customHeight="false" outlineLevel="0" collapsed="false">
      <c r="A731" s="334" t="n">
        <v>4</v>
      </c>
      <c r="B731" s="269" t="n">
        <v>58166</v>
      </c>
    </row>
    <row r="732" customFormat="false" ht="15.75" hidden="false" customHeight="false" outlineLevel="0" collapsed="false">
      <c r="A732" s="334" t="n">
        <v>5</v>
      </c>
      <c r="B732" s="269" t="n">
        <v>58196</v>
      </c>
    </row>
    <row r="733" customFormat="false" ht="15.75" hidden="false" customHeight="false" outlineLevel="0" collapsed="false">
      <c r="A733" s="334" t="n">
        <v>6</v>
      </c>
      <c r="B733" s="269" t="n">
        <v>58227</v>
      </c>
    </row>
    <row r="734" customFormat="false" ht="15.75" hidden="false" customHeight="false" outlineLevel="0" collapsed="false">
      <c r="A734" s="334" t="n">
        <v>7</v>
      </c>
      <c r="B734" s="269" t="n">
        <v>58257</v>
      </c>
    </row>
    <row r="735" customFormat="false" ht="15.75" hidden="false" customHeight="false" outlineLevel="0" collapsed="false">
      <c r="A735" s="334" t="n">
        <v>8</v>
      </c>
      <c r="B735" s="269" t="n">
        <v>58288</v>
      </c>
    </row>
    <row r="736" customFormat="false" ht="15.75" hidden="false" customHeight="false" outlineLevel="0" collapsed="false">
      <c r="A736" s="334" t="n">
        <v>9</v>
      </c>
      <c r="B736" s="269" t="n">
        <v>58319</v>
      </c>
    </row>
    <row r="737" customFormat="false" ht="15.75" hidden="false" customHeight="false" outlineLevel="0" collapsed="false">
      <c r="A737" s="334" t="n">
        <v>10</v>
      </c>
      <c r="B737" s="269" t="n">
        <v>58349</v>
      </c>
    </row>
    <row r="738" customFormat="false" ht="15.75" hidden="false" customHeight="false" outlineLevel="0" collapsed="false">
      <c r="A738" s="334" t="n">
        <v>11</v>
      </c>
      <c r="B738" s="269" t="n">
        <v>58380</v>
      </c>
    </row>
    <row r="739" customFormat="false" ht="15.75" hidden="false" customHeight="false" outlineLevel="0" collapsed="false">
      <c r="A739" s="334" t="n">
        <v>12</v>
      </c>
      <c r="B739" s="269" t="n">
        <v>58410</v>
      </c>
    </row>
    <row r="740" customFormat="false" ht="15.75" hidden="false" customHeight="false" outlineLevel="0" collapsed="false">
      <c r="A740" s="334" t="n">
        <v>1</v>
      </c>
      <c r="B740" s="269" t="n">
        <v>58441</v>
      </c>
    </row>
    <row r="741" customFormat="false" ht="15.75" hidden="false" customHeight="false" outlineLevel="0" collapsed="false">
      <c r="A741" s="334" t="n">
        <v>2</v>
      </c>
      <c r="B741" s="269" t="n">
        <v>58472</v>
      </c>
    </row>
    <row r="742" customFormat="false" ht="15.75" hidden="false" customHeight="false" outlineLevel="0" collapsed="false">
      <c r="A742" s="334" t="n">
        <v>3</v>
      </c>
      <c r="B742" s="269" t="n">
        <v>58501</v>
      </c>
    </row>
    <row r="743" customFormat="false" ht="15.75" hidden="false" customHeight="false" outlineLevel="0" collapsed="false">
      <c r="A743" s="334" t="n">
        <v>4</v>
      </c>
      <c r="B743" s="269" t="n">
        <v>58532</v>
      </c>
    </row>
    <row r="744" customFormat="false" ht="15.75" hidden="false" customHeight="false" outlineLevel="0" collapsed="false">
      <c r="A744" s="334" t="n">
        <v>5</v>
      </c>
      <c r="B744" s="269" t="n">
        <v>58562</v>
      </c>
    </row>
    <row r="745" customFormat="false" ht="15.75" hidden="false" customHeight="false" outlineLevel="0" collapsed="false">
      <c r="A745" s="334" t="n">
        <v>6</v>
      </c>
      <c r="B745" s="269" t="n">
        <v>58593</v>
      </c>
    </row>
    <row r="746" customFormat="false" ht="15.75" hidden="false" customHeight="false" outlineLevel="0" collapsed="false">
      <c r="A746" s="334" t="n">
        <v>7</v>
      </c>
      <c r="B746" s="269" t="n">
        <v>58623</v>
      </c>
    </row>
    <row r="747" customFormat="false" ht="15.75" hidden="false" customHeight="false" outlineLevel="0" collapsed="false">
      <c r="A747" s="334" t="n">
        <v>8</v>
      </c>
      <c r="B747" s="269" t="n">
        <v>58654</v>
      </c>
    </row>
    <row r="748" customFormat="false" ht="15.75" hidden="false" customHeight="false" outlineLevel="0" collapsed="false">
      <c r="A748" s="334" t="n">
        <v>9</v>
      </c>
      <c r="B748" s="269" t="n">
        <v>58685</v>
      </c>
    </row>
    <row r="749" customFormat="false" ht="15.75" hidden="false" customHeight="false" outlineLevel="0" collapsed="false">
      <c r="A749" s="334" t="n">
        <v>10</v>
      </c>
      <c r="B749" s="269" t="n">
        <v>58715</v>
      </c>
    </row>
    <row r="750" customFormat="false" ht="15.75" hidden="false" customHeight="false" outlineLevel="0" collapsed="false">
      <c r="A750" s="334" t="n">
        <v>11</v>
      </c>
      <c r="B750" s="269" t="n">
        <v>58746</v>
      </c>
    </row>
    <row r="751" customFormat="false" ht="15.75" hidden="false" customHeight="false" outlineLevel="0" collapsed="false">
      <c r="A751" s="334" t="n">
        <v>12</v>
      </c>
      <c r="B751" s="269" t="n">
        <v>58776</v>
      </c>
    </row>
    <row r="752" customFormat="false" ht="15.75" hidden="false" customHeight="false" outlineLevel="0" collapsed="false">
      <c r="A752" s="334" t="n">
        <v>1</v>
      </c>
      <c r="B752" s="269" t="n">
        <v>58807</v>
      </c>
    </row>
    <row r="753" customFormat="false" ht="15.75" hidden="false" customHeight="false" outlineLevel="0" collapsed="false">
      <c r="A753" s="334" t="n">
        <v>2</v>
      </c>
      <c r="B753" s="269" t="n">
        <v>58838</v>
      </c>
    </row>
    <row r="754" customFormat="false" ht="15.75" hidden="false" customHeight="false" outlineLevel="0" collapsed="false">
      <c r="A754" s="334" t="n">
        <v>3</v>
      </c>
      <c r="B754" s="269" t="n">
        <v>58866</v>
      </c>
    </row>
    <row r="755" customFormat="false" ht="15.75" hidden="false" customHeight="false" outlineLevel="0" collapsed="false">
      <c r="A755" s="334" t="n">
        <v>4</v>
      </c>
      <c r="B755" s="269" t="n">
        <v>58897</v>
      </c>
    </row>
    <row r="756" customFormat="false" ht="15.75" hidden="false" customHeight="false" outlineLevel="0" collapsed="false">
      <c r="A756" s="334" t="n">
        <v>5</v>
      </c>
      <c r="B756" s="269" t="n">
        <v>58927</v>
      </c>
    </row>
    <row r="757" customFormat="false" ht="15.75" hidden="false" customHeight="false" outlineLevel="0" collapsed="false">
      <c r="A757" s="334" t="n">
        <v>6</v>
      </c>
      <c r="B757" s="269" t="n">
        <v>58958</v>
      </c>
    </row>
    <row r="758" customFormat="false" ht="15.75" hidden="false" customHeight="false" outlineLevel="0" collapsed="false">
      <c r="A758" s="334" t="n">
        <v>7</v>
      </c>
      <c r="B758" s="269" t="n">
        <v>58988</v>
      </c>
    </row>
    <row r="759" customFormat="false" ht="15.75" hidden="false" customHeight="false" outlineLevel="0" collapsed="false">
      <c r="A759" s="334" t="n">
        <v>8</v>
      </c>
      <c r="B759" s="269" t="n">
        <v>59019</v>
      </c>
    </row>
    <row r="760" customFormat="false" ht="15.75" hidden="false" customHeight="false" outlineLevel="0" collapsed="false">
      <c r="A760" s="334" t="n">
        <v>9</v>
      </c>
      <c r="B760" s="269" t="n">
        <v>59050</v>
      </c>
    </row>
    <row r="761" customFormat="false" ht="15.75" hidden="false" customHeight="false" outlineLevel="0" collapsed="false">
      <c r="A761" s="334" t="n">
        <v>10</v>
      </c>
      <c r="B761" s="269" t="n">
        <v>59080</v>
      </c>
    </row>
    <row r="762" customFormat="false" ht="15.75" hidden="false" customHeight="false" outlineLevel="0" collapsed="false">
      <c r="A762" s="334" t="n">
        <v>11</v>
      </c>
      <c r="B762" s="269" t="n">
        <v>59111</v>
      </c>
    </row>
    <row r="763" customFormat="false" ht="15.75" hidden="false" customHeight="false" outlineLevel="0" collapsed="false">
      <c r="A763" s="334" t="n">
        <v>12</v>
      </c>
      <c r="B763" s="269" t="n">
        <v>59141</v>
      </c>
    </row>
    <row r="764" customFormat="false" ht="15.75" hidden="false" customHeight="false" outlineLevel="0" collapsed="false">
      <c r="A764" s="334" t="n">
        <v>1</v>
      </c>
      <c r="B764" s="269" t="n">
        <v>59172</v>
      </c>
    </row>
    <row r="765" customFormat="false" ht="15.75" hidden="false" customHeight="false" outlineLevel="0" collapsed="false">
      <c r="A765" s="334" t="n">
        <v>2</v>
      </c>
      <c r="B765" s="269" t="n">
        <v>59203</v>
      </c>
    </row>
    <row r="766" customFormat="false" ht="15.75" hidden="false" customHeight="false" outlineLevel="0" collapsed="false">
      <c r="A766" s="334" t="n">
        <v>3</v>
      </c>
      <c r="B766" s="269" t="n">
        <v>59231</v>
      </c>
    </row>
    <row r="767" customFormat="false" ht="15.75" hidden="false" customHeight="false" outlineLevel="0" collapsed="false">
      <c r="A767" s="334" t="n">
        <v>4</v>
      </c>
      <c r="B767" s="269" t="n">
        <v>59262</v>
      </c>
    </row>
    <row r="768" customFormat="false" ht="15.75" hidden="false" customHeight="false" outlineLevel="0" collapsed="false">
      <c r="A768" s="334" t="n">
        <v>5</v>
      </c>
      <c r="B768" s="269" t="n">
        <v>59292</v>
      </c>
    </row>
    <row r="769" customFormat="false" ht="15.75" hidden="false" customHeight="false" outlineLevel="0" collapsed="false">
      <c r="A769" s="334" t="n">
        <v>6</v>
      </c>
      <c r="B769" s="269" t="n">
        <v>59323</v>
      </c>
    </row>
    <row r="770" customFormat="false" ht="15.75" hidden="false" customHeight="false" outlineLevel="0" collapsed="false">
      <c r="A770" s="334" t="n">
        <v>7</v>
      </c>
      <c r="B770" s="269" t="n">
        <v>59353</v>
      </c>
    </row>
    <row r="771" customFormat="false" ht="15.75" hidden="false" customHeight="false" outlineLevel="0" collapsed="false">
      <c r="A771" s="334" t="n">
        <v>8</v>
      </c>
      <c r="B771" s="269" t="n">
        <v>59384</v>
      </c>
    </row>
    <row r="772" customFormat="false" ht="15.75" hidden="false" customHeight="false" outlineLevel="0" collapsed="false">
      <c r="A772" s="334" t="n">
        <v>9</v>
      </c>
      <c r="B772" s="269" t="n">
        <v>59415</v>
      </c>
    </row>
    <row r="773" customFormat="false" ht="15.75" hidden="false" customHeight="false" outlineLevel="0" collapsed="false">
      <c r="A773" s="334" t="n">
        <v>10</v>
      </c>
      <c r="B773" s="269" t="n">
        <v>59445</v>
      </c>
    </row>
    <row r="774" customFormat="false" ht="15.75" hidden="false" customHeight="false" outlineLevel="0" collapsed="false">
      <c r="A774" s="334" t="n">
        <v>11</v>
      </c>
      <c r="B774" s="269" t="n">
        <v>59476</v>
      </c>
    </row>
    <row r="775" customFormat="false" ht="15.75" hidden="false" customHeight="false" outlineLevel="0" collapsed="false">
      <c r="A775" s="334" t="n">
        <v>12</v>
      </c>
      <c r="B775" s="269" t="n">
        <v>59506</v>
      </c>
    </row>
    <row r="776" customFormat="false" ht="15.75" hidden="false" customHeight="false" outlineLevel="0" collapsed="false">
      <c r="A776" s="334" t="n">
        <v>1</v>
      </c>
      <c r="B776" s="269" t="n">
        <v>59537</v>
      </c>
    </row>
    <row r="777" customFormat="false" ht="15.75" hidden="false" customHeight="false" outlineLevel="0" collapsed="false">
      <c r="A777" s="334" t="n">
        <v>2</v>
      </c>
      <c r="B777" s="269" t="n">
        <v>59568</v>
      </c>
    </row>
    <row r="778" customFormat="false" ht="15.75" hidden="false" customHeight="false" outlineLevel="0" collapsed="false">
      <c r="A778" s="334" t="n">
        <v>3</v>
      </c>
      <c r="B778" s="269" t="n">
        <v>59596</v>
      </c>
    </row>
    <row r="779" customFormat="false" ht="15.75" hidden="false" customHeight="false" outlineLevel="0" collapsed="false">
      <c r="A779" s="334" t="n">
        <v>4</v>
      </c>
      <c r="B779" s="269" t="n">
        <v>59627</v>
      </c>
    </row>
    <row r="780" customFormat="false" ht="15.75" hidden="false" customHeight="false" outlineLevel="0" collapsed="false">
      <c r="A780" s="334" t="n">
        <v>5</v>
      </c>
      <c r="B780" s="269" t="n">
        <v>59657</v>
      </c>
    </row>
    <row r="781" customFormat="false" ht="15.75" hidden="false" customHeight="false" outlineLevel="0" collapsed="false">
      <c r="A781" s="334" t="n">
        <v>6</v>
      </c>
      <c r="B781" s="269" t="n">
        <v>59688</v>
      </c>
    </row>
    <row r="782" customFormat="false" ht="15.75" hidden="false" customHeight="false" outlineLevel="0" collapsed="false">
      <c r="A782" s="334" t="n">
        <v>7</v>
      </c>
      <c r="B782" s="269" t="n">
        <v>59718</v>
      </c>
    </row>
    <row r="783" customFormat="false" ht="15.75" hidden="false" customHeight="false" outlineLevel="0" collapsed="false">
      <c r="A783" s="334" t="n">
        <v>8</v>
      </c>
      <c r="B783" s="269" t="n">
        <v>59749</v>
      </c>
    </row>
    <row r="784" customFormat="false" ht="15.75" hidden="false" customHeight="false" outlineLevel="0" collapsed="false">
      <c r="A784" s="334" t="n">
        <v>9</v>
      </c>
      <c r="B784" s="269" t="n">
        <v>59780</v>
      </c>
    </row>
    <row r="785" customFormat="false" ht="15.75" hidden="false" customHeight="false" outlineLevel="0" collapsed="false">
      <c r="A785" s="334" t="n">
        <v>10</v>
      </c>
      <c r="B785" s="269" t="n">
        <v>59810</v>
      </c>
    </row>
    <row r="786" customFormat="false" ht="15.75" hidden="false" customHeight="false" outlineLevel="0" collapsed="false">
      <c r="A786" s="334" t="n">
        <v>11</v>
      </c>
      <c r="B786" s="269" t="n">
        <v>59841</v>
      </c>
    </row>
    <row r="787" customFormat="false" ht="15.75" hidden="false" customHeight="false" outlineLevel="0" collapsed="false">
      <c r="A787" s="334" t="n">
        <v>12</v>
      </c>
      <c r="B787" s="269" t="n">
        <v>59871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5" activeCellId="0" sqref="F25"/>
    </sheetView>
  </sheetViews>
  <sheetFormatPr defaultColWidth="12.5625" defaultRowHeight="15.75" customHeight="true" zeroHeight="false" outlineLevelRow="0" outlineLevelCol="0"/>
  <cols>
    <col collapsed="false" customWidth="true" hidden="false" outlineLevel="0" max="1" min="1" style="333" width="1.85"/>
    <col collapsed="false" customWidth="true" hidden="false" outlineLevel="0" max="2" min="2" style="333" width="13.28"/>
    <col collapsed="false" customWidth="true" hidden="false" outlineLevel="0" max="3" min="3" style="352" width="9.7"/>
    <col collapsed="false" customWidth="true" hidden="false" outlineLevel="0" max="22" min="4" style="333" width="9.7"/>
    <col collapsed="false" customWidth="false" hidden="false" outlineLevel="0" max="257" min="23" style="333" width="12.56"/>
  </cols>
  <sheetData>
    <row r="1" customFormat="false" ht="8.25" hidden="false" customHeight="false" outlineLevel="0" collapsed="false">
      <c r="A1" s="334"/>
      <c r="B1" s="334"/>
      <c r="C1" s="353" t="n">
        <v>1</v>
      </c>
      <c r="D1" s="334" t="n">
        <f aca="false">C1+1</f>
        <v>2</v>
      </c>
      <c r="E1" s="334" t="n">
        <f aca="false">D1+1</f>
        <v>3</v>
      </c>
      <c r="F1" s="334" t="n">
        <f aca="false">E1+1</f>
        <v>4</v>
      </c>
      <c r="G1" s="334" t="n">
        <f aca="false">F1+1</f>
        <v>5</v>
      </c>
      <c r="H1" s="334" t="n">
        <f aca="false">G1+1</f>
        <v>6</v>
      </c>
      <c r="I1" s="334" t="n">
        <f aca="false">H1+1</f>
        <v>7</v>
      </c>
      <c r="J1" s="334" t="n">
        <f aca="false">I1+1</f>
        <v>8</v>
      </c>
      <c r="K1" s="334" t="n">
        <f aca="false">J1+1</f>
        <v>9</v>
      </c>
      <c r="L1" s="334" t="n">
        <f aca="false">K1+1</f>
        <v>10</v>
      </c>
      <c r="M1" s="334" t="n">
        <f aca="false">L1+1</f>
        <v>11</v>
      </c>
      <c r="N1" s="334" t="n">
        <f aca="false">M1+1</f>
        <v>12</v>
      </c>
      <c r="O1" s="334" t="n">
        <f aca="false">N1+1</f>
        <v>13</v>
      </c>
      <c r="P1" s="334" t="n">
        <f aca="false">O1+1</f>
        <v>14</v>
      </c>
      <c r="Q1" s="334" t="n">
        <f aca="false">P1+1</f>
        <v>15</v>
      </c>
      <c r="R1" s="334" t="n">
        <f aca="false">Q1+1</f>
        <v>16</v>
      </c>
      <c r="S1" s="334" t="n">
        <f aca="false">R1+1</f>
        <v>17</v>
      </c>
      <c r="T1" s="334" t="n">
        <f aca="false">S1+1</f>
        <v>18</v>
      </c>
      <c r="U1" s="334" t="n">
        <f aca="false">T1+1</f>
        <v>19</v>
      </c>
      <c r="V1" s="334" t="n">
        <f aca="false">U1+1</f>
        <v>20</v>
      </c>
      <c r="W1" s="334"/>
      <c r="X1" s="334"/>
      <c r="Y1" s="334"/>
      <c r="Z1" s="334"/>
      <c r="AA1" s="334"/>
      <c r="AB1" s="334"/>
      <c r="AC1" s="334"/>
      <c r="AD1" s="334"/>
      <c r="AE1" s="334"/>
      <c r="AF1" s="334"/>
      <c r="AG1" s="334"/>
      <c r="AH1" s="334"/>
      <c r="AI1" s="334"/>
      <c r="AJ1" s="334"/>
      <c r="AK1" s="334"/>
      <c r="AL1" s="334"/>
      <c r="AM1" s="334"/>
      <c r="AN1" s="334"/>
      <c r="AO1" s="334"/>
      <c r="AP1" s="334"/>
      <c r="AQ1" s="334"/>
      <c r="AR1" s="334"/>
      <c r="AS1" s="334"/>
      <c r="AT1" s="334"/>
      <c r="AU1" s="334"/>
      <c r="AV1" s="334"/>
      <c r="AW1" s="334"/>
      <c r="AX1" s="334"/>
      <c r="AY1" s="334"/>
      <c r="AZ1" s="334"/>
      <c r="BA1" s="334"/>
      <c r="BB1" s="334"/>
      <c r="BC1" s="334"/>
      <c r="BD1" s="334"/>
      <c r="BE1" s="334"/>
      <c r="BF1" s="334"/>
      <c r="BG1" s="334"/>
      <c r="BH1" s="334"/>
      <c r="BI1" s="334"/>
      <c r="BJ1" s="334"/>
      <c r="BK1" s="334"/>
      <c r="BL1" s="334"/>
      <c r="BM1" s="334"/>
      <c r="BN1" s="334"/>
      <c r="BO1" s="334"/>
      <c r="BP1" s="334"/>
      <c r="BQ1" s="334"/>
      <c r="BR1" s="334"/>
      <c r="BS1" s="334"/>
      <c r="BT1" s="334"/>
      <c r="BU1" s="334"/>
      <c r="BV1" s="334"/>
      <c r="BW1" s="334"/>
      <c r="BX1" s="334"/>
      <c r="BY1" s="334"/>
      <c r="BZ1" s="334"/>
      <c r="CA1" s="334"/>
      <c r="CB1" s="334"/>
      <c r="CC1" s="334"/>
      <c r="CD1" s="334"/>
      <c r="CE1" s="334"/>
      <c r="CF1" s="334"/>
      <c r="CG1" s="334"/>
      <c r="CH1" s="334"/>
      <c r="CI1" s="334"/>
      <c r="CJ1" s="334"/>
      <c r="CK1" s="334"/>
      <c r="CL1" s="334"/>
      <c r="CM1" s="334"/>
      <c r="CN1" s="334"/>
      <c r="CO1" s="334"/>
      <c r="CP1" s="334"/>
      <c r="CQ1" s="334"/>
      <c r="CR1" s="334"/>
      <c r="CS1" s="334"/>
      <c r="CT1" s="334"/>
      <c r="CU1" s="334"/>
      <c r="CV1" s="334"/>
      <c r="CW1" s="334"/>
      <c r="CX1" s="334"/>
      <c r="CY1" s="334"/>
      <c r="CZ1" s="334"/>
      <c r="DA1" s="334"/>
      <c r="DB1" s="334"/>
      <c r="DC1" s="334"/>
      <c r="DD1" s="334"/>
      <c r="DE1" s="334"/>
      <c r="DF1" s="334"/>
      <c r="DG1" s="334"/>
      <c r="DH1" s="334"/>
      <c r="DI1" s="334"/>
      <c r="DJ1" s="334"/>
      <c r="DK1" s="334"/>
      <c r="DL1" s="334"/>
      <c r="DM1" s="334"/>
      <c r="DN1" s="334"/>
      <c r="DO1" s="334"/>
      <c r="DP1" s="334"/>
      <c r="DQ1" s="334"/>
      <c r="DR1" s="334"/>
      <c r="DS1" s="334"/>
      <c r="DT1" s="334"/>
      <c r="DU1" s="334"/>
      <c r="DV1" s="334"/>
      <c r="DW1" s="334"/>
      <c r="DX1" s="334"/>
      <c r="DY1" s="334"/>
      <c r="DZ1" s="334"/>
      <c r="EA1" s="334"/>
      <c r="EB1" s="334"/>
      <c r="EC1" s="334"/>
      <c r="ED1" s="334"/>
      <c r="EE1" s="334"/>
      <c r="EF1" s="334"/>
      <c r="EG1" s="334"/>
      <c r="EH1" s="334"/>
      <c r="EI1" s="334"/>
      <c r="EJ1" s="334"/>
      <c r="EK1" s="334"/>
      <c r="EL1" s="334"/>
      <c r="EM1" s="334"/>
      <c r="EN1" s="334"/>
      <c r="EO1" s="334"/>
      <c r="EP1" s="334"/>
      <c r="EQ1" s="334"/>
      <c r="ER1" s="334"/>
      <c r="ES1" s="334"/>
      <c r="ET1" s="334"/>
      <c r="EU1" s="334"/>
      <c r="EV1" s="334"/>
      <c r="EW1" s="334"/>
      <c r="EX1" s="334"/>
      <c r="EY1" s="334"/>
      <c r="EZ1" s="334"/>
      <c r="FA1" s="334"/>
      <c r="FB1" s="334"/>
      <c r="FC1" s="334"/>
      <c r="FD1" s="334"/>
      <c r="FE1" s="334"/>
      <c r="FF1" s="334"/>
      <c r="FG1" s="334"/>
      <c r="FH1" s="334"/>
      <c r="FI1" s="334"/>
      <c r="FJ1" s="334"/>
      <c r="FK1" s="334"/>
      <c r="FL1" s="334"/>
      <c r="FM1" s="334"/>
      <c r="FN1" s="334"/>
      <c r="FO1" s="334"/>
      <c r="FP1" s="334"/>
      <c r="FQ1" s="334"/>
      <c r="FR1" s="334"/>
      <c r="FS1" s="334"/>
      <c r="FT1" s="334"/>
      <c r="FU1" s="334"/>
      <c r="FV1" s="334"/>
      <c r="FW1" s="334"/>
      <c r="FX1" s="334"/>
      <c r="FY1" s="334"/>
      <c r="FZ1" s="334"/>
      <c r="GA1" s="334"/>
      <c r="GB1" s="334"/>
      <c r="GC1" s="334"/>
      <c r="GD1" s="334"/>
      <c r="GE1" s="334"/>
      <c r="GF1" s="334"/>
      <c r="GG1" s="334"/>
      <c r="GH1" s="334"/>
      <c r="GI1" s="334"/>
      <c r="GJ1" s="334"/>
      <c r="GK1" s="334"/>
      <c r="GL1" s="334"/>
      <c r="GM1" s="334"/>
      <c r="GN1" s="334"/>
      <c r="GO1" s="334"/>
      <c r="GP1" s="334"/>
      <c r="GQ1" s="334"/>
      <c r="GR1" s="334"/>
      <c r="GS1" s="334"/>
      <c r="GT1" s="334"/>
      <c r="GU1" s="334"/>
      <c r="GV1" s="334"/>
      <c r="GW1" s="334"/>
      <c r="GX1" s="334"/>
      <c r="GY1" s="334"/>
      <c r="GZ1" s="334"/>
      <c r="HA1" s="334"/>
      <c r="HB1" s="334"/>
      <c r="HC1" s="334"/>
      <c r="HD1" s="334"/>
      <c r="HE1" s="334"/>
      <c r="HF1" s="334"/>
      <c r="HG1" s="334"/>
      <c r="HH1" s="334"/>
      <c r="HI1" s="334"/>
      <c r="HJ1" s="334"/>
      <c r="HK1" s="334"/>
      <c r="HL1" s="334"/>
      <c r="HM1" s="334"/>
      <c r="HN1" s="334"/>
      <c r="HO1" s="334"/>
      <c r="HP1" s="334"/>
      <c r="HQ1" s="334"/>
      <c r="HR1" s="334"/>
      <c r="HS1" s="334"/>
      <c r="HT1" s="334"/>
      <c r="HU1" s="334"/>
      <c r="HV1" s="334"/>
      <c r="HW1" s="334"/>
      <c r="HX1" s="334"/>
      <c r="HY1" s="334"/>
      <c r="HZ1" s="334"/>
      <c r="IA1" s="334"/>
      <c r="IB1" s="334"/>
      <c r="IC1" s="334"/>
      <c r="ID1" s="334"/>
      <c r="IE1" s="334"/>
      <c r="IF1" s="334"/>
      <c r="IG1" s="334"/>
      <c r="IH1" s="334"/>
      <c r="II1" s="334"/>
      <c r="IJ1" s="334"/>
      <c r="IK1" s="334"/>
      <c r="IL1" s="334"/>
      <c r="IM1" s="334"/>
      <c r="IN1" s="334"/>
      <c r="IO1" s="334"/>
      <c r="IP1" s="334"/>
      <c r="IQ1" s="334"/>
      <c r="IR1" s="334"/>
      <c r="IS1" s="334"/>
      <c r="IT1" s="334"/>
      <c r="IU1" s="334"/>
      <c r="IV1" s="334"/>
      <c r="IW1" s="334"/>
    </row>
    <row r="2" customFormat="false" ht="15.75" hidden="false" customHeight="false" outlineLevel="0" collapsed="false">
      <c r="B2" s="335" t="s">
        <v>162</v>
      </c>
      <c r="C2" s="336" t="n">
        <v>2000</v>
      </c>
      <c r="D2" s="336" t="n">
        <v>2001</v>
      </c>
      <c r="E2" s="336" t="n">
        <v>2002</v>
      </c>
      <c r="F2" s="336" t="n">
        <v>2003</v>
      </c>
      <c r="G2" s="336" t="n">
        <v>2004</v>
      </c>
      <c r="H2" s="336" t="n">
        <v>2005</v>
      </c>
      <c r="I2" s="336" t="n">
        <v>2006</v>
      </c>
      <c r="J2" s="336" t="n">
        <v>2007</v>
      </c>
      <c r="K2" s="336" t="n">
        <v>2008</v>
      </c>
      <c r="L2" s="336" t="n">
        <v>2009</v>
      </c>
      <c r="M2" s="336" t="n">
        <v>2010</v>
      </c>
      <c r="N2" s="336" t="n">
        <v>2011</v>
      </c>
      <c r="O2" s="336" t="n">
        <v>2012</v>
      </c>
      <c r="P2" s="336" t="n">
        <v>2013</v>
      </c>
      <c r="Q2" s="336" t="n">
        <v>2014</v>
      </c>
      <c r="R2" s="336" t="n">
        <v>2015</v>
      </c>
      <c r="S2" s="336" t="n">
        <v>2016</v>
      </c>
      <c r="T2" s="336" t="n">
        <v>2017</v>
      </c>
      <c r="U2" s="336" t="n">
        <v>2018</v>
      </c>
      <c r="V2" s="336" t="n">
        <v>2019</v>
      </c>
    </row>
    <row r="3" customFormat="false" ht="16.5" hidden="false" customHeight="false" outlineLevel="0" collapsed="false">
      <c r="B3" s="335" t="s">
        <v>163</v>
      </c>
      <c r="C3" s="354" t="n">
        <v>7</v>
      </c>
      <c r="D3" s="337" t="n">
        <v>12</v>
      </c>
      <c r="E3" s="337" t="n">
        <v>12</v>
      </c>
      <c r="F3" s="337" t="n">
        <v>12</v>
      </c>
      <c r="G3" s="337" t="n">
        <v>12</v>
      </c>
      <c r="H3" s="337" t="n">
        <v>12</v>
      </c>
      <c r="I3" s="337" t="n">
        <v>12</v>
      </c>
      <c r="J3" s="337" t="n">
        <v>12</v>
      </c>
      <c r="K3" s="337" t="n">
        <v>12</v>
      </c>
      <c r="L3" s="337" t="n">
        <v>12</v>
      </c>
      <c r="M3" s="337" t="n">
        <v>12</v>
      </c>
      <c r="N3" s="337" t="n">
        <v>12</v>
      </c>
      <c r="O3" s="337" t="n">
        <v>12</v>
      </c>
      <c r="P3" s="337" t="n">
        <v>12</v>
      </c>
      <c r="Q3" s="337" t="n">
        <v>12</v>
      </c>
      <c r="R3" s="337" t="n">
        <v>12</v>
      </c>
      <c r="S3" s="337" t="n">
        <v>12</v>
      </c>
      <c r="T3" s="337" t="n">
        <v>12</v>
      </c>
      <c r="U3" s="337" t="n">
        <v>12</v>
      </c>
      <c r="V3" s="337" t="n">
        <v>12</v>
      </c>
    </row>
    <row r="4" customFormat="false" ht="15.75" hidden="false" customHeight="false" outlineLevel="0" collapsed="false">
      <c r="B4" s="335"/>
      <c r="C4" s="35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</row>
    <row r="5" customFormat="false" ht="15.75" hidden="false" customHeight="false" outlineLevel="0" collapsed="false">
      <c r="A5" s="334" t="n">
        <v>1</v>
      </c>
      <c r="B5" s="333" t="s">
        <v>164</v>
      </c>
      <c r="D5" s="352" t="n">
        <v>50.27617212</v>
      </c>
      <c r="E5" s="352" t="n">
        <v>49.29206481</v>
      </c>
      <c r="F5" s="352" t="n">
        <v>48.87163427</v>
      </c>
      <c r="G5" s="352" t="n">
        <v>48.11429676</v>
      </c>
      <c r="H5" s="352" t="n">
        <v>48.06361708</v>
      </c>
      <c r="I5" s="352" t="n">
        <v>47.98518809</v>
      </c>
      <c r="J5" s="352" t="n">
        <v>47.92342798</v>
      </c>
      <c r="K5" s="352" t="n">
        <v>47.85133447</v>
      </c>
      <c r="L5" s="352" t="n">
        <v>47.80079544</v>
      </c>
      <c r="M5" s="352" t="n">
        <v>47.72765945</v>
      </c>
      <c r="N5" s="352" t="n">
        <v>47.62705285</v>
      </c>
      <c r="O5" s="352" t="n">
        <v>47.54301127</v>
      </c>
      <c r="P5" s="352" t="n">
        <v>47.51406309</v>
      </c>
      <c r="Q5" s="352" t="n">
        <v>47.47247005</v>
      </c>
      <c r="R5" s="352" t="n">
        <v>48.3116083</v>
      </c>
      <c r="S5" s="352" t="n">
        <v>48.27816185</v>
      </c>
      <c r="T5" s="352" t="n">
        <v>48.24132061</v>
      </c>
      <c r="U5" s="352" t="n">
        <v>48.23143288</v>
      </c>
      <c r="V5" s="352" t="n">
        <v>48.19317752</v>
      </c>
      <c r="W5" s="352" t="n">
        <v>48.11231812</v>
      </c>
    </row>
    <row r="6" customFormat="false" ht="15.75" hidden="false" customHeight="false" outlineLevel="0" collapsed="false">
      <c r="A6" s="334" t="n">
        <v>2</v>
      </c>
      <c r="B6" s="333" t="s">
        <v>165</v>
      </c>
      <c r="D6" s="352" t="n">
        <v>41.81734635</v>
      </c>
      <c r="E6" s="352" t="n">
        <v>41.74830928</v>
      </c>
      <c r="F6" s="352" t="n">
        <v>41.72442</v>
      </c>
      <c r="G6" s="352" t="n">
        <v>41.79097117</v>
      </c>
      <c r="H6" s="352" t="n">
        <v>41.74688732</v>
      </c>
      <c r="I6" s="352" t="n">
        <v>41.73923785</v>
      </c>
      <c r="J6" s="352" t="n">
        <v>41.7504818</v>
      </c>
      <c r="K6" s="352" t="n">
        <v>41.74533822</v>
      </c>
      <c r="L6" s="352" t="n">
        <v>41.75988855</v>
      </c>
      <c r="M6" s="352" t="n">
        <v>41.83490537</v>
      </c>
      <c r="N6" s="352" t="n">
        <v>41.87551191</v>
      </c>
      <c r="O6" s="352" t="n">
        <v>41.83522617</v>
      </c>
      <c r="P6" s="352" t="n">
        <v>41.85796283</v>
      </c>
      <c r="Q6" s="352" t="n">
        <v>41.81925444</v>
      </c>
      <c r="R6" s="352" t="n">
        <v>42.66271256</v>
      </c>
      <c r="S6" s="352" t="n">
        <v>42.68139426</v>
      </c>
      <c r="T6" s="352" t="n">
        <v>42.64327304</v>
      </c>
      <c r="U6" s="352" t="n">
        <v>42.63475858</v>
      </c>
      <c r="V6" s="352" t="n">
        <v>42.62686693</v>
      </c>
      <c r="W6" s="352" t="n">
        <v>42.61962917</v>
      </c>
    </row>
    <row r="7" customFormat="false" ht="15.75" hidden="false" customHeight="false" outlineLevel="0" collapsed="false">
      <c r="A7" s="334" t="n">
        <v>3</v>
      </c>
      <c r="B7" s="333" t="s">
        <v>166</v>
      </c>
      <c r="D7" s="352" t="n">
        <v>41.81734635</v>
      </c>
      <c r="E7" s="352" t="n">
        <v>41.74830928</v>
      </c>
      <c r="F7" s="352" t="n">
        <v>41.72442</v>
      </c>
      <c r="G7" s="352" t="n">
        <v>41.79097117</v>
      </c>
      <c r="H7" s="352" t="n">
        <v>41.74688732</v>
      </c>
      <c r="I7" s="352" t="n">
        <v>41.73923785</v>
      </c>
      <c r="J7" s="352" t="n">
        <v>41.7504818</v>
      </c>
      <c r="K7" s="352" t="n">
        <v>41.74533822</v>
      </c>
      <c r="L7" s="352" t="n">
        <v>41.75988855</v>
      </c>
      <c r="M7" s="352" t="n">
        <v>41.83490537</v>
      </c>
      <c r="N7" s="352" t="n">
        <v>41.87551191</v>
      </c>
      <c r="O7" s="352" t="n">
        <v>41.83522617</v>
      </c>
      <c r="P7" s="352" t="n">
        <v>41.85796283</v>
      </c>
      <c r="Q7" s="352" t="n">
        <v>41.81925444</v>
      </c>
      <c r="R7" s="352" t="n">
        <v>42.66271256</v>
      </c>
      <c r="S7" s="352" t="n">
        <v>42.68139426</v>
      </c>
      <c r="T7" s="352" t="n">
        <v>42.64327304</v>
      </c>
      <c r="U7" s="352" t="n">
        <v>42.63475858</v>
      </c>
      <c r="V7" s="352" t="n">
        <v>42.62686693</v>
      </c>
      <c r="W7" s="352" t="n">
        <v>42.61962917</v>
      </c>
    </row>
    <row r="8" customFormat="false" ht="15.75" hidden="false" customHeight="false" outlineLevel="0" collapsed="false">
      <c r="A8" s="334" t="n">
        <v>4</v>
      </c>
      <c r="B8" s="333" t="s">
        <v>167</v>
      </c>
      <c r="D8" s="352" t="n">
        <v>45.64480277</v>
      </c>
      <c r="E8" s="352" t="n">
        <v>45.90699922</v>
      </c>
      <c r="F8" s="352" t="n">
        <v>45.99268799</v>
      </c>
      <c r="G8" s="352" t="n">
        <v>46.15245785</v>
      </c>
      <c r="H8" s="352" t="n">
        <v>46.15871823</v>
      </c>
      <c r="I8" s="352" t="n">
        <v>46.17733114</v>
      </c>
      <c r="J8" s="352" t="n">
        <v>46.21525271</v>
      </c>
      <c r="K8" s="352" t="n">
        <v>46.1955177</v>
      </c>
      <c r="L8" s="352" t="n">
        <v>46.22596667</v>
      </c>
      <c r="M8" s="352" t="n">
        <v>46.24548628</v>
      </c>
      <c r="N8" s="352" t="n">
        <v>46.28657328</v>
      </c>
      <c r="O8" s="352" t="n">
        <v>46.31470998</v>
      </c>
      <c r="P8" s="352" t="n">
        <v>46.34745426</v>
      </c>
      <c r="Q8" s="352" t="n">
        <v>46.3648301</v>
      </c>
      <c r="R8" s="352" t="n">
        <v>47.22083987</v>
      </c>
      <c r="S8" s="352" t="n">
        <v>47.23554814</v>
      </c>
      <c r="T8" s="352" t="n">
        <v>47.27162574</v>
      </c>
      <c r="U8" s="352" t="n">
        <v>47.3161731</v>
      </c>
      <c r="V8" s="352" t="n">
        <v>47.34689014</v>
      </c>
      <c r="W8" s="352" t="n">
        <v>47.34474835</v>
      </c>
    </row>
    <row r="9" customFormat="false" ht="15.75" hidden="false" customHeight="false" outlineLevel="0" collapsed="false">
      <c r="A9" s="334" t="n">
        <v>5</v>
      </c>
      <c r="B9" s="333" t="s">
        <v>29</v>
      </c>
      <c r="D9" s="352" t="n">
        <v>58.68908346</v>
      </c>
      <c r="E9" s="352" t="n">
        <v>58.100821</v>
      </c>
      <c r="F9" s="352" t="n">
        <v>57.46168783</v>
      </c>
      <c r="G9" s="352" t="n">
        <v>57.91934598</v>
      </c>
      <c r="H9" s="352" t="n">
        <v>53.61062563</v>
      </c>
      <c r="I9" s="352" t="n">
        <v>56.393783</v>
      </c>
      <c r="J9" s="352" t="n">
        <v>58.91594225</v>
      </c>
      <c r="K9" s="352" t="n">
        <v>59.03008888</v>
      </c>
      <c r="L9" s="352" t="n">
        <v>58.18528975</v>
      </c>
      <c r="M9" s="352" t="n">
        <v>58.18610721</v>
      </c>
      <c r="N9" s="352" t="n">
        <v>57.01879661</v>
      </c>
      <c r="O9" s="352" t="n">
        <v>56.01939042</v>
      </c>
      <c r="P9" s="352" t="n">
        <v>54.78527328</v>
      </c>
      <c r="Q9" s="352" t="n">
        <v>56.34821191</v>
      </c>
      <c r="R9" s="352" t="n">
        <v>59.27864825</v>
      </c>
      <c r="S9" s="352" t="n">
        <v>60.2139652</v>
      </c>
      <c r="T9" s="352" t="n">
        <v>60.13343162</v>
      </c>
      <c r="U9" s="352" t="n">
        <v>60.23774956</v>
      </c>
      <c r="V9" s="352" t="n">
        <v>57.7472557</v>
      </c>
      <c r="W9" s="352" t="n">
        <v>57.12028693</v>
      </c>
    </row>
    <row r="10" customFormat="false" ht="15.75" hidden="false" customHeight="false" outlineLevel="0" collapsed="false">
      <c r="A10" s="334" t="n">
        <v>6</v>
      </c>
      <c r="B10" s="333" t="s">
        <v>168</v>
      </c>
      <c r="C10" s="352" t="n">
        <v>119.6982624</v>
      </c>
      <c r="D10" s="352" t="n">
        <v>109.2786763</v>
      </c>
      <c r="E10" s="352" t="n">
        <v>107.4110546</v>
      </c>
      <c r="F10" s="352" t="n">
        <v>105.2136455</v>
      </c>
      <c r="G10" s="352" t="n">
        <v>106.4071165</v>
      </c>
      <c r="H10" s="352" t="n">
        <v>94.65589667</v>
      </c>
      <c r="I10" s="352" t="n">
        <v>102.645548</v>
      </c>
      <c r="J10" s="352" t="n">
        <v>109.4849347</v>
      </c>
      <c r="K10" s="352" t="n">
        <v>109.5895077</v>
      </c>
      <c r="L10" s="352" t="n">
        <v>107.2189119</v>
      </c>
      <c r="M10" s="352" t="n">
        <v>107.1349637</v>
      </c>
      <c r="N10" s="352" t="n">
        <v>104.3683817</v>
      </c>
      <c r="O10" s="352" t="n">
        <v>101.0272828</v>
      </c>
      <c r="P10" s="352" t="n">
        <v>97.5558604</v>
      </c>
      <c r="Q10" s="352" t="n">
        <v>102.0899655</v>
      </c>
      <c r="R10" s="352" t="n">
        <v>107.5810825</v>
      </c>
      <c r="S10" s="352" t="n">
        <v>110.5573703</v>
      </c>
      <c r="T10" s="352" t="n">
        <v>110.1751727</v>
      </c>
      <c r="U10" s="352" t="n">
        <v>110.4394211</v>
      </c>
      <c r="V10" s="352" t="n">
        <v>104.0923138</v>
      </c>
      <c r="W10" s="352" t="n">
        <v>102.5254025</v>
      </c>
    </row>
    <row r="11" customFormat="false" ht="15.75" hidden="false" customHeight="false" outlineLevel="0" collapsed="false">
      <c r="A11" s="334" t="n">
        <v>7</v>
      </c>
      <c r="B11" s="333" t="s">
        <v>169</v>
      </c>
      <c r="C11" s="352" t="n">
        <v>200.7496049</v>
      </c>
      <c r="D11" s="352" t="n">
        <v>177.4811729</v>
      </c>
      <c r="E11" s="352" t="n">
        <v>170.2370583</v>
      </c>
      <c r="F11" s="352" t="n">
        <v>165.2013354</v>
      </c>
      <c r="G11" s="352" t="n">
        <v>168.5374283</v>
      </c>
      <c r="H11" s="352" t="n">
        <v>139.3279043</v>
      </c>
      <c r="I11" s="352" t="n">
        <v>159.3501702</v>
      </c>
      <c r="J11" s="352" t="n">
        <v>178.5405433</v>
      </c>
      <c r="K11" s="352" t="n">
        <v>178.8034081</v>
      </c>
      <c r="L11" s="352" t="n">
        <v>170.3407149</v>
      </c>
      <c r="M11" s="352" t="n">
        <v>170.0454989</v>
      </c>
      <c r="N11" s="352" t="n">
        <v>163.524851</v>
      </c>
      <c r="O11" s="352" t="n">
        <v>155.5157721</v>
      </c>
      <c r="P11" s="352" t="n">
        <v>145.9959256</v>
      </c>
      <c r="Q11" s="352" t="n">
        <v>158.1097812</v>
      </c>
      <c r="R11" s="352" t="n">
        <v>171.1435954</v>
      </c>
      <c r="S11" s="352" t="n">
        <v>180.9578376</v>
      </c>
      <c r="T11" s="352" t="n">
        <v>180.1084652</v>
      </c>
      <c r="U11" s="352" t="n">
        <v>180.7367205</v>
      </c>
      <c r="V11" s="352" t="n">
        <v>162.3593968</v>
      </c>
      <c r="W11" s="352" t="n">
        <v>157.5536275</v>
      </c>
    </row>
    <row r="12" customFormat="false" ht="15.75" hidden="false" customHeight="false" outlineLevel="0" collapsed="false">
      <c r="A12" s="334" t="n">
        <v>8</v>
      </c>
      <c r="B12" s="333" t="s">
        <v>170</v>
      </c>
      <c r="C12" s="352" t="n">
        <v>200.7496049</v>
      </c>
      <c r="D12" s="352" t="n">
        <v>177.4811729</v>
      </c>
      <c r="E12" s="352" t="n">
        <v>170.2370583</v>
      </c>
      <c r="F12" s="352" t="n">
        <v>165.2013354</v>
      </c>
      <c r="G12" s="352" t="n">
        <v>168.5374283</v>
      </c>
      <c r="H12" s="352" t="n">
        <v>139.3279043</v>
      </c>
      <c r="I12" s="352" t="n">
        <v>159.3501702</v>
      </c>
      <c r="J12" s="352" t="n">
        <v>178.5405433</v>
      </c>
      <c r="K12" s="352" t="n">
        <v>178.8034081</v>
      </c>
      <c r="L12" s="352" t="n">
        <v>170.3407149</v>
      </c>
      <c r="M12" s="352" t="n">
        <v>170.0454989</v>
      </c>
      <c r="N12" s="352" t="n">
        <v>163.524851</v>
      </c>
      <c r="O12" s="352" t="n">
        <v>155.5157721</v>
      </c>
      <c r="P12" s="352" t="n">
        <v>145.9959256</v>
      </c>
      <c r="Q12" s="352" t="n">
        <v>158.1097812</v>
      </c>
      <c r="R12" s="352" t="n">
        <v>171.1435954</v>
      </c>
      <c r="S12" s="352" t="n">
        <v>180.9578376</v>
      </c>
      <c r="T12" s="352" t="n">
        <v>180.1084652</v>
      </c>
      <c r="U12" s="352" t="n">
        <v>180.7367205</v>
      </c>
      <c r="V12" s="352" t="n">
        <v>162.3593968</v>
      </c>
      <c r="W12" s="352" t="n">
        <v>157.5536275</v>
      </c>
    </row>
    <row r="13" customFormat="false" ht="15.75" hidden="false" customHeight="false" outlineLevel="0" collapsed="false">
      <c r="A13" s="334" t="n">
        <v>9</v>
      </c>
      <c r="B13" s="333" t="s">
        <v>171</v>
      </c>
      <c r="C13" s="352" t="n">
        <v>65.47488546</v>
      </c>
      <c r="D13" s="352" t="n">
        <v>58.68908346</v>
      </c>
      <c r="E13" s="352" t="n">
        <v>58.100821</v>
      </c>
      <c r="F13" s="352" t="n">
        <v>57.46168783</v>
      </c>
      <c r="G13" s="352" t="n">
        <v>57.91934598</v>
      </c>
      <c r="H13" s="352" t="n">
        <v>53.61062563</v>
      </c>
      <c r="I13" s="352" t="n">
        <v>56.393783</v>
      </c>
      <c r="J13" s="352" t="n">
        <v>58.91594225</v>
      </c>
      <c r="K13" s="352" t="n">
        <v>59.03008888</v>
      </c>
      <c r="L13" s="352" t="n">
        <v>58.18528975</v>
      </c>
      <c r="M13" s="352" t="n">
        <v>58.18610721</v>
      </c>
      <c r="N13" s="352" t="n">
        <v>57.01879661</v>
      </c>
      <c r="O13" s="352" t="n">
        <v>56.01939042</v>
      </c>
      <c r="P13" s="352" t="n">
        <v>54.78527328</v>
      </c>
      <c r="Q13" s="352" t="n">
        <v>56.34821191</v>
      </c>
      <c r="R13" s="352" t="n">
        <v>59.27864825</v>
      </c>
      <c r="S13" s="352" t="n">
        <v>60.2139652</v>
      </c>
      <c r="T13" s="352" t="n">
        <v>60.13343162</v>
      </c>
      <c r="U13" s="352" t="n">
        <v>60.23774956</v>
      </c>
      <c r="V13" s="352" t="n">
        <v>57.7472557</v>
      </c>
      <c r="W13" s="352" t="n">
        <v>57.12028693</v>
      </c>
    </row>
    <row r="14" customFormat="false" ht="15.75" hidden="false" customHeight="false" outlineLevel="0" collapsed="false">
      <c r="A14" s="334" t="n">
        <v>10</v>
      </c>
      <c r="B14" s="333" t="s">
        <v>172</v>
      </c>
      <c r="C14" s="352" t="n">
        <v>52.66540105</v>
      </c>
      <c r="D14" s="352" t="n">
        <v>45.78953036</v>
      </c>
      <c r="E14" s="352" t="n">
        <v>46.57747048</v>
      </c>
      <c r="F14" s="352" t="n">
        <v>47.03145934</v>
      </c>
      <c r="G14" s="352" t="n">
        <v>47.74277523</v>
      </c>
      <c r="H14" s="352" t="n">
        <v>47.84441558</v>
      </c>
      <c r="I14" s="352" t="n">
        <v>47.89323737</v>
      </c>
      <c r="J14" s="352" t="n">
        <v>47.94577269</v>
      </c>
      <c r="K14" s="352" t="n">
        <v>48.05146355</v>
      </c>
      <c r="L14" s="352" t="n">
        <v>48.07464147</v>
      </c>
      <c r="M14" s="352" t="n">
        <v>48.12568278</v>
      </c>
      <c r="N14" s="352" t="n">
        <v>48.206388</v>
      </c>
      <c r="O14" s="352" t="n">
        <v>48.1723551</v>
      </c>
      <c r="P14" s="352" t="n">
        <v>48.17909686</v>
      </c>
      <c r="Q14" s="352" t="n">
        <v>48.21415911</v>
      </c>
      <c r="R14" s="352" t="n">
        <v>49.6107409</v>
      </c>
      <c r="S14" s="352" t="n">
        <v>49.63534386</v>
      </c>
      <c r="T14" s="352" t="n">
        <v>49.71153984</v>
      </c>
      <c r="U14" s="352" t="n">
        <v>49.70697593</v>
      </c>
      <c r="V14" s="352" t="n">
        <v>49.72050225</v>
      </c>
      <c r="W14" s="352" t="n">
        <v>49.73556096</v>
      </c>
    </row>
    <row r="15" customFormat="false" ht="15.75" hidden="false" customHeight="false" outlineLevel="0" collapsed="false">
      <c r="A15" s="334" t="n">
        <v>11</v>
      </c>
      <c r="B15" s="333" t="s">
        <v>173</v>
      </c>
      <c r="C15" s="352" t="n">
        <v>53.72853294</v>
      </c>
      <c r="D15" s="352" t="n">
        <v>49.62908489</v>
      </c>
      <c r="E15" s="352" t="n">
        <v>49.84281374</v>
      </c>
      <c r="F15" s="352" t="n">
        <v>50.00419986</v>
      </c>
      <c r="G15" s="352" t="n">
        <v>50.15598731</v>
      </c>
      <c r="H15" s="352" t="n">
        <v>50.17782756</v>
      </c>
      <c r="I15" s="352" t="n">
        <v>50.22016553</v>
      </c>
      <c r="J15" s="352" t="n">
        <v>50.24281372</v>
      </c>
      <c r="K15" s="352" t="n">
        <v>50.28623719</v>
      </c>
      <c r="L15" s="352" t="n">
        <v>50.29950214</v>
      </c>
      <c r="M15" s="352" t="n">
        <v>50.2925288</v>
      </c>
      <c r="N15" s="352" t="n">
        <v>50.32686254</v>
      </c>
      <c r="O15" s="352" t="n">
        <v>50.32033665</v>
      </c>
      <c r="P15" s="352" t="n">
        <v>50.34494315</v>
      </c>
      <c r="Q15" s="352" t="n">
        <v>50.35945542</v>
      </c>
      <c r="R15" s="352" t="n">
        <v>51.33971194</v>
      </c>
      <c r="S15" s="352" t="n">
        <v>51.33491865</v>
      </c>
      <c r="T15" s="352" t="n">
        <v>51.3302315</v>
      </c>
      <c r="U15" s="352" t="n">
        <v>51.33692819</v>
      </c>
      <c r="V15" s="352" t="n">
        <v>51.33249949</v>
      </c>
      <c r="W15" s="352" t="n">
        <v>51.36205715</v>
      </c>
    </row>
    <row r="16" customFormat="false" ht="15.75" hidden="false" customHeight="false" outlineLevel="0" collapsed="false">
      <c r="A16" s="334" t="n">
        <v>12</v>
      </c>
      <c r="B16" s="333" t="s">
        <v>174</v>
      </c>
      <c r="C16" s="352" t="n">
        <v>53.72853294</v>
      </c>
      <c r="D16" s="352" t="n">
        <v>49.62908489</v>
      </c>
      <c r="E16" s="352" t="n">
        <v>49.84281374</v>
      </c>
      <c r="F16" s="352" t="n">
        <v>50.00419986</v>
      </c>
      <c r="G16" s="352" t="n">
        <v>50.15598731</v>
      </c>
      <c r="H16" s="352" t="n">
        <v>50.17782756</v>
      </c>
      <c r="I16" s="352" t="n">
        <v>50.22016553</v>
      </c>
      <c r="J16" s="352" t="n">
        <v>50.24281372</v>
      </c>
      <c r="K16" s="352" t="n">
        <v>50.28623719</v>
      </c>
      <c r="L16" s="352" t="n">
        <v>50.29950214</v>
      </c>
      <c r="M16" s="352" t="n">
        <v>50.2925288</v>
      </c>
      <c r="N16" s="352" t="n">
        <v>50.32686254</v>
      </c>
      <c r="O16" s="352" t="n">
        <v>50.32033665</v>
      </c>
      <c r="P16" s="352" t="n">
        <v>50.34494315</v>
      </c>
      <c r="Q16" s="352" t="n">
        <v>50.35945542</v>
      </c>
      <c r="R16" s="352" t="n">
        <v>51.33971194</v>
      </c>
      <c r="S16" s="352" t="n">
        <v>51.33491865</v>
      </c>
      <c r="T16" s="352" t="n">
        <v>51.3302315</v>
      </c>
      <c r="U16" s="352" t="n">
        <v>51.33692819</v>
      </c>
      <c r="V16" s="352" t="n">
        <v>51.33249949</v>
      </c>
      <c r="W16" s="352" t="n">
        <v>51.36205715</v>
      </c>
    </row>
    <row r="17" customFormat="false" ht="16.5" hidden="false" customHeight="false" outlineLevel="0" collapsed="false">
      <c r="B17" s="340" t="s">
        <v>59</v>
      </c>
      <c r="C17" s="356" t="n">
        <f aca="false">SUM(C5:C16)</f>
        <v>746.79482459</v>
      </c>
      <c r="D17" s="356" t="n">
        <f aca="false">SUM(D5:D16)</f>
        <v>906.22255675</v>
      </c>
      <c r="E17" s="356" t="n">
        <f aca="false">SUM(E5:E16)</f>
        <v>889.04559375</v>
      </c>
      <c r="F17" s="356" t="n">
        <f aca="false">SUM(F5:F16)</f>
        <v>875.89271328</v>
      </c>
      <c r="G17" s="356" t="n">
        <f aca="false">SUM(G5:G16)</f>
        <v>885.22411186</v>
      </c>
      <c r="H17" s="356" t="n">
        <f aca="false">SUM(H5:H16)</f>
        <v>806.44913718</v>
      </c>
      <c r="I17" s="356" t="n">
        <f aca="false">SUM(I5:I16)</f>
        <v>860.10801776</v>
      </c>
      <c r="J17" s="356" t="n">
        <f aca="false">SUM(J5:J16)</f>
        <v>910.46895022</v>
      </c>
      <c r="K17" s="356" t="n">
        <f aca="false">SUM(K5:K16)</f>
        <v>911.4179682</v>
      </c>
      <c r="L17" s="356" t="n">
        <f aca="false">SUM(L5:L16)</f>
        <v>890.49110616</v>
      </c>
      <c r="M17" s="356" t="n">
        <f aca="false">SUM(M5:M16)</f>
        <v>889.95187277</v>
      </c>
      <c r="N17" s="356" t="n">
        <f aca="false">SUM(N5:N16)</f>
        <v>871.98043995</v>
      </c>
      <c r="O17" s="356" t="n">
        <f aca="false">SUM(O5:O16)</f>
        <v>850.43880983</v>
      </c>
      <c r="P17" s="356" t="n">
        <f aca="false">SUM(P5:P16)</f>
        <v>825.56468433</v>
      </c>
      <c r="Q17" s="356" t="n">
        <f aca="false">SUM(Q5:Q16)</f>
        <v>857.4148307</v>
      </c>
      <c r="R17" s="356" t="n">
        <f aca="false">SUM(R5:R16)</f>
        <v>901.57360787</v>
      </c>
      <c r="S17" s="356" t="n">
        <f aca="false">SUM(S5:S16)</f>
        <v>926.08265557</v>
      </c>
      <c r="T17" s="356" t="n">
        <f aca="false">SUM(T5:T16)</f>
        <v>923.83046161</v>
      </c>
      <c r="U17" s="356" t="n">
        <f aca="false">SUM(U5:U16)</f>
        <v>925.58631667</v>
      </c>
      <c r="V17" s="356" t="n">
        <f aca="false">SUM(V5:V16)</f>
        <v>877.48492155</v>
      </c>
      <c r="W17" s="356" t="n">
        <f aca="false">SUM(C17:V17)</f>
        <v>17532.0235806</v>
      </c>
    </row>
    <row r="18" customFormat="false" ht="16.5" hidden="false" customHeight="false" outlineLevel="0" collapsed="false">
      <c r="W18" s="352" t="n">
        <f aca="false">SUM(C20:C259)</f>
        <v>17532.0235806</v>
      </c>
    </row>
    <row r="20" customFormat="false" ht="15.75" hidden="false" customHeight="false" outlineLevel="0" collapsed="false">
      <c r="A20" s="334" t="n">
        <v>1</v>
      </c>
      <c r="B20" s="269" t="n">
        <v>36526</v>
      </c>
      <c r="C20" s="352" t="n">
        <f aca="false">VLOOKUP(A20,$A$5:$C$16,3)</f>
        <v>0</v>
      </c>
    </row>
    <row r="21" customFormat="false" ht="15.75" hidden="false" customHeight="false" outlineLevel="0" collapsed="false">
      <c r="A21" s="334" t="n">
        <v>2</v>
      </c>
      <c r="B21" s="269" t="n">
        <v>36557</v>
      </c>
      <c r="C21" s="352" t="n">
        <f aca="false">VLOOKUP(A21,$A$5:$C$16,3)</f>
        <v>0</v>
      </c>
    </row>
    <row r="22" customFormat="false" ht="15.75" hidden="false" customHeight="false" outlineLevel="0" collapsed="false">
      <c r="A22" s="334" t="n">
        <v>3</v>
      </c>
      <c r="B22" s="269" t="n">
        <v>36586</v>
      </c>
      <c r="C22" s="352" t="n">
        <f aca="false">VLOOKUP(A22,$A$5:$C$16,3)</f>
        <v>0</v>
      </c>
    </row>
    <row r="23" customFormat="false" ht="15.75" hidden="false" customHeight="false" outlineLevel="0" collapsed="false">
      <c r="A23" s="334" t="n">
        <v>4</v>
      </c>
      <c r="B23" s="269" t="n">
        <v>36617</v>
      </c>
      <c r="C23" s="352" t="n">
        <f aca="false">VLOOKUP(A23,$A$5:$C$16,3)</f>
        <v>0</v>
      </c>
    </row>
    <row r="24" customFormat="false" ht="15.75" hidden="false" customHeight="false" outlineLevel="0" collapsed="false">
      <c r="A24" s="334" t="n">
        <v>5</v>
      </c>
      <c r="B24" s="269" t="n">
        <v>36647</v>
      </c>
      <c r="C24" s="352" t="n">
        <f aca="false">VLOOKUP(A24,$A$5:$C$16,3)</f>
        <v>0</v>
      </c>
    </row>
    <row r="25" customFormat="false" ht="15.75" hidden="false" customHeight="false" outlineLevel="0" collapsed="false">
      <c r="A25" s="334" t="n">
        <v>6</v>
      </c>
      <c r="B25" s="269" t="n">
        <v>36678</v>
      </c>
      <c r="C25" s="352" t="n">
        <f aca="false">VLOOKUP(A25,$A$5:$C$16,3)</f>
        <v>119.6982624</v>
      </c>
    </row>
    <row r="26" customFormat="false" ht="15.75" hidden="false" customHeight="false" outlineLevel="0" collapsed="false">
      <c r="A26" s="334" t="n">
        <v>7</v>
      </c>
      <c r="B26" s="269" t="n">
        <v>36708</v>
      </c>
      <c r="C26" s="352" t="n">
        <f aca="false">VLOOKUP(A26,$A$5:$C$16,3)</f>
        <v>200.7496049</v>
      </c>
    </row>
    <row r="27" customFormat="false" ht="15.75" hidden="false" customHeight="false" outlineLevel="0" collapsed="false">
      <c r="A27" s="334" t="n">
        <v>8</v>
      </c>
      <c r="B27" s="269" t="n">
        <v>36739</v>
      </c>
      <c r="C27" s="352" t="n">
        <f aca="false">VLOOKUP(A27,$A$5:$C$16,3)</f>
        <v>200.7496049</v>
      </c>
    </row>
    <row r="28" customFormat="false" ht="15.75" hidden="false" customHeight="false" outlineLevel="0" collapsed="false">
      <c r="A28" s="334" t="n">
        <v>9</v>
      </c>
      <c r="B28" s="269" t="n">
        <v>36770</v>
      </c>
      <c r="C28" s="352" t="n">
        <f aca="false">VLOOKUP(A28,$A$5:$C$16,3)</f>
        <v>65.47488546</v>
      </c>
    </row>
    <row r="29" customFormat="false" ht="15.75" hidden="false" customHeight="false" outlineLevel="0" collapsed="false">
      <c r="A29" s="334" t="n">
        <v>10</v>
      </c>
      <c r="B29" s="269" t="n">
        <v>36800</v>
      </c>
      <c r="C29" s="352" t="n">
        <f aca="false">VLOOKUP(A29,$A$5:$C$16,3)</f>
        <v>52.66540105</v>
      </c>
    </row>
    <row r="30" customFormat="false" ht="15.75" hidden="false" customHeight="false" outlineLevel="0" collapsed="false">
      <c r="A30" s="334" t="n">
        <v>11</v>
      </c>
      <c r="B30" s="269" t="n">
        <v>36831</v>
      </c>
      <c r="C30" s="352" t="n">
        <f aca="false">VLOOKUP(A30,$A$5:$C$16,3)</f>
        <v>53.72853294</v>
      </c>
    </row>
    <row r="31" customFormat="false" ht="15.75" hidden="false" customHeight="false" outlineLevel="0" collapsed="false">
      <c r="A31" s="334" t="n">
        <v>12</v>
      </c>
      <c r="B31" s="269" t="n">
        <v>36861</v>
      </c>
      <c r="C31" s="352" t="n">
        <f aca="false">VLOOKUP(A31,$A$5:$C$16,3)</f>
        <v>53.72853294</v>
      </c>
      <c r="D31" s="342" t="n">
        <f aca="false">SUM(C20:C31)</f>
        <v>746.79482459</v>
      </c>
    </row>
    <row r="32" customFormat="false" ht="15.75" hidden="false" customHeight="false" outlineLevel="0" collapsed="false">
      <c r="A32" s="334" t="n">
        <v>1</v>
      </c>
      <c r="B32" s="269" t="n">
        <v>36892</v>
      </c>
      <c r="C32" s="352" t="n">
        <f aca="false">VLOOKUP(A32,$A$5:$D$16,4)</f>
        <v>50.27617212</v>
      </c>
    </row>
    <row r="33" customFormat="false" ht="15.75" hidden="false" customHeight="false" outlineLevel="0" collapsed="false">
      <c r="A33" s="334" t="n">
        <v>2</v>
      </c>
      <c r="B33" s="269" t="n">
        <v>36923</v>
      </c>
      <c r="C33" s="352" t="n">
        <f aca="false">VLOOKUP(A33,$A$5:$D$16,4)</f>
        <v>41.81734635</v>
      </c>
    </row>
    <row r="34" customFormat="false" ht="15.75" hidden="false" customHeight="false" outlineLevel="0" collapsed="false">
      <c r="A34" s="334" t="n">
        <v>3</v>
      </c>
      <c r="B34" s="269" t="n">
        <v>36951</v>
      </c>
      <c r="C34" s="352" t="n">
        <f aca="false">VLOOKUP(A34,$A$5:$D$16,4)</f>
        <v>41.81734635</v>
      </c>
    </row>
    <row r="35" customFormat="false" ht="15.75" hidden="false" customHeight="false" outlineLevel="0" collapsed="false">
      <c r="A35" s="334" t="n">
        <v>4</v>
      </c>
      <c r="B35" s="269" t="n">
        <v>36982</v>
      </c>
      <c r="C35" s="352" t="n">
        <f aca="false">VLOOKUP(A35,$A$5:$D$16,4)</f>
        <v>45.64480277</v>
      </c>
    </row>
    <row r="36" customFormat="false" ht="15.75" hidden="false" customHeight="false" outlineLevel="0" collapsed="false">
      <c r="A36" s="334" t="n">
        <v>5</v>
      </c>
      <c r="B36" s="269" t="n">
        <v>37012</v>
      </c>
      <c r="C36" s="352" t="n">
        <f aca="false">VLOOKUP(A36,$A$5:$D$16,4)</f>
        <v>58.68908346</v>
      </c>
    </row>
    <row r="37" customFormat="false" ht="15.75" hidden="false" customHeight="false" outlineLevel="0" collapsed="false">
      <c r="A37" s="334" t="n">
        <v>6</v>
      </c>
      <c r="B37" s="269" t="n">
        <v>37043</v>
      </c>
      <c r="C37" s="352" t="n">
        <f aca="false">VLOOKUP(A37,$A$5:$D$16,4)</f>
        <v>109.2786763</v>
      </c>
    </row>
    <row r="38" customFormat="false" ht="15.75" hidden="false" customHeight="false" outlineLevel="0" collapsed="false">
      <c r="A38" s="334" t="n">
        <v>7</v>
      </c>
      <c r="B38" s="269" t="n">
        <v>37073</v>
      </c>
      <c r="C38" s="352" t="n">
        <f aca="false">VLOOKUP(A38,$A$5:$D$16,4)</f>
        <v>177.4811729</v>
      </c>
    </row>
    <row r="39" customFormat="false" ht="15.75" hidden="false" customHeight="false" outlineLevel="0" collapsed="false">
      <c r="A39" s="334" t="n">
        <v>8</v>
      </c>
      <c r="B39" s="269" t="n">
        <v>37104</v>
      </c>
      <c r="C39" s="352" t="n">
        <f aca="false">VLOOKUP(A39,$A$5:$D$16,4)</f>
        <v>177.4811729</v>
      </c>
    </row>
    <row r="40" customFormat="false" ht="15.75" hidden="false" customHeight="false" outlineLevel="0" collapsed="false">
      <c r="A40" s="334" t="n">
        <v>9</v>
      </c>
      <c r="B40" s="269" t="n">
        <v>37135</v>
      </c>
      <c r="C40" s="352" t="n">
        <f aca="false">VLOOKUP(A40,$A$5:$D$16,4)</f>
        <v>58.68908346</v>
      </c>
    </row>
    <row r="41" customFormat="false" ht="15.75" hidden="false" customHeight="false" outlineLevel="0" collapsed="false">
      <c r="A41" s="334" t="n">
        <v>10</v>
      </c>
      <c r="B41" s="269" t="n">
        <v>37165</v>
      </c>
      <c r="C41" s="352" t="n">
        <f aca="false">VLOOKUP(A41,$A$5:$D$16,4)</f>
        <v>45.78953036</v>
      </c>
    </row>
    <row r="42" customFormat="false" ht="15.75" hidden="false" customHeight="false" outlineLevel="0" collapsed="false">
      <c r="A42" s="334" t="n">
        <v>11</v>
      </c>
      <c r="B42" s="269" t="n">
        <v>37196</v>
      </c>
      <c r="C42" s="352" t="n">
        <f aca="false">VLOOKUP(A42,$A$5:$D$16,4)</f>
        <v>49.62908489</v>
      </c>
    </row>
    <row r="43" customFormat="false" ht="15.75" hidden="false" customHeight="false" outlineLevel="0" collapsed="false">
      <c r="A43" s="334" t="n">
        <v>12</v>
      </c>
      <c r="B43" s="269" t="n">
        <v>37226</v>
      </c>
      <c r="C43" s="352" t="n">
        <f aca="false">VLOOKUP(A43,$A$5:$D$16,4)</f>
        <v>49.62908489</v>
      </c>
      <c r="D43" s="342" t="n">
        <f aca="false">SUM(C32:C43)</f>
        <v>906.22255675</v>
      </c>
    </row>
    <row r="44" customFormat="false" ht="15.75" hidden="false" customHeight="false" outlineLevel="0" collapsed="false">
      <c r="A44" s="334" t="n">
        <v>1</v>
      </c>
      <c r="B44" s="269" t="n">
        <v>37257</v>
      </c>
      <c r="C44" s="352" t="n">
        <f aca="false">VLOOKUP(A44,$A$5:$E$16,5)</f>
        <v>49.29206481</v>
      </c>
    </row>
    <row r="45" customFormat="false" ht="15.75" hidden="false" customHeight="false" outlineLevel="0" collapsed="false">
      <c r="A45" s="334" t="n">
        <v>2</v>
      </c>
      <c r="B45" s="269" t="n">
        <v>37288</v>
      </c>
      <c r="C45" s="352" t="n">
        <f aca="false">VLOOKUP(A45,$A$5:$E$16,5)</f>
        <v>41.74830928</v>
      </c>
    </row>
    <row r="46" customFormat="false" ht="15.75" hidden="false" customHeight="false" outlineLevel="0" collapsed="false">
      <c r="A46" s="334" t="n">
        <v>3</v>
      </c>
      <c r="B46" s="269" t="n">
        <v>37316</v>
      </c>
      <c r="C46" s="352" t="n">
        <f aca="false">VLOOKUP(A46,$A$5:$E$16,5)</f>
        <v>41.74830928</v>
      </c>
    </row>
    <row r="47" customFormat="false" ht="15.75" hidden="false" customHeight="false" outlineLevel="0" collapsed="false">
      <c r="A47" s="334" t="n">
        <v>4</v>
      </c>
      <c r="B47" s="269" t="n">
        <v>37347</v>
      </c>
      <c r="C47" s="352" t="n">
        <f aca="false">VLOOKUP(A47,$A$5:$E$16,5)</f>
        <v>45.90699922</v>
      </c>
    </row>
    <row r="48" customFormat="false" ht="15.75" hidden="false" customHeight="false" outlineLevel="0" collapsed="false">
      <c r="A48" s="334" t="n">
        <v>5</v>
      </c>
      <c r="B48" s="269" t="n">
        <v>37377</v>
      </c>
      <c r="C48" s="352" t="n">
        <f aca="false">VLOOKUP(A48,$A$5:$E$16,5)</f>
        <v>58.100821</v>
      </c>
    </row>
    <row r="49" customFormat="false" ht="15.75" hidden="false" customHeight="false" outlineLevel="0" collapsed="false">
      <c r="A49" s="334" t="n">
        <v>6</v>
      </c>
      <c r="B49" s="269" t="n">
        <v>37408</v>
      </c>
      <c r="C49" s="352" t="n">
        <f aca="false">VLOOKUP(A49,$A$5:$E$16,5)</f>
        <v>107.4110546</v>
      </c>
    </row>
    <row r="50" customFormat="false" ht="15.75" hidden="false" customHeight="false" outlineLevel="0" collapsed="false">
      <c r="A50" s="334" t="n">
        <v>7</v>
      </c>
      <c r="B50" s="269" t="n">
        <v>37438</v>
      </c>
      <c r="C50" s="352" t="n">
        <f aca="false">VLOOKUP(A50,$A$5:$E$16,5)</f>
        <v>170.2370583</v>
      </c>
    </row>
    <row r="51" customFormat="false" ht="15.75" hidden="false" customHeight="false" outlineLevel="0" collapsed="false">
      <c r="A51" s="334" t="n">
        <v>8</v>
      </c>
      <c r="B51" s="269" t="n">
        <v>37469</v>
      </c>
      <c r="C51" s="352" t="n">
        <f aca="false">VLOOKUP(A51,$A$5:$E$16,5)</f>
        <v>170.2370583</v>
      </c>
    </row>
    <row r="52" customFormat="false" ht="15.75" hidden="false" customHeight="false" outlineLevel="0" collapsed="false">
      <c r="A52" s="334" t="n">
        <v>9</v>
      </c>
      <c r="B52" s="269" t="n">
        <v>37500</v>
      </c>
      <c r="C52" s="352" t="n">
        <f aca="false">VLOOKUP(A52,$A$5:$E$16,5)</f>
        <v>58.100821</v>
      </c>
    </row>
    <row r="53" customFormat="false" ht="15.75" hidden="false" customHeight="false" outlineLevel="0" collapsed="false">
      <c r="A53" s="334" t="n">
        <v>10</v>
      </c>
      <c r="B53" s="269" t="n">
        <v>37530</v>
      </c>
      <c r="C53" s="352" t="n">
        <f aca="false">VLOOKUP(A53,$A$5:$E$16,5)</f>
        <v>46.57747048</v>
      </c>
    </row>
    <row r="54" customFormat="false" ht="15.75" hidden="false" customHeight="false" outlineLevel="0" collapsed="false">
      <c r="A54" s="334" t="n">
        <v>11</v>
      </c>
      <c r="B54" s="269" t="n">
        <v>37561</v>
      </c>
      <c r="C54" s="352" t="n">
        <f aca="false">VLOOKUP(A54,$A$5:$E$16,5)</f>
        <v>49.84281374</v>
      </c>
    </row>
    <row r="55" customFormat="false" ht="15.75" hidden="false" customHeight="false" outlineLevel="0" collapsed="false">
      <c r="A55" s="334" t="n">
        <v>12</v>
      </c>
      <c r="B55" s="269" t="n">
        <v>37591</v>
      </c>
      <c r="C55" s="352" t="n">
        <f aca="false">VLOOKUP(A55,$A$5:$E$16,5)</f>
        <v>49.84281374</v>
      </c>
      <c r="D55" s="342" t="n">
        <f aca="false">SUM(C44:C55)</f>
        <v>889.04559375</v>
      </c>
    </row>
    <row r="56" customFormat="false" ht="15.75" hidden="false" customHeight="false" outlineLevel="0" collapsed="false">
      <c r="A56" s="334" t="n">
        <v>1</v>
      </c>
      <c r="B56" s="269" t="n">
        <v>37622</v>
      </c>
      <c r="C56" s="352" t="n">
        <f aca="false">VLOOKUP(A56,$A$5:$F$16,6)</f>
        <v>48.87163427</v>
      </c>
    </row>
    <row r="57" customFormat="false" ht="15.75" hidden="false" customHeight="false" outlineLevel="0" collapsed="false">
      <c r="A57" s="334" t="n">
        <v>2</v>
      </c>
      <c r="B57" s="269" t="n">
        <v>37653</v>
      </c>
      <c r="C57" s="352" t="n">
        <f aca="false">VLOOKUP(A57,$A$5:$F$16,6)</f>
        <v>41.72442</v>
      </c>
    </row>
    <row r="58" customFormat="false" ht="15.75" hidden="false" customHeight="false" outlineLevel="0" collapsed="false">
      <c r="A58" s="334" t="n">
        <v>3</v>
      </c>
      <c r="B58" s="269" t="n">
        <v>37681</v>
      </c>
      <c r="C58" s="352" t="n">
        <f aca="false">VLOOKUP(A58,$A$5:$F$16,6)</f>
        <v>41.72442</v>
      </c>
    </row>
    <row r="59" customFormat="false" ht="15.75" hidden="false" customHeight="false" outlineLevel="0" collapsed="false">
      <c r="A59" s="334" t="n">
        <v>4</v>
      </c>
      <c r="B59" s="269" t="n">
        <v>37712</v>
      </c>
      <c r="C59" s="352" t="n">
        <f aca="false">VLOOKUP(A59,$A$5:$F$16,6)</f>
        <v>45.99268799</v>
      </c>
    </row>
    <row r="60" customFormat="false" ht="15.75" hidden="false" customHeight="false" outlineLevel="0" collapsed="false">
      <c r="A60" s="334" t="n">
        <v>5</v>
      </c>
      <c r="B60" s="269" t="n">
        <v>37742</v>
      </c>
      <c r="C60" s="352" t="n">
        <f aca="false">VLOOKUP(A60,$A$5:$F$16,6)</f>
        <v>57.46168783</v>
      </c>
    </row>
    <row r="61" customFormat="false" ht="15.75" hidden="false" customHeight="false" outlineLevel="0" collapsed="false">
      <c r="A61" s="334" t="n">
        <v>6</v>
      </c>
      <c r="B61" s="269" t="n">
        <v>37773</v>
      </c>
      <c r="C61" s="352" t="n">
        <f aca="false">VLOOKUP(A61,$A$5:$F$16,6)</f>
        <v>105.2136455</v>
      </c>
    </row>
    <row r="62" customFormat="false" ht="15.75" hidden="false" customHeight="false" outlineLevel="0" collapsed="false">
      <c r="A62" s="334" t="n">
        <v>7</v>
      </c>
      <c r="B62" s="269" t="n">
        <v>37803</v>
      </c>
      <c r="C62" s="352" t="n">
        <f aca="false">VLOOKUP(A62,$A$5:$F$16,6)</f>
        <v>165.2013354</v>
      </c>
    </row>
    <row r="63" customFormat="false" ht="15.75" hidden="false" customHeight="false" outlineLevel="0" collapsed="false">
      <c r="A63" s="334" t="n">
        <v>8</v>
      </c>
      <c r="B63" s="269" t="n">
        <v>37834</v>
      </c>
      <c r="C63" s="352" t="n">
        <f aca="false">VLOOKUP(A63,$A$5:$F$16,6)</f>
        <v>165.2013354</v>
      </c>
    </row>
    <row r="64" customFormat="false" ht="15.75" hidden="false" customHeight="false" outlineLevel="0" collapsed="false">
      <c r="A64" s="334" t="n">
        <v>9</v>
      </c>
      <c r="B64" s="269" t="n">
        <v>37865</v>
      </c>
      <c r="C64" s="352" t="n">
        <f aca="false">VLOOKUP(A64,$A$5:$F$16,6)</f>
        <v>57.46168783</v>
      </c>
    </row>
    <row r="65" customFormat="false" ht="15.75" hidden="false" customHeight="false" outlineLevel="0" collapsed="false">
      <c r="A65" s="334" t="n">
        <v>10</v>
      </c>
      <c r="B65" s="269" t="n">
        <v>37895</v>
      </c>
      <c r="C65" s="352" t="n">
        <f aca="false">VLOOKUP(A65,$A$5:$F$16,6)</f>
        <v>47.03145934</v>
      </c>
    </row>
    <row r="66" customFormat="false" ht="15.75" hidden="false" customHeight="false" outlineLevel="0" collapsed="false">
      <c r="A66" s="334" t="n">
        <v>11</v>
      </c>
      <c r="B66" s="269" t="n">
        <v>37926</v>
      </c>
      <c r="C66" s="352" t="n">
        <f aca="false">VLOOKUP(A66,$A$5:$F$16,6)</f>
        <v>50.00419986</v>
      </c>
    </row>
    <row r="67" customFormat="false" ht="15.75" hidden="false" customHeight="false" outlineLevel="0" collapsed="false">
      <c r="A67" s="334" t="n">
        <v>12</v>
      </c>
      <c r="B67" s="269" t="n">
        <v>37956</v>
      </c>
      <c r="C67" s="352" t="n">
        <f aca="false">VLOOKUP(A67,$A$5:$F$16,6)</f>
        <v>50.00419986</v>
      </c>
      <c r="D67" s="342" t="n">
        <f aca="false">SUM(C56:C67)</f>
        <v>875.89271328</v>
      </c>
    </row>
    <row r="68" customFormat="false" ht="15.75" hidden="false" customHeight="false" outlineLevel="0" collapsed="false">
      <c r="A68" s="334" t="n">
        <v>1</v>
      </c>
      <c r="B68" s="269" t="n">
        <v>37987</v>
      </c>
      <c r="C68" s="352" t="n">
        <f aca="false">VLOOKUP(A68,$A$5:$G$16,7)</f>
        <v>48.11429676</v>
      </c>
    </row>
    <row r="69" customFormat="false" ht="15.75" hidden="false" customHeight="false" outlineLevel="0" collapsed="false">
      <c r="A69" s="334" t="n">
        <v>2</v>
      </c>
      <c r="B69" s="269" t="n">
        <v>38018</v>
      </c>
      <c r="C69" s="352" t="n">
        <f aca="false">VLOOKUP(A69,$A$5:$G$16,7)</f>
        <v>41.79097117</v>
      </c>
    </row>
    <row r="70" customFormat="false" ht="15.75" hidden="false" customHeight="false" outlineLevel="0" collapsed="false">
      <c r="A70" s="334" t="n">
        <v>3</v>
      </c>
      <c r="B70" s="269" t="n">
        <v>38047</v>
      </c>
      <c r="C70" s="352" t="n">
        <f aca="false">VLOOKUP(A70,$A$5:$G$16,7)</f>
        <v>41.79097117</v>
      </c>
    </row>
    <row r="71" customFormat="false" ht="15.75" hidden="false" customHeight="false" outlineLevel="0" collapsed="false">
      <c r="A71" s="334" t="n">
        <v>4</v>
      </c>
      <c r="B71" s="269" t="n">
        <v>38078</v>
      </c>
      <c r="C71" s="352" t="n">
        <f aca="false">VLOOKUP(A71,$A$5:$G$16,7)</f>
        <v>46.15245785</v>
      </c>
    </row>
    <row r="72" customFormat="false" ht="15.75" hidden="false" customHeight="false" outlineLevel="0" collapsed="false">
      <c r="A72" s="334" t="n">
        <v>5</v>
      </c>
      <c r="B72" s="269" t="n">
        <v>38108</v>
      </c>
      <c r="C72" s="352" t="n">
        <f aca="false">VLOOKUP(A72,$A$5:$G$16,7)</f>
        <v>57.91934598</v>
      </c>
    </row>
    <row r="73" customFormat="false" ht="15.75" hidden="false" customHeight="false" outlineLevel="0" collapsed="false">
      <c r="A73" s="334" t="n">
        <v>6</v>
      </c>
      <c r="B73" s="269" t="n">
        <v>38139</v>
      </c>
      <c r="C73" s="352" t="n">
        <f aca="false">VLOOKUP(A73,$A$5:$G$16,7)</f>
        <v>106.4071165</v>
      </c>
    </row>
    <row r="74" customFormat="false" ht="15.75" hidden="false" customHeight="false" outlineLevel="0" collapsed="false">
      <c r="A74" s="334" t="n">
        <v>7</v>
      </c>
      <c r="B74" s="269" t="n">
        <v>38169</v>
      </c>
      <c r="C74" s="352" t="n">
        <f aca="false">VLOOKUP(A74,$A$5:$G$16,7)</f>
        <v>168.5374283</v>
      </c>
    </row>
    <row r="75" customFormat="false" ht="15.75" hidden="false" customHeight="false" outlineLevel="0" collapsed="false">
      <c r="A75" s="334" t="n">
        <v>8</v>
      </c>
      <c r="B75" s="269" t="n">
        <v>38200</v>
      </c>
      <c r="C75" s="352" t="n">
        <f aca="false">VLOOKUP(A75,$A$5:$G$16,7)</f>
        <v>168.5374283</v>
      </c>
    </row>
    <row r="76" customFormat="false" ht="15.75" hidden="false" customHeight="false" outlineLevel="0" collapsed="false">
      <c r="A76" s="334" t="n">
        <v>9</v>
      </c>
      <c r="B76" s="269" t="n">
        <v>38231</v>
      </c>
      <c r="C76" s="352" t="n">
        <f aca="false">VLOOKUP(A76,$A$5:$G$16,7)</f>
        <v>57.91934598</v>
      </c>
    </row>
    <row r="77" customFormat="false" ht="15.75" hidden="false" customHeight="false" outlineLevel="0" collapsed="false">
      <c r="A77" s="334" t="n">
        <v>10</v>
      </c>
      <c r="B77" s="269" t="n">
        <v>38261</v>
      </c>
      <c r="C77" s="352" t="n">
        <f aca="false">VLOOKUP(A77,$A$5:$G$16,7)</f>
        <v>47.74277523</v>
      </c>
    </row>
    <row r="78" customFormat="false" ht="15.75" hidden="false" customHeight="false" outlineLevel="0" collapsed="false">
      <c r="A78" s="334" t="n">
        <v>11</v>
      </c>
      <c r="B78" s="269" t="n">
        <v>38292</v>
      </c>
      <c r="C78" s="352" t="n">
        <f aca="false">VLOOKUP(A78,$A$5:$G$16,7)</f>
        <v>50.15598731</v>
      </c>
    </row>
    <row r="79" customFormat="false" ht="15.75" hidden="false" customHeight="false" outlineLevel="0" collapsed="false">
      <c r="A79" s="334" t="n">
        <v>12</v>
      </c>
      <c r="B79" s="269" t="n">
        <v>38322</v>
      </c>
      <c r="C79" s="352" t="n">
        <f aca="false">VLOOKUP(A79,$A$5:$G$16,7)</f>
        <v>50.15598731</v>
      </c>
      <c r="D79" s="342" t="n">
        <f aca="false">SUM(C68:C79)</f>
        <v>885.22411186</v>
      </c>
    </row>
    <row r="80" customFormat="false" ht="15.75" hidden="false" customHeight="false" outlineLevel="0" collapsed="false">
      <c r="A80" s="334" t="n">
        <v>1</v>
      </c>
      <c r="B80" s="269" t="n">
        <v>38353</v>
      </c>
      <c r="C80" s="352" t="n">
        <f aca="false">VLOOKUP(A80,$A$5:$H$16,8)</f>
        <v>48.06361708</v>
      </c>
    </row>
    <row r="81" customFormat="false" ht="15.75" hidden="false" customHeight="false" outlineLevel="0" collapsed="false">
      <c r="A81" s="334" t="n">
        <v>2</v>
      </c>
      <c r="B81" s="269" t="n">
        <v>38384</v>
      </c>
      <c r="C81" s="352" t="n">
        <f aca="false">VLOOKUP(A81,$A$5:$H$16,8)</f>
        <v>41.74688732</v>
      </c>
    </row>
    <row r="82" customFormat="false" ht="15.75" hidden="false" customHeight="false" outlineLevel="0" collapsed="false">
      <c r="A82" s="334" t="n">
        <v>3</v>
      </c>
      <c r="B82" s="269" t="n">
        <v>38412</v>
      </c>
      <c r="C82" s="352" t="n">
        <f aca="false">VLOOKUP(A82,$A$5:$H$16,8)</f>
        <v>41.74688732</v>
      </c>
    </row>
    <row r="83" customFormat="false" ht="15.75" hidden="false" customHeight="false" outlineLevel="0" collapsed="false">
      <c r="A83" s="334" t="n">
        <v>4</v>
      </c>
      <c r="B83" s="269" t="n">
        <v>38443</v>
      </c>
      <c r="C83" s="352" t="n">
        <f aca="false">VLOOKUP(A83,$A$5:$H$16,8)</f>
        <v>46.15871823</v>
      </c>
    </row>
    <row r="84" customFormat="false" ht="15.75" hidden="false" customHeight="false" outlineLevel="0" collapsed="false">
      <c r="A84" s="334" t="n">
        <v>5</v>
      </c>
      <c r="B84" s="269" t="n">
        <v>38473</v>
      </c>
      <c r="C84" s="352" t="n">
        <f aca="false">VLOOKUP(A84,$A$5:$H$16,8)</f>
        <v>53.61062563</v>
      </c>
    </row>
    <row r="85" customFormat="false" ht="15.75" hidden="false" customHeight="false" outlineLevel="0" collapsed="false">
      <c r="A85" s="334" t="n">
        <v>6</v>
      </c>
      <c r="B85" s="269" t="n">
        <v>38504</v>
      </c>
      <c r="C85" s="352" t="n">
        <f aca="false">VLOOKUP(A85,$A$5:$H$16,8)</f>
        <v>94.65589667</v>
      </c>
    </row>
    <row r="86" customFormat="false" ht="15.75" hidden="false" customHeight="false" outlineLevel="0" collapsed="false">
      <c r="A86" s="334" t="n">
        <v>7</v>
      </c>
      <c r="B86" s="269" t="n">
        <v>38534</v>
      </c>
      <c r="C86" s="352" t="n">
        <f aca="false">VLOOKUP(A86,$A$5:$H$16,8)</f>
        <v>139.3279043</v>
      </c>
    </row>
    <row r="87" customFormat="false" ht="15.75" hidden="false" customHeight="false" outlineLevel="0" collapsed="false">
      <c r="A87" s="334" t="n">
        <v>8</v>
      </c>
      <c r="B87" s="269" t="n">
        <v>38565</v>
      </c>
      <c r="C87" s="352" t="n">
        <f aca="false">VLOOKUP(A87,$A$5:$H$16,8)</f>
        <v>139.3279043</v>
      </c>
    </row>
    <row r="88" customFormat="false" ht="15.75" hidden="false" customHeight="false" outlineLevel="0" collapsed="false">
      <c r="A88" s="334" t="n">
        <v>9</v>
      </c>
      <c r="B88" s="269" t="n">
        <v>38596</v>
      </c>
      <c r="C88" s="352" t="n">
        <f aca="false">VLOOKUP(A88,$A$5:$H$16,8)</f>
        <v>53.61062563</v>
      </c>
    </row>
    <row r="89" customFormat="false" ht="15.75" hidden="false" customHeight="false" outlineLevel="0" collapsed="false">
      <c r="A89" s="334" t="n">
        <v>10</v>
      </c>
      <c r="B89" s="269" t="n">
        <v>38626</v>
      </c>
      <c r="C89" s="352" t="n">
        <f aca="false">VLOOKUP(A89,$A$5:$H$16,8)</f>
        <v>47.84441558</v>
      </c>
    </row>
    <row r="90" customFormat="false" ht="15.75" hidden="false" customHeight="false" outlineLevel="0" collapsed="false">
      <c r="A90" s="334" t="n">
        <v>11</v>
      </c>
      <c r="B90" s="269" t="n">
        <v>38657</v>
      </c>
      <c r="C90" s="352" t="n">
        <f aca="false">VLOOKUP(A90,$A$5:$H$16,8)</f>
        <v>50.17782756</v>
      </c>
    </row>
    <row r="91" customFormat="false" ht="15.75" hidden="false" customHeight="false" outlineLevel="0" collapsed="false">
      <c r="A91" s="334" t="n">
        <v>12</v>
      </c>
      <c r="B91" s="269" t="n">
        <v>38687</v>
      </c>
      <c r="C91" s="352" t="n">
        <f aca="false">VLOOKUP(A91,$A$5:$H$16,8)</f>
        <v>50.17782756</v>
      </c>
      <c r="D91" s="342" t="n">
        <f aca="false">SUM(C80:C91)</f>
        <v>806.44913718</v>
      </c>
    </row>
    <row r="92" customFormat="false" ht="15.75" hidden="false" customHeight="false" outlineLevel="0" collapsed="false">
      <c r="A92" s="334" t="n">
        <v>1</v>
      </c>
      <c r="B92" s="269" t="n">
        <v>38718</v>
      </c>
      <c r="C92" s="352" t="n">
        <f aca="false">VLOOKUP(A92,$A$5:$I$16,9)</f>
        <v>47.98518809</v>
      </c>
    </row>
    <row r="93" customFormat="false" ht="15.75" hidden="false" customHeight="false" outlineLevel="0" collapsed="false">
      <c r="A93" s="334" t="n">
        <v>2</v>
      </c>
      <c r="B93" s="269" t="n">
        <v>38749</v>
      </c>
      <c r="C93" s="352" t="n">
        <f aca="false">VLOOKUP(A93,$A$5:$I$16,9)</f>
        <v>41.73923785</v>
      </c>
    </row>
    <row r="94" customFormat="false" ht="15.75" hidden="false" customHeight="false" outlineLevel="0" collapsed="false">
      <c r="A94" s="334" t="n">
        <v>3</v>
      </c>
      <c r="B94" s="269" t="n">
        <v>38777</v>
      </c>
      <c r="C94" s="352" t="n">
        <f aca="false">VLOOKUP(A94,$A$5:$I$16,9)</f>
        <v>41.73923785</v>
      </c>
    </row>
    <row r="95" customFormat="false" ht="15.75" hidden="false" customHeight="false" outlineLevel="0" collapsed="false">
      <c r="A95" s="334" t="n">
        <v>4</v>
      </c>
      <c r="B95" s="269" t="n">
        <v>38808</v>
      </c>
      <c r="C95" s="352" t="n">
        <f aca="false">VLOOKUP(A95,$A$5:$I$16,9)</f>
        <v>46.17733114</v>
      </c>
    </row>
    <row r="96" customFormat="false" ht="15.75" hidden="false" customHeight="false" outlineLevel="0" collapsed="false">
      <c r="A96" s="334" t="n">
        <v>5</v>
      </c>
      <c r="B96" s="269" t="n">
        <v>38838</v>
      </c>
      <c r="C96" s="352" t="n">
        <f aca="false">VLOOKUP(A96,$A$5:$I$16,9)</f>
        <v>56.393783</v>
      </c>
    </row>
    <row r="97" customFormat="false" ht="15.75" hidden="false" customHeight="false" outlineLevel="0" collapsed="false">
      <c r="A97" s="334" t="n">
        <v>6</v>
      </c>
      <c r="B97" s="269" t="n">
        <v>38869</v>
      </c>
      <c r="C97" s="352" t="n">
        <f aca="false">VLOOKUP(A97,$A$5:$I$16,9)</f>
        <v>102.645548</v>
      </c>
    </row>
    <row r="98" customFormat="false" ht="15.75" hidden="false" customHeight="false" outlineLevel="0" collapsed="false">
      <c r="A98" s="334" t="n">
        <v>7</v>
      </c>
      <c r="B98" s="269" t="n">
        <v>38899</v>
      </c>
      <c r="C98" s="352" t="n">
        <f aca="false">VLOOKUP(A98,$A$5:$I$16,9)</f>
        <v>159.3501702</v>
      </c>
    </row>
    <row r="99" customFormat="false" ht="15.75" hidden="false" customHeight="false" outlineLevel="0" collapsed="false">
      <c r="A99" s="334" t="n">
        <v>8</v>
      </c>
      <c r="B99" s="269" t="n">
        <v>38930</v>
      </c>
      <c r="C99" s="352" t="n">
        <f aca="false">VLOOKUP(A99,$A$5:$I$16,9)</f>
        <v>159.3501702</v>
      </c>
    </row>
    <row r="100" customFormat="false" ht="15.75" hidden="false" customHeight="false" outlineLevel="0" collapsed="false">
      <c r="A100" s="334" t="n">
        <v>9</v>
      </c>
      <c r="B100" s="269" t="n">
        <v>38961</v>
      </c>
      <c r="C100" s="352" t="n">
        <f aca="false">VLOOKUP(A100,$A$5:$I$16,9)</f>
        <v>56.393783</v>
      </c>
    </row>
    <row r="101" customFormat="false" ht="15.75" hidden="false" customHeight="false" outlineLevel="0" collapsed="false">
      <c r="A101" s="334" t="n">
        <v>10</v>
      </c>
      <c r="B101" s="269" t="n">
        <v>38991</v>
      </c>
      <c r="C101" s="352" t="n">
        <f aca="false">VLOOKUP(A101,$A$5:$I$16,9)</f>
        <v>47.89323737</v>
      </c>
    </row>
    <row r="102" customFormat="false" ht="15.75" hidden="false" customHeight="false" outlineLevel="0" collapsed="false">
      <c r="A102" s="334" t="n">
        <v>11</v>
      </c>
      <c r="B102" s="269" t="n">
        <v>39022</v>
      </c>
      <c r="C102" s="352" t="n">
        <f aca="false">VLOOKUP(A102,$A$5:$I$16,9)</f>
        <v>50.22016553</v>
      </c>
    </row>
    <row r="103" customFormat="false" ht="15.75" hidden="false" customHeight="false" outlineLevel="0" collapsed="false">
      <c r="A103" s="334" t="n">
        <v>12</v>
      </c>
      <c r="B103" s="269" t="n">
        <v>39052</v>
      </c>
      <c r="C103" s="352" t="n">
        <f aca="false">VLOOKUP(A103,$A$5:$I$16,9)</f>
        <v>50.22016553</v>
      </c>
      <c r="D103" s="342" t="n">
        <f aca="false">SUM(C92:C103)</f>
        <v>860.10801776</v>
      </c>
    </row>
    <row r="104" customFormat="false" ht="15.75" hidden="false" customHeight="false" outlineLevel="0" collapsed="false">
      <c r="A104" s="334" t="n">
        <v>1</v>
      </c>
      <c r="B104" s="269" t="n">
        <v>39083</v>
      </c>
      <c r="C104" s="352" t="n">
        <f aca="false">VLOOKUP(A116,$A$5:$J$16,10)</f>
        <v>47.92342798</v>
      </c>
    </row>
    <row r="105" customFormat="false" ht="15.75" hidden="false" customHeight="false" outlineLevel="0" collapsed="false">
      <c r="A105" s="334" t="n">
        <v>2</v>
      </c>
      <c r="B105" s="269" t="n">
        <v>39114</v>
      </c>
      <c r="C105" s="352" t="n">
        <f aca="false">VLOOKUP(A117,$A$5:$J$16,10)</f>
        <v>41.7504818</v>
      </c>
    </row>
    <row r="106" customFormat="false" ht="15.75" hidden="false" customHeight="false" outlineLevel="0" collapsed="false">
      <c r="A106" s="334" t="n">
        <v>3</v>
      </c>
      <c r="B106" s="269" t="n">
        <v>39142</v>
      </c>
      <c r="C106" s="352" t="n">
        <f aca="false">VLOOKUP(A118,$A$5:$J$16,10)</f>
        <v>41.7504818</v>
      </c>
    </row>
    <row r="107" customFormat="false" ht="15.75" hidden="false" customHeight="false" outlineLevel="0" collapsed="false">
      <c r="A107" s="334" t="n">
        <v>4</v>
      </c>
      <c r="B107" s="269" t="n">
        <v>39173</v>
      </c>
      <c r="C107" s="352" t="n">
        <f aca="false">VLOOKUP(A119,$A$5:$J$16,10)</f>
        <v>46.21525271</v>
      </c>
    </row>
    <row r="108" customFormat="false" ht="15.75" hidden="false" customHeight="false" outlineLevel="0" collapsed="false">
      <c r="A108" s="334" t="n">
        <v>5</v>
      </c>
      <c r="B108" s="269" t="n">
        <v>39203</v>
      </c>
      <c r="C108" s="352" t="n">
        <f aca="false">VLOOKUP(A120,$A$5:$J$16,10)</f>
        <v>58.91594225</v>
      </c>
    </row>
    <row r="109" customFormat="false" ht="15.75" hidden="false" customHeight="false" outlineLevel="0" collapsed="false">
      <c r="A109" s="334" t="n">
        <v>6</v>
      </c>
      <c r="B109" s="269" t="n">
        <v>39234</v>
      </c>
      <c r="C109" s="352" t="n">
        <f aca="false">VLOOKUP(A121,$A$5:$J$16,10)</f>
        <v>109.4849347</v>
      </c>
    </row>
    <row r="110" customFormat="false" ht="15.75" hidden="false" customHeight="false" outlineLevel="0" collapsed="false">
      <c r="A110" s="334" t="n">
        <v>7</v>
      </c>
      <c r="B110" s="269" t="n">
        <v>39264</v>
      </c>
      <c r="C110" s="352" t="n">
        <f aca="false">VLOOKUP(A122,$A$5:$J$16,10)</f>
        <v>178.5405433</v>
      </c>
    </row>
    <row r="111" customFormat="false" ht="15.75" hidden="false" customHeight="false" outlineLevel="0" collapsed="false">
      <c r="A111" s="334" t="n">
        <v>8</v>
      </c>
      <c r="B111" s="269" t="n">
        <v>39295</v>
      </c>
      <c r="C111" s="352" t="n">
        <f aca="false">VLOOKUP(A123,$A$5:$J$16,10)</f>
        <v>178.5405433</v>
      </c>
    </row>
    <row r="112" customFormat="false" ht="15.75" hidden="false" customHeight="false" outlineLevel="0" collapsed="false">
      <c r="A112" s="334" t="n">
        <v>9</v>
      </c>
      <c r="B112" s="269" t="n">
        <v>39326</v>
      </c>
      <c r="C112" s="352" t="n">
        <f aca="false">VLOOKUP(A124,$A$5:$J$16,10)</f>
        <v>58.91594225</v>
      </c>
    </row>
    <row r="113" customFormat="false" ht="15.75" hidden="false" customHeight="false" outlineLevel="0" collapsed="false">
      <c r="A113" s="334" t="n">
        <v>10</v>
      </c>
      <c r="B113" s="269" t="n">
        <v>39356</v>
      </c>
      <c r="C113" s="352" t="n">
        <f aca="false">VLOOKUP(A125,$A$5:$J$16,10)</f>
        <v>47.94577269</v>
      </c>
    </row>
    <row r="114" customFormat="false" ht="15.75" hidden="false" customHeight="false" outlineLevel="0" collapsed="false">
      <c r="A114" s="334" t="n">
        <v>11</v>
      </c>
      <c r="B114" s="269" t="n">
        <v>39387</v>
      </c>
      <c r="C114" s="352" t="n">
        <f aca="false">VLOOKUP(A126,$A$5:$J$16,10)</f>
        <v>50.24281372</v>
      </c>
    </row>
    <row r="115" customFormat="false" ht="15.75" hidden="false" customHeight="false" outlineLevel="0" collapsed="false">
      <c r="A115" s="334" t="n">
        <v>12</v>
      </c>
      <c r="B115" s="269" t="n">
        <v>39417</v>
      </c>
      <c r="C115" s="352" t="n">
        <f aca="false">VLOOKUP(A127,$A$5:$J$16,10)</f>
        <v>50.24281372</v>
      </c>
      <c r="D115" s="342" t="n">
        <f aca="false">SUM(C104:C115)</f>
        <v>910.46895022</v>
      </c>
    </row>
    <row r="116" customFormat="false" ht="15.75" hidden="false" customHeight="false" outlineLevel="0" collapsed="false">
      <c r="A116" s="334" t="n">
        <v>1</v>
      </c>
      <c r="B116" s="269" t="n">
        <v>39448</v>
      </c>
      <c r="C116" s="352" t="n">
        <f aca="false">VLOOKUP(A128,$A$5:$K$16,11)</f>
        <v>47.85133447</v>
      </c>
    </row>
    <row r="117" customFormat="false" ht="15.75" hidden="false" customHeight="false" outlineLevel="0" collapsed="false">
      <c r="A117" s="334" t="n">
        <v>2</v>
      </c>
      <c r="B117" s="269" t="n">
        <v>39479</v>
      </c>
      <c r="C117" s="352" t="n">
        <f aca="false">VLOOKUP(A129,$A$5:$K$16,11)</f>
        <v>41.74533822</v>
      </c>
    </row>
    <row r="118" customFormat="false" ht="15.75" hidden="false" customHeight="false" outlineLevel="0" collapsed="false">
      <c r="A118" s="334" t="n">
        <v>3</v>
      </c>
      <c r="B118" s="269" t="n">
        <v>39508</v>
      </c>
      <c r="C118" s="352" t="n">
        <f aca="false">VLOOKUP(A130,$A$5:$K$16,11)</f>
        <v>41.74533822</v>
      </c>
    </row>
    <row r="119" customFormat="false" ht="15.75" hidden="false" customHeight="false" outlineLevel="0" collapsed="false">
      <c r="A119" s="334" t="n">
        <v>4</v>
      </c>
      <c r="B119" s="269" t="n">
        <v>39539</v>
      </c>
      <c r="C119" s="352" t="n">
        <f aca="false">VLOOKUP(A131,$A$5:$K$16,11)</f>
        <v>46.1955177</v>
      </c>
    </row>
    <row r="120" customFormat="false" ht="15.75" hidden="false" customHeight="false" outlineLevel="0" collapsed="false">
      <c r="A120" s="334" t="n">
        <v>5</v>
      </c>
      <c r="B120" s="269" t="n">
        <v>39569</v>
      </c>
      <c r="C120" s="352" t="n">
        <f aca="false">VLOOKUP(A132,$A$5:$K$16,11)</f>
        <v>59.03008888</v>
      </c>
    </row>
    <row r="121" customFormat="false" ht="15.75" hidden="false" customHeight="false" outlineLevel="0" collapsed="false">
      <c r="A121" s="334" t="n">
        <v>6</v>
      </c>
      <c r="B121" s="269" t="n">
        <v>39600</v>
      </c>
      <c r="C121" s="352" t="n">
        <f aca="false">VLOOKUP(A133,$A$5:$K$16,11)</f>
        <v>109.5895077</v>
      </c>
    </row>
    <row r="122" customFormat="false" ht="15.75" hidden="false" customHeight="false" outlineLevel="0" collapsed="false">
      <c r="A122" s="334" t="n">
        <v>7</v>
      </c>
      <c r="B122" s="269" t="n">
        <v>39630</v>
      </c>
      <c r="C122" s="352" t="n">
        <f aca="false">VLOOKUP(A134,$A$5:$K$16,11)</f>
        <v>178.8034081</v>
      </c>
    </row>
    <row r="123" customFormat="false" ht="15.75" hidden="false" customHeight="false" outlineLevel="0" collapsed="false">
      <c r="A123" s="334" t="n">
        <v>8</v>
      </c>
      <c r="B123" s="269" t="n">
        <v>39661</v>
      </c>
      <c r="C123" s="352" t="n">
        <f aca="false">VLOOKUP(A135,$A$5:$K$16,11)</f>
        <v>178.8034081</v>
      </c>
    </row>
    <row r="124" customFormat="false" ht="15.75" hidden="false" customHeight="false" outlineLevel="0" collapsed="false">
      <c r="A124" s="334" t="n">
        <v>9</v>
      </c>
      <c r="B124" s="269" t="n">
        <v>39692</v>
      </c>
      <c r="C124" s="352" t="n">
        <f aca="false">VLOOKUP(A136,$A$5:$K$16,11)</f>
        <v>59.03008888</v>
      </c>
    </row>
    <row r="125" customFormat="false" ht="15.75" hidden="false" customHeight="false" outlineLevel="0" collapsed="false">
      <c r="A125" s="334" t="n">
        <v>10</v>
      </c>
      <c r="B125" s="269" t="n">
        <v>39722</v>
      </c>
      <c r="C125" s="352" t="n">
        <f aca="false">VLOOKUP(A137,$A$5:$K$16,11)</f>
        <v>48.05146355</v>
      </c>
    </row>
    <row r="126" customFormat="false" ht="15.75" hidden="false" customHeight="false" outlineLevel="0" collapsed="false">
      <c r="A126" s="334" t="n">
        <v>11</v>
      </c>
      <c r="B126" s="269" t="n">
        <v>39753</v>
      </c>
      <c r="C126" s="352" t="n">
        <f aca="false">VLOOKUP(A138,$A$5:$K$16,11)</f>
        <v>50.28623719</v>
      </c>
    </row>
    <row r="127" customFormat="false" ht="15.75" hidden="false" customHeight="false" outlineLevel="0" collapsed="false">
      <c r="A127" s="334" t="n">
        <v>12</v>
      </c>
      <c r="B127" s="269" t="n">
        <v>39783</v>
      </c>
      <c r="C127" s="352" t="n">
        <f aca="false">VLOOKUP(A139,$A$5:$K$16,11)</f>
        <v>50.28623719</v>
      </c>
      <c r="D127" s="342" t="n">
        <f aca="false">SUM(C116:C127)</f>
        <v>911.4179682</v>
      </c>
    </row>
    <row r="128" customFormat="false" ht="15.75" hidden="false" customHeight="false" outlineLevel="0" collapsed="false">
      <c r="A128" s="334" t="n">
        <v>1</v>
      </c>
      <c r="B128" s="269" t="n">
        <v>39814</v>
      </c>
      <c r="C128" s="352" t="n">
        <f aca="false">VLOOKUP(A140,$A$5:$L$16,12)</f>
        <v>47.80079544</v>
      </c>
    </row>
    <row r="129" customFormat="false" ht="15.75" hidden="false" customHeight="false" outlineLevel="0" collapsed="false">
      <c r="A129" s="334" t="n">
        <v>2</v>
      </c>
      <c r="B129" s="269" t="n">
        <v>39845</v>
      </c>
      <c r="C129" s="352" t="n">
        <f aca="false">VLOOKUP(A141,$A$5:$L$16,12)</f>
        <v>41.75988855</v>
      </c>
    </row>
    <row r="130" customFormat="false" ht="15.75" hidden="false" customHeight="false" outlineLevel="0" collapsed="false">
      <c r="A130" s="334" t="n">
        <v>3</v>
      </c>
      <c r="B130" s="269" t="n">
        <v>39873</v>
      </c>
      <c r="C130" s="352" t="n">
        <f aca="false">VLOOKUP(A142,$A$5:$L$16,12)</f>
        <v>41.75988855</v>
      </c>
    </row>
    <row r="131" customFormat="false" ht="15.75" hidden="false" customHeight="false" outlineLevel="0" collapsed="false">
      <c r="A131" s="334" t="n">
        <v>4</v>
      </c>
      <c r="B131" s="269" t="n">
        <v>39904</v>
      </c>
      <c r="C131" s="352" t="n">
        <f aca="false">VLOOKUP(A143,$A$5:$L$16,12)</f>
        <v>46.22596667</v>
      </c>
    </row>
    <row r="132" customFormat="false" ht="15.75" hidden="false" customHeight="false" outlineLevel="0" collapsed="false">
      <c r="A132" s="334" t="n">
        <v>5</v>
      </c>
      <c r="B132" s="269" t="n">
        <v>39934</v>
      </c>
      <c r="C132" s="352" t="n">
        <f aca="false">VLOOKUP(A144,$A$5:$L$16,12)</f>
        <v>58.18528975</v>
      </c>
    </row>
    <row r="133" customFormat="false" ht="15.75" hidden="false" customHeight="false" outlineLevel="0" collapsed="false">
      <c r="A133" s="334" t="n">
        <v>6</v>
      </c>
      <c r="B133" s="269" t="n">
        <v>39965</v>
      </c>
      <c r="C133" s="352" t="n">
        <f aca="false">VLOOKUP(A145,$A$5:$L$16,12)</f>
        <v>107.2189119</v>
      </c>
    </row>
    <row r="134" customFormat="false" ht="15.75" hidden="false" customHeight="false" outlineLevel="0" collapsed="false">
      <c r="A134" s="334" t="n">
        <v>7</v>
      </c>
      <c r="B134" s="269" t="n">
        <v>39995</v>
      </c>
      <c r="C134" s="352" t="n">
        <f aca="false">VLOOKUP(A146,$A$5:$L$16,12)</f>
        <v>170.3407149</v>
      </c>
    </row>
    <row r="135" customFormat="false" ht="15.75" hidden="false" customHeight="false" outlineLevel="0" collapsed="false">
      <c r="A135" s="334" t="n">
        <v>8</v>
      </c>
      <c r="B135" s="269" t="n">
        <v>40026</v>
      </c>
      <c r="C135" s="352" t="n">
        <f aca="false">VLOOKUP(A147,$A$5:$L$16,12)</f>
        <v>170.3407149</v>
      </c>
    </row>
    <row r="136" customFormat="false" ht="15.75" hidden="false" customHeight="false" outlineLevel="0" collapsed="false">
      <c r="A136" s="334" t="n">
        <v>9</v>
      </c>
      <c r="B136" s="269" t="n">
        <v>40057</v>
      </c>
      <c r="C136" s="352" t="n">
        <f aca="false">VLOOKUP(A148,$A$5:$L$16,12)</f>
        <v>58.18528975</v>
      </c>
    </row>
    <row r="137" customFormat="false" ht="15.75" hidden="false" customHeight="false" outlineLevel="0" collapsed="false">
      <c r="A137" s="334" t="n">
        <v>10</v>
      </c>
      <c r="B137" s="269" t="n">
        <v>40087</v>
      </c>
      <c r="C137" s="352" t="n">
        <f aca="false">VLOOKUP(A149,$A$5:$L$16,12)</f>
        <v>48.07464147</v>
      </c>
    </row>
    <row r="138" customFormat="false" ht="15.75" hidden="false" customHeight="false" outlineLevel="0" collapsed="false">
      <c r="A138" s="334" t="n">
        <v>11</v>
      </c>
      <c r="B138" s="269" t="n">
        <v>40118</v>
      </c>
      <c r="C138" s="352" t="n">
        <f aca="false">VLOOKUP(A150,$A$5:$L$16,12)</f>
        <v>50.29950214</v>
      </c>
    </row>
    <row r="139" customFormat="false" ht="15.75" hidden="false" customHeight="false" outlineLevel="0" collapsed="false">
      <c r="A139" s="334" t="n">
        <v>12</v>
      </c>
      <c r="B139" s="269" t="n">
        <v>40148</v>
      </c>
      <c r="C139" s="352" t="n">
        <f aca="false">VLOOKUP(A151,$A$5:$L$16,12)</f>
        <v>50.29950214</v>
      </c>
      <c r="D139" s="342" t="n">
        <f aca="false">SUM(C128:C139)</f>
        <v>890.49110616</v>
      </c>
    </row>
    <row r="140" customFormat="false" ht="15.75" hidden="false" customHeight="false" outlineLevel="0" collapsed="false">
      <c r="A140" s="334" t="n">
        <v>1</v>
      </c>
      <c r="B140" s="269" t="n">
        <v>40179</v>
      </c>
      <c r="C140" s="352" t="n">
        <f aca="false">VLOOKUP(A152,$A$5:$M$16,13)</f>
        <v>47.72765945</v>
      </c>
    </row>
    <row r="141" customFormat="false" ht="15.75" hidden="false" customHeight="false" outlineLevel="0" collapsed="false">
      <c r="A141" s="334" t="n">
        <v>2</v>
      </c>
      <c r="B141" s="269" t="n">
        <v>40210</v>
      </c>
      <c r="C141" s="352" t="n">
        <f aca="false">VLOOKUP(A153,$A$5:$M$16,13)</f>
        <v>41.83490537</v>
      </c>
    </row>
    <row r="142" customFormat="false" ht="15.75" hidden="false" customHeight="false" outlineLevel="0" collapsed="false">
      <c r="A142" s="334" t="n">
        <v>3</v>
      </c>
      <c r="B142" s="269" t="n">
        <v>40238</v>
      </c>
      <c r="C142" s="352" t="n">
        <f aca="false">VLOOKUP(A154,$A$5:$M$16,13)</f>
        <v>41.83490537</v>
      </c>
    </row>
    <row r="143" customFormat="false" ht="15.75" hidden="false" customHeight="false" outlineLevel="0" collapsed="false">
      <c r="A143" s="334" t="n">
        <v>4</v>
      </c>
      <c r="B143" s="269" t="n">
        <v>40269</v>
      </c>
      <c r="C143" s="352" t="n">
        <f aca="false">VLOOKUP(A155,$A$5:$M$16,13)</f>
        <v>46.24548628</v>
      </c>
    </row>
    <row r="144" customFormat="false" ht="15.75" hidden="false" customHeight="false" outlineLevel="0" collapsed="false">
      <c r="A144" s="334" t="n">
        <v>5</v>
      </c>
      <c r="B144" s="269" t="n">
        <v>40299</v>
      </c>
      <c r="C144" s="352" t="n">
        <f aca="false">VLOOKUP(A156,$A$5:$M$16,13)</f>
        <v>58.18610721</v>
      </c>
    </row>
    <row r="145" customFormat="false" ht="15.75" hidden="false" customHeight="false" outlineLevel="0" collapsed="false">
      <c r="A145" s="334" t="n">
        <v>6</v>
      </c>
      <c r="B145" s="269" t="n">
        <v>40330</v>
      </c>
      <c r="C145" s="352" t="n">
        <f aca="false">VLOOKUP(A157,$A$5:$M$16,13)</f>
        <v>107.1349637</v>
      </c>
    </row>
    <row r="146" customFormat="false" ht="15.75" hidden="false" customHeight="false" outlineLevel="0" collapsed="false">
      <c r="A146" s="334" t="n">
        <v>7</v>
      </c>
      <c r="B146" s="269" t="n">
        <v>40360</v>
      </c>
      <c r="C146" s="352" t="n">
        <f aca="false">VLOOKUP(A158,$A$5:$M$16,13)</f>
        <v>170.0454989</v>
      </c>
    </row>
    <row r="147" customFormat="false" ht="15.75" hidden="false" customHeight="false" outlineLevel="0" collapsed="false">
      <c r="A147" s="334" t="n">
        <v>8</v>
      </c>
      <c r="B147" s="269" t="n">
        <v>40391</v>
      </c>
      <c r="C147" s="352" t="n">
        <f aca="false">VLOOKUP(A159,$A$5:$M$16,13)</f>
        <v>170.0454989</v>
      </c>
    </row>
    <row r="148" customFormat="false" ht="15.75" hidden="false" customHeight="false" outlineLevel="0" collapsed="false">
      <c r="A148" s="334" t="n">
        <v>9</v>
      </c>
      <c r="B148" s="269" t="n">
        <v>40422</v>
      </c>
      <c r="C148" s="352" t="n">
        <f aca="false">VLOOKUP(A160,$A$5:$M$16,13)</f>
        <v>58.18610721</v>
      </c>
    </row>
    <row r="149" customFormat="false" ht="15.75" hidden="false" customHeight="false" outlineLevel="0" collapsed="false">
      <c r="A149" s="334" t="n">
        <v>10</v>
      </c>
      <c r="B149" s="269" t="n">
        <v>40452</v>
      </c>
      <c r="C149" s="352" t="n">
        <f aca="false">VLOOKUP(A161,$A$5:$M$16,13)</f>
        <v>48.12568278</v>
      </c>
    </row>
    <row r="150" customFormat="false" ht="15.75" hidden="false" customHeight="false" outlineLevel="0" collapsed="false">
      <c r="A150" s="334" t="n">
        <v>11</v>
      </c>
      <c r="B150" s="269" t="n">
        <v>40483</v>
      </c>
      <c r="C150" s="352" t="n">
        <f aca="false">VLOOKUP(A162,$A$5:$M$16,13)</f>
        <v>50.2925288</v>
      </c>
    </row>
    <row r="151" customFormat="false" ht="15.75" hidden="false" customHeight="false" outlineLevel="0" collapsed="false">
      <c r="A151" s="334" t="n">
        <v>12</v>
      </c>
      <c r="B151" s="269" t="n">
        <v>40513</v>
      </c>
      <c r="C151" s="352" t="n">
        <f aca="false">VLOOKUP(A163,$A$5:$M$16,13)</f>
        <v>50.2925288</v>
      </c>
      <c r="D151" s="342" t="n">
        <f aca="false">SUM(C140:C151)</f>
        <v>889.95187277</v>
      </c>
    </row>
    <row r="152" customFormat="false" ht="15.75" hidden="false" customHeight="false" outlineLevel="0" collapsed="false">
      <c r="A152" s="334" t="n">
        <v>1</v>
      </c>
      <c r="B152" s="269" t="n">
        <v>40544</v>
      </c>
      <c r="C152" s="352" t="n">
        <f aca="false">VLOOKUP(A164,$A$5:$N$16,14)</f>
        <v>47.62705285</v>
      </c>
    </row>
    <row r="153" customFormat="false" ht="15.75" hidden="false" customHeight="false" outlineLevel="0" collapsed="false">
      <c r="A153" s="334" t="n">
        <v>2</v>
      </c>
      <c r="B153" s="269" t="n">
        <v>40575</v>
      </c>
      <c r="C153" s="352" t="n">
        <f aca="false">VLOOKUP(A165,$A$5:$N$16,14)</f>
        <v>41.87551191</v>
      </c>
    </row>
    <row r="154" customFormat="false" ht="15.75" hidden="false" customHeight="false" outlineLevel="0" collapsed="false">
      <c r="A154" s="334" t="n">
        <v>3</v>
      </c>
      <c r="B154" s="269" t="n">
        <v>40603</v>
      </c>
      <c r="C154" s="352" t="n">
        <f aca="false">VLOOKUP(A166,$A$5:$N$16,14)</f>
        <v>41.87551191</v>
      </c>
    </row>
    <row r="155" customFormat="false" ht="15.75" hidden="false" customHeight="false" outlineLevel="0" collapsed="false">
      <c r="A155" s="334" t="n">
        <v>4</v>
      </c>
      <c r="B155" s="269" t="n">
        <v>40634</v>
      </c>
      <c r="C155" s="352" t="n">
        <f aca="false">VLOOKUP(A167,$A$5:$N$16,14)</f>
        <v>46.28657328</v>
      </c>
    </row>
    <row r="156" customFormat="false" ht="15.75" hidden="false" customHeight="false" outlineLevel="0" collapsed="false">
      <c r="A156" s="334" t="n">
        <v>5</v>
      </c>
      <c r="B156" s="269" t="n">
        <v>40664</v>
      </c>
      <c r="C156" s="352" t="n">
        <f aca="false">VLOOKUP(A168,$A$5:$N$16,14)</f>
        <v>57.01879661</v>
      </c>
    </row>
    <row r="157" customFormat="false" ht="15.75" hidden="false" customHeight="false" outlineLevel="0" collapsed="false">
      <c r="A157" s="334" t="n">
        <v>6</v>
      </c>
      <c r="B157" s="269" t="n">
        <v>40695</v>
      </c>
      <c r="C157" s="352" t="n">
        <f aca="false">VLOOKUP(A169,$A$5:$N$16,14)</f>
        <v>104.3683817</v>
      </c>
    </row>
    <row r="158" customFormat="false" ht="15.75" hidden="false" customHeight="false" outlineLevel="0" collapsed="false">
      <c r="A158" s="334" t="n">
        <v>7</v>
      </c>
      <c r="B158" s="269" t="n">
        <v>40725</v>
      </c>
      <c r="C158" s="352" t="n">
        <f aca="false">VLOOKUP(A170,$A$5:$N$16,14)</f>
        <v>163.524851</v>
      </c>
    </row>
    <row r="159" customFormat="false" ht="15.75" hidden="false" customHeight="false" outlineLevel="0" collapsed="false">
      <c r="A159" s="334" t="n">
        <v>8</v>
      </c>
      <c r="B159" s="269" t="n">
        <v>40756</v>
      </c>
      <c r="C159" s="352" t="n">
        <f aca="false">VLOOKUP(A171,$A$5:$N$16,14)</f>
        <v>163.524851</v>
      </c>
    </row>
    <row r="160" customFormat="false" ht="15.75" hidden="false" customHeight="false" outlineLevel="0" collapsed="false">
      <c r="A160" s="334" t="n">
        <v>9</v>
      </c>
      <c r="B160" s="269" t="n">
        <v>40787</v>
      </c>
      <c r="C160" s="352" t="n">
        <f aca="false">VLOOKUP(A172,$A$5:$N$16,14)</f>
        <v>57.01879661</v>
      </c>
    </row>
    <row r="161" customFormat="false" ht="15.75" hidden="false" customHeight="false" outlineLevel="0" collapsed="false">
      <c r="A161" s="334" t="n">
        <v>10</v>
      </c>
      <c r="B161" s="269" t="n">
        <v>40817</v>
      </c>
      <c r="C161" s="352" t="n">
        <f aca="false">VLOOKUP(A173,$A$5:$N$16,14)</f>
        <v>48.206388</v>
      </c>
    </row>
    <row r="162" customFormat="false" ht="15.75" hidden="false" customHeight="false" outlineLevel="0" collapsed="false">
      <c r="A162" s="334" t="n">
        <v>11</v>
      </c>
      <c r="B162" s="269" t="n">
        <v>40848</v>
      </c>
      <c r="C162" s="352" t="n">
        <f aca="false">VLOOKUP(A174,$A$5:$N$16,14)</f>
        <v>50.32686254</v>
      </c>
    </row>
    <row r="163" customFormat="false" ht="15.75" hidden="false" customHeight="false" outlineLevel="0" collapsed="false">
      <c r="A163" s="334" t="n">
        <v>12</v>
      </c>
      <c r="B163" s="269" t="n">
        <v>40878</v>
      </c>
      <c r="C163" s="352" t="n">
        <f aca="false">VLOOKUP(A175,$A$5:$N$16,14)</f>
        <v>50.32686254</v>
      </c>
      <c r="D163" s="342" t="n">
        <f aca="false">SUM(C152:C163)</f>
        <v>871.98043995</v>
      </c>
    </row>
    <row r="164" customFormat="false" ht="15.75" hidden="false" customHeight="false" outlineLevel="0" collapsed="false">
      <c r="A164" s="334" t="n">
        <v>1</v>
      </c>
      <c r="B164" s="269" t="n">
        <v>40909</v>
      </c>
      <c r="C164" s="352" t="n">
        <f aca="false">VLOOKUP(A176,$A$5:$O$16,15)</f>
        <v>47.54301127</v>
      </c>
    </row>
    <row r="165" customFormat="false" ht="15.75" hidden="false" customHeight="false" outlineLevel="0" collapsed="false">
      <c r="A165" s="334" t="n">
        <v>2</v>
      </c>
      <c r="B165" s="269" t="n">
        <v>40940</v>
      </c>
      <c r="C165" s="352" t="n">
        <f aca="false">VLOOKUP(A177,$A$5:$O$16,15)</f>
        <v>41.83522617</v>
      </c>
    </row>
    <row r="166" customFormat="false" ht="15.75" hidden="false" customHeight="false" outlineLevel="0" collapsed="false">
      <c r="A166" s="334" t="n">
        <v>3</v>
      </c>
      <c r="B166" s="269" t="n">
        <v>40969</v>
      </c>
      <c r="C166" s="352" t="n">
        <f aca="false">VLOOKUP(A178,$A$5:$O$16,15)</f>
        <v>41.83522617</v>
      </c>
    </row>
    <row r="167" customFormat="false" ht="15.75" hidden="false" customHeight="false" outlineLevel="0" collapsed="false">
      <c r="A167" s="334" t="n">
        <v>4</v>
      </c>
      <c r="B167" s="269" t="n">
        <v>41000</v>
      </c>
      <c r="C167" s="352" t="n">
        <f aca="false">VLOOKUP(A179,$A$5:$O$16,15)</f>
        <v>46.31470998</v>
      </c>
    </row>
    <row r="168" customFormat="false" ht="15.75" hidden="false" customHeight="false" outlineLevel="0" collapsed="false">
      <c r="A168" s="334" t="n">
        <v>5</v>
      </c>
      <c r="B168" s="269" t="n">
        <v>41030</v>
      </c>
      <c r="C168" s="352" t="n">
        <f aca="false">VLOOKUP(A180,$A$5:$O$16,15)</f>
        <v>56.01939042</v>
      </c>
    </row>
    <row r="169" customFormat="false" ht="15.75" hidden="false" customHeight="false" outlineLevel="0" collapsed="false">
      <c r="A169" s="334" t="n">
        <v>6</v>
      </c>
      <c r="B169" s="269" t="n">
        <v>41061</v>
      </c>
      <c r="C169" s="352" t="n">
        <f aca="false">VLOOKUP(A181,$A$5:$O$16,15)</f>
        <v>101.0272828</v>
      </c>
    </row>
    <row r="170" customFormat="false" ht="15.75" hidden="false" customHeight="false" outlineLevel="0" collapsed="false">
      <c r="A170" s="334" t="n">
        <v>7</v>
      </c>
      <c r="B170" s="269" t="n">
        <v>41091</v>
      </c>
      <c r="C170" s="352" t="n">
        <f aca="false">VLOOKUP(A182,$A$5:$O$16,15)</f>
        <v>155.5157721</v>
      </c>
    </row>
    <row r="171" customFormat="false" ht="15.75" hidden="false" customHeight="false" outlineLevel="0" collapsed="false">
      <c r="A171" s="334" t="n">
        <v>8</v>
      </c>
      <c r="B171" s="269" t="n">
        <v>41122</v>
      </c>
      <c r="C171" s="352" t="n">
        <f aca="false">VLOOKUP(A183,$A$5:$O$16,15)</f>
        <v>155.5157721</v>
      </c>
    </row>
    <row r="172" customFormat="false" ht="15.75" hidden="false" customHeight="false" outlineLevel="0" collapsed="false">
      <c r="A172" s="334" t="n">
        <v>9</v>
      </c>
      <c r="B172" s="269" t="n">
        <v>41153</v>
      </c>
      <c r="C172" s="352" t="n">
        <f aca="false">VLOOKUP(A184,$A$5:$O$16,15)</f>
        <v>56.01939042</v>
      </c>
    </row>
    <row r="173" customFormat="false" ht="15.75" hidden="false" customHeight="false" outlineLevel="0" collapsed="false">
      <c r="A173" s="334" t="n">
        <v>10</v>
      </c>
      <c r="B173" s="269" t="n">
        <v>41183</v>
      </c>
      <c r="C173" s="352" t="n">
        <f aca="false">VLOOKUP(A185,$A$5:$O$16,15)</f>
        <v>48.1723551</v>
      </c>
    </row>
    <row r="174" customFormat="false" ht="15.75" hidden="false" customHeight="false" outlineLevel="0" collapsed="false">
      <c r="A174" s="334" t="n">
        <v>11</v>
      </c>
      <c r="B174" s="269" t="n">
        <v>41214</v>
      </c>
      <c r="C174" s="352" t="n">
        <f aca="false">VLOOKUP(A186,$A$5:$O$16,15)</f>
        <v>50.32033665</v>
      </c>
    </row>
    <row r="175" customFormat="false" ht="15.75" hidden="false" customHeight="false" outlineLevel="0" collapsed="false">
      <c r="A175" s="334" t="n">
        <v>12</v>
      </c>
      <c r="B175" s="269" t="n">
        <v>41244</v>
      </c>
      <c r="C175" s="352" t="n">
        <f aca="false">VLOOKUP(A187,$A$5:$O$16,15)</f>
        <v>50.32033665</v>
      </c>
      <c r="D175" s="342" t="n">
        <f aca="false">SUM(C164:C175)</f>
        <v>850.43880983</v>
      </c>
    </row>
    <row r="176" customFormat="false" ht="15.75" hidden="false" customHeight="false" outlineLevel="0" collapsed="false">
      <c r="A176" s="334" t="n">
        <v>1</v>
      </c>
      <c r="B176" s="269" t="n">
        <v>41275</v>
      </c>
      <c r="C176" s="352" t="n">
        <f aca="false">VLOOKUP(A188,$A$5:$P$16,16)</f>
        <v>47.51406309</v>
      </c>
    </row>
    <row r="177" customFormat="false" ht="15.75" hidden="false" customHeight="false" outlineLevel="0" collapsed="false">
      <c r="A177" s="334" t="n">
        <v>2</v>
      </c>
      <c r="B177" s="269" t="n">
        <v>41306</v>
      </c>
      <c r="C177" s="352" t="n">
        <f aca="false">VLOOKUP(A189,$A$5:$P$16,16)</f>
        <v>41.85796283</v>
      </c>
    </row>
    <row r="178" customFormat="false" ht="15.75" hidden="false" customHeight="false" outlineLevel="0" collapsed="false">
      <c r="A178" s="334" t="n">
        <v>3</v>
      </c>
      <c r="B178" s="269" t="n">
        <v>41334</v>
      </c>
      <c r="C178" s="352" t="n">
        <f aca="false">VLOOKUP(A190,$A$5:$P$16,16)</f>
        <v>41.85796283</v>
      </c>
    </row>
    <row r="179" customFormat="false" ht="15.75" hidden="false" customHeight="false" outlineLevel="0" collapsed="false">
      <c r="A179" s="334" t="n">
        <v>4</v>
      </c>
      <c r="B179" s="269" t="n">
        <v>41365</v>
      </c>
      <c r="C179" s="352" t="n">
        <f aca="false">VLOOKUP(A191,$A$5:$P$16,16)</f>
        <v>46.34745426</v>
      </c>
    </row>
    <row r="180" customFormat="false" ht="15.75" hidden="false" customHeight="false" outlineLevel="0" collapsed="false">
      <c r="A180" s="334" t="n">
        <v>5</v>
      </c>
      <c r="B180" s="269" t="n">
        <v>41395</v>
      </c>
      <c r="C180" s="352" t="n">
        <f aca="false">VLOOKUP(A192,$A$5:$P$16,16)</f>
        <v>54.78527328</v>
      </c>
    </row>
    <row r="181" customFormat="false" ht="15.75" hidden="false" customHeight="false" outlineLevel="0" collapsed="false">
      <c r="A181" s="334" t="n">
        <v>6</v>
      </c>
      <c r="B181" s="269" t="n">
        <v>41426</v>
      </c>
      <c r="C181" s="352" t="n">
        <f aca="false">VLOOKUP(A193,$A$5:$P$16,16)</f>
        <v>97.5558604</v>
      </c>
    </row>
    <row r="182" customFormat="false" ht="15.75" hidden="false" customHeight="false" outlineLevel="0" collapsed="false">
      <c r="A182" s="334" t="n">
        <v>7</v>
      </c>
      <c r="B182" s="269" t="n">
        <v>41456</v>
      </c>
      <c r="C182" s="352" t="n">
        <f aca="false">VLOOKUP(A194,$A$5:$P$16,16)</f>
        <v>145.9959256</v>
      </c>
    </row>
    <row r="183" customFormat="false" ht="15.75" hidden="false" customHeight="false" outlineLevel="0" collapsed="false">
      <c r="A183" s="334" t="n">
        <v>8</v>
      </c>
      <c r="B183" s="269" t="n">
        <v>41487</v>
      </c>
      <c r="C183" s="352" t="n">
        <f aca="false">VLOOKUP(A195,$A$5:$P$16,16)</f>
        <v>145.9959256</v>
      </c>
    </row>
    <row r="184" customFormat="false" ht="15.75" hidden="false" customHeight="false" outlineLevel="0" collapsed="false">
      <c r="A184" s="334" t="n">
        <v>9</v>
      </c>
      <c r="B184" s="269" t="n">
        <v>41518</v>
      </c>
      <c r="C184" s="352" t="n">
        <f aca="false">VLOOKUP(A196,$A$5:$P$16,16)</f>
        <v>54.78527328</v>
      </c>
    </row>
    <row r="185" customFormat="false" ht="15.75" hidden="false" customHeight="false" outlineLevel="0" collapsed="false">
      <c r="A185" s="334" t="n">
        <v>10</v>
      </c>
      <c r="B185" s="269" t="n">
        <v>41548</v>
      </c>
      <c r="C185" s="352" t="n">
        <f aca="false">VLOOKUP(A197,$A$5:$P$16,16)</f>
        <v>48.17909686</v>
      </c>
    </row>
    <row r="186" customFormat="false" ht="15.75" hidden="false" customHeight="false" outlineLevel="0" collapsed="false">
      <c r="A186" s="334" t="n">
        <v>11</v>
      </c>
      <c r="B186" s="269" t="n">
        <v>41579</v>
      </c>
      <c r="C186" s="352" t="n">
        <f aca="false">VLOOKUP(A198,$A$5:$P$16,16)</f>
        <v>50.34494315</v>
      </c>
    </row>
    <row r="187" customFormat="false" ht="15.75" hidden="false" customHeight="false" outlineLevel="0" collapsed="false">
      <c r="A187" s="334" t="n">
        <v>12</v>
      </c>
      <c r="B187" s="269" t="n">
        <v>41609</v>
      </c>
      <c r="C187" s="352" t="n">
        <f aca="false">VLOOKUP(A199,$A$5:$P$16,16)</f>
        <v>50.34494315</v>
      </c>
      <c r="D187" s="342" t="n">
        <f aca="false">SUM(C176:C187)</f>
        <v>825.56468433</v>
      </c>
    </row>
    <row r="188" customFormat="false" ht="15.75" hidden="false" customHeight="false" outlineLevel="0" collapsed="false">
      <c r="A188" s="334" t="n">
        <v>1</v>
      </c>
      <c r="B188" s="269" t="n">
        <v>41640</v>
      </c>
      <c r="C188" s="352" t="n">
        <f aca="false">VLOOKUP(A200,$A$5:$Q$16,17)</f>
        <v>47.47247005</v>
      </c>
    </row>
    <row r="189" customFormat="false" ht="15.75" hidden="false" customHeight="false" outlineLevel="0" collapsed="false">
      <c r="A189" s="334" t="n">
        <v>2</v>
      </c>
      <c r="B189" s="269" t="n">
        <v>41671</v>
      </c>
      <c r="C189" s="352" t="n">
        <f aca="false">VLOOKUP(A201,$A$5:$Q$16,17)</f>
        <v>41.81925444</v>
      </c>
    </row>
    <row r="190" customFormat="false" ht="15.75" hidden="false" customHeight="false" outlineLevel="0" collapsed="false">
      <c r="A190" s="334" t="n">
        <v>3</v>
      </c>
      <c r="B190" s="269" t="n">
        <v>41699</v>
      </c>
      <c r="C190" s="352" t="n">
        <f aca="false">VLOOKUP(A202,$A$5:$Q$16,17)</f>
        <v>41.81925444</v>
      </c>
    </row>
    <row r="191" customFormat="false" ht="15.75" hidden="false" customHeight="false" outlineLevel="0" collapsed="false">
      <c r="A191" s="334" t="n">
        <v>4</v>
      </c>
      <c r="B191" s="269" t="n">
        <v>41730</v>
      </c>
      <c r="C191" s="352" t="n">
        <f aca="false">VLOOKUP(A203,$A$5:$Q$16,17)</f>
        <v>46.3648301</v>
      </c>
    </row>
    <row r="192" customFormat="false" ht="15.75" hidden="false" customHeight="false" outlineLevel="0" collapsed="false">
      <c r="A192" s="334" t="n">
        <v>5</v>
      </c>
      <c r="B192" s="269" t="n">
        <v>41760</v>
      </c>
      <c r="C192" s="352" t="n">
        <f aca="false">VLOOKUP(A204,$A$5:$Q$16,17)</f>
        <v>56.34821191</v>
      </c>
    </row>
    <row r="193" customFormat="false" ht="15.75" hidden="false" customHeight="false" outlineLevel="0" collapsed="false">
      <c r="A193" s="334" t="n">
        <v>6</v>
      </c>
      <c r="B193" s="269" t="n">
        <v>41791</v>
      </c>
      <c r="C193" s="352" t="n">
        <f aca="false">VLOOKUP(A205,$A$5:$Q$16,17)</f>
        <v>102.0899655</v>
      </c>
    </row>
    <row r="194" customFormat="false" ht="15.75" hidden="false" customHeight="false" outlineLevel="0" collapsed="false">
      <c r="A194" s="334" t="n">
        <v>7</v>
      </c>
      <c r="B194" s="269" t="n">
        <v>41821</v>
      </c>
      <c r="C194" s="352" t="n">
        <f aca="false">VLOOKUP(A206,$A$5:$Q$16,17)</f>
        <v>158.1097812</v>
      </c>
    </row>
    <row r="195" customFormat="false" ht="15.75" hidden="false" customHeight="false" outlineLevel="0" collapsed="false">
      <c r="A195" s="334" t="n">
        <v>8</v>
      </c>
      <c r="B195" s="269" t="n">
        <v>41852</v>
      </c>
      <c r="C195" s="352" t="n">
        <f aca="false">VLOOKUP(A207,$A$5:$Q$16,17)</f>
        <v>158.1097812</v>
      </c>
    </row>
    <row r="196" customFormat="false" ht="15.75" hidden="false" customHeight="false" outlineLevel="0" collapsed="false">
      <c r="A196" s="334" t="n">
        <v>9</v>
      </c>
      <c r="B196" s="269" t="n">
        <v>41883</v>
      </c>
      <c r="C196" s="352" t="n">
        <f aca="false">VLOOKUP(A208,$A$5:$Q$16,17)</f>
        <v>56.34821191</v>
      </c>
    </row>
    <row r="197" customFormat="false" ht="15.75" hidden="false" customHeight="false" outlineLevel="0" collapsed="false">
      <c r="A197" s="334" t="n">
        <v>10</v>
      </c>
      <c r="B197" s="269" t="n">
        <v>41913</v>
      </c>
      <c r="C197" s="352" t="n">
        <f aca="false">VLOOKUP(A209,$A$5:$Q$16,17)</f>
        <v>48.21415911</v>
      </c>
    </row>
    <row r="198" customFormat="false" ht="15.75" hidden="false" customHeight="false" outlineLevel="0" collapsed="false">
      <c r="A198" s="334" t="n">
        <v>11</v>
      </c>
      <c r="B198" s="269" t="n">
        <v>41944</v>
      </c>
      <c r="C198" s="352" t="n">
        <f aca="false">VLOOKUP(A210,$A$5:$Q$16,17)</f>
        <v>50.35945542</v>
      </c>
    </row>
    <row r="199" customFormat="false" ht="15.75" hidden="false" customHeight="false" outlineLevel="0" collapsed="false">
      <c r="A199" s="334" t="n">
        <v>12</v>
      </c>
      <c r="B199" s="269" t="n">
        <v>41974</v>
      </c>
      <c r="C199" s="352" t="n">
        <f aca="false">VLOOKUP(A211,$A$5:$Q$16,17)</f>
        <v>50.35945542</v>
      </c>
      <c r="D199" s="342" t="n">
        <f aca="false">SUM(C188:C199)</f>
        <v>857.4148307</v>
      </c>
    </row>
    <row r="200" customFormat="false" ht="15.75" hidden="false" customHeight="false" outlineLevel="0" collapsed="false">
      <c r="A200" s="334" t="n">
        <v>1</v>
      </c>
      <c r="B200" s="269" t="n">
        <v>42005</v>
      </c>
      <c r="C200" s="352" t="n">
        <f aca="false">VLOOKUP(A212,$A$5:$R$16,18)</f>
        <v>48.3116083</v>
      </c>
    </row>
    <row r="201" customFormat="false" ht="15.75" hidden="false" customHeight="false" outlineLevel="0" collapsed="false">
      <c r="A201" s="334" t="n">
        <v>2</v>
      </c>
      <c r="B201" s="269" t="n">
        <v>42036</v>
      </c>
      <c r="C201" s="352" t="n">
        <f aca="false">VLOOKUP(A213,$A$5:$R$16,18)</f>
        <v>42.66271256</v>
      </c>
    </row>
    <row r="202" customFormat="false" ht="15.75" hidden="false" customHeight="false" outlineLevel="0" collapsed="false">
      <c r="A202" s="334" t="n">
        <v>3</v>
      </c>
      <c r="B202" s="269" t="n">
        <v>42064</v>
      </c>
      <c r="C202" s="352" t="n">
        <f aca="false">VLOOKUP(A214,$A$5:$R$16,18)</f>
        <v>42.66271256</v>
      </c>
    </row>
    <row r="203" customFormat="false" ht="15.75" hidden="false" customHeight="false" outlineLevel="0" collapsed="false">
      <c r="A203" s="334" t="n">
        <v>4</v>
      </c>
      <c r="B203" s="269" t="n">
        <v>42095</v>
      </c>
      <c r="C203" s="352" t="n">
        <f aca="false">VLOOKUP(A215,$A$5:$R$16,18)</f>
        <v>47.22083987</v>
      </c>
    </row>
    <row r="204" customFormat="false" ht="15.75" hidden="false" customHeight="false" outlineLevel="0" collapsed="false">
      <c r="A204" s="334" t="n">
        <v>5</v>
      </c>
      <c r="B204" s="269" t="n">
        <v>42125</v>
      </c>
      <c r="C204" s="352" t="n">
        <f aca="false">VLOOKUP(A216,$A$5:$R$16,18)</f>
        <v>59.27864825</v>
      </c>
    </row>
    <row r="205" customFormat="false" ht="15.75" hidden="false" customHeight="false" outlineLevel="0" collapsed="false">
      <c r="A205" s="334" t="n">
        <v>6</v>
      </c>
      <c r="B205" s="269" t="n">
        <v>42156</v>
      </c>
      <c r="C205" s="352" t="n">
        <f aca="false">VLOOKUP(A217,$A$5:$R$16,18)</f>
        <v>107.5810825</v>
      </c>
    </row>
    <row r="206" customFormat="false" ht="15.75" hidden="false" customHeight="false" outlineLevel="0" collapsed="false">
      <c r="A206" s="334" t="n">
        <v>7</v>
      </c>
      <c r="B206" s="269" t="n">
        <v>42186</v>
      </c>
      <c r="C206" s="352" t="n">
        <f aca="false">VLOOKUP(A218,$A$5:$R$16,18)</f>
        <v>171.1435954</v>
      </c>
    </row>
    <row r="207" customFormat="false" ht="15.75" hidden="false" customHeight="false" outlineLevel="0" collapsed="false">
      <c r="A207" s="334" t="n">
        <v>8</v>
      </c>
      <c r="B207" s="269" t="n">
        <v>42217</v>
      </c>
      <c r="C207" s="352" t="n">
        <f aca="false">VLOOKUP(A219,$A$5:$R$16,18)</f>
        <v>171.1435954</v>
      </c>
    </row>
    <row r="208" customFormat="false" ht="15.75" hidden="false" customHeight="false" outlineLevel="0" collapsed="false">
      <c r="A208" s="334" t="n">
        <v>9</v>
      </c>
      <c r="B208" s="269" t="n">
        <v>42248</v>
      </c>
      <c r="C208" s="352" t="n">
        <f aca="false">VLOOKUP(A220,$A$5:$R$16,18)</f>
        <v>59.27864825</v>
      </c>
    </row>
    <row r="209" customFormat="false" ht="15.75" hidden="false" customHeight="false" outlineLevel="0" collapsed="false">
      <c r="A209" s="334" t="n">
        <v>10</v>
      </c>
      <c r="B209" s="269" t="n">
        <v>42278</v>
      </c>
      <c r="C209" s="352" t="n">
        <f aca="false">VLOOKUP(A221,$A$5:$R$16,18)</f>
        <v>49.6107409</v>
      </c>
    </row>
    <row r="210" customFormat="false" ht="15.75" hidden="false" customHeight="false" outlineLevel="0" collapsed="false">
      <c r="A210" s="334" t="n">
        <v>11</v>
      </c>
      <c r="B210" s="269" t="n">
        <v>42309</v>
      </c>
      <c r="C210" s="352" t="n">
        <f aca="false">VLOOKUP(A222,$A$5:$R$16,18)</f>
        <v>51.33971194</v>
      </c>
    </row>
    <row r="211" customFormat="false" ht="15.75" hidden="false" customHeight="false" outlineLevel="0" collapsed="false">
      <c r="A211" s="334" t="n">
        <v>12</v>
      </c>
      <c r="B211" s="269" t="n">
        <v>42339</v>
      </c>
      <c r="C211" s="352" t="n">
        <f aca="false">VLOOKUP(A223,$A$5:$R$16,18)</f>
        <v>51.33971194</v>
      </c>
      <c r="D211" s="342" t="n">
        <f aca="false">SUM(C200:C211)</f>
        <v>901.57360787</v>
      </c>
    </row>
    <row r="212" customFormat="false" ht="15.75" hidden="false" customHeight="false" outlineLevel="0" collapsed="false">
      <c r="A212" s="334" t="n">
        <v>1</v>
      </c>
      <c r="B212" s="269" t="n">
        <v>42370</v>
      </c>
      <c r="C212" s="352" t="n">
        <f aca="false">VLOOKUP(A224,$A$5:$S$16,19)</f>
        <v>48.27816185</v>
      </c>
    </row>
    <row r="213" customFormat="false" ht="15.75" hidden="false" customHeight="false" outlineLevel="0" collapsed="false">
      <c r="A213" s="334" t="n">
        <v>2</v>
      </c>
      <c r="B213" s="269" t="n">
        <v>42401</v>
      </c>
      <c r="C213" s="352" t="n">
        <f aca="false">VLOOKUP(A225,$A$5:$S$16,19)</f>
        <v>42.68139426</v>
      </c>
    </row>
    <row r="214" customFormat="false" ht="15.75" hidden="false" customHeight="false" outlineLevel="0" collapsed="false">
      <c r="A214" s="334" t="n">
        <v>3</v>
      </c>
      <c r="B214" s="269" t="n">
        <v>42430</v>
      </c>
      <c r="C214" s="352" t="n">
        <f aca="false">VLOOKUP(A226,$A$5:$S$16,19)</f>
        <v>42.68139426</v>
      </c>
    </row>
    <row r="215" customFormat="false" ht="15.75" hidden="false" customHeight="false" outlineLevel="0" collapsed="false">
      <c r="A215" s="334" t="n">
        <v>4</v>
      </c>
      <c r="B215" s="269" t="n">
        <v>42461</v>
      </c>
      <c r="C215" s="352" t="n">
        <f aca="false">VLOOKUP(A227,$A$5:$S$16,19)</f>
        <v>47.23554814</v>
      </c>
    </row>
    <row r="216" customFormat="false" ht="15.75" hidden="false" customHeight="false" outlineLevel="0" collapsed="false">
      <c r="A216" s="334" t="n">
        <v>5</v>
      </c>
      <c r="B216" s="269" t="n">
        <v>42491</v>
      </c>
      <c r="C216" s="352" t="n">
        <f aca="false">VLOOKUP(A228,$A$5:$S$16,19)</f>
        <v>60.2139652</v>
      </c>
    </row>
    <row r="217" customFormat="false" ht="15.75" hidden="false" customHeight="false" outlineLevel="0" collapsed="false">
      <c r="A217" s="334" t="n">
        <v>6</v>
      </c>
      <c r="B217" s="269" t="n">
        <v>42522</v>
      </c>
      <c r="C217" s="352" t="n">
        <f aca="false">VLOOKUP(A229,$A$5:$S$16,19)</f>
        <v>110.5573703</v>
      </c>
    </row>
    <row r="218" customFormat="false" ht="15.75" hidden="false" customHeight="false" outlineLevel="0" collapsed="false">
      <c r="A218" s="334" t="n">
        <v>7</v>
      </c>
      <c r="B218" s="269" t="n">
        <v>42552</v>
      </c>
      <c r="C218" s="352" t="n">
        <f aca="false">VLOOKUP(A230,$A$5:$S$16,19)</f>
        <v>180.9578376</v>
      </c>
    </row>
    <row r="219" customFormat="false" ht="15.75" hidden="false" customHeight="false" outlineLevel="0" collapsed="false">
      <c r="A219" s="334" t="n">
        <v>8</v>
      </c>
      <c r="B219" s="269" t="n">
        <v>42583</v>
      </c>
      <c r="C219" s="352" t="n">
        <f aca="false">VLOOKUP(A231,$A$5:$S$16,19)</f>
        <v>180.9578376</v>
      </c>
    </row>
    <row r="220" customFormat="false" ht="15.75" hidden="false" customHeight="false" outlineLevel="0" collapsed="false">
      <c r="A220" s="334" t="n">
        <v>9</v>
      </c>
      <c r="B220" s="269" t="n">
        <v>42614</v>
      </c>
      <c r="C220" s="352" t="n">
        <f aca="false">VLOOKUP(A232,$A$5:$S$16,19)</f>
        <v>60.2139652</v>
      </c>
    </row>
    <row r="221" customFormat="false" ht="15.75" hidden="false" customHeight="false" outlineLevel="0" collapsed="false">
      <c r="A221" s="334" t="n">
        <v>10</v>
      </c>
      <c r="B221" s="269" t="n">
        <v>42644</v>
      </c>
      <c r="C221" s="352" t="n">
        <f aca="false">VLOOKUP(A233,$A$5:$S$16,19)</f>
        <v>49.63534386</v>
      </c>
    </row>
    <row r="222" customFormat="false" ht="15.75" hidden="false" customHeight="false" outlineLevel="0" collapsed="false">
      <c r="A222" s="334" t="n">
        <v>11</v>
      </c>
      <c r="B222" s="269" t="n">
        <v>42675</v>
      </c>
      <c r="C222" s="352" t="n">
        <f aca="false">VLOOKUP(A234,$A$5:$S$16,19)</f>
        <v>51.33491865</v>
      </c>
    </row>
    <row r="223" customFormat="false" ht="15.75" hidden="false" customHeight="false" outlineLevel="0" collapsed="false">
      <c r="A223" s="334" t="n">
        <v>12</v>
      </c>
      <c r="B223" s="269" t="n">
        <v>42705</v>
      </c>
      <c r="C223" s="352" t="n">
        <f aca="false">VLOOKUP(A235,$A$5:$S$16,19)</f>
        <v>51.33491865</v>
      </c>
      <c r="D223" s="342" t="n">
        <f aca="false">SUM(C212:C223)</f>
        <v>926.08265557</v>
      </c>
    </row>
    <row r="224" customFormat="false" ht="15.75" hidden="false" customHeight="false" outlineLevel="0" collapsed="false">
      <c r="A224" s="334" t="n">
        <v>1</v>
      </c>
      <c r="B224" s="269" t="n">
        <v>42736</v>
      </c>
      <c r="C224" s="352" t="n">
        <f aca="false">VLOOKUP(A236,$A$5:$T$16,20)</f>
        <v>48.24132061</v>
      </c>
    </row>
    <row r="225" customFormat="false" ht="15.75" hidden="false" customHeight="false" outlineLevel="0" collapsed="false">
      <c r="A225" s="334" t="n">
        <v>2</v>
      </c>
      <c r="B225" s="269" t="n">
        <v>42767</v>
      </c>
      <c r="C225" s="352" t="n">
        <f aca="false">VLOOKUP(A237,$A$5:$T$16,20)</f>
        <v>42.64327304</v>
      </c>
    </row>
    <row r="226" customFormat="false" ht="15.75" hidden="false" customHeight="false" outlineLevel="0" collapsed="false">
      <c r="A226" s="334" t="n">
        <v>3</v>
      </c>
      <c r="B226" s="269" t="n">
        <v>42795</v>
      </c>
      <c r="C226" s="352" t="n">
        <f aca="false">VLOOKUP(A238,$A$5:$T$16,20)</f>
        <v>42.64327304</v>
      </c>
    </row>
    <row r="227" customFormat="false" ht="15.75" hidden="false" customHeight="false" outlineLevel="0" collapsed="false">
      <c r="A227" s="334" t="n">
        <v>4</v>
      </c>
      <c r="B227" s="269" t="n">
        <v>42826</v>
      </c>
      <c r="C227" s="352" t="n">
        <f aca="false">VLOOKUP(A239,$A$5:$T$16,20)</f>
        <v>47.27162574</v>
      </c>
    </row>
    <row r="228" customFormat="false" ht="15.75" hidden="false" customHeight="false" outlineLevel="0" collapsed="false">
      <c r="A228" s="334" t="n">
        <v>5</v>
      </c>
      <c r="B228" s="269" t="n">
        <v>42856</v>
      </c>
      <c r="C228" s="352" t="n">
        <f aca="false">VLOOKUP(A240,$A$5:$T$16,20)</f>
        <v>60.13343162</v>
      </c>
    </row>
    <row r="229" customFormat="false" ht="15.75" hidden="false" customHeight="false" outlineLevel="0" collapsed="false">
      <c r="A229" s="334" t="n">
        <v>6</v>
      </c>
      <c r="B229" s="269" t="n">
        <v>42887</v>
      </c>
      <c r="C229" s="352" t="n">
        <f aca="false">VLOOKUP(A241,$A$5:$T$16,20)</f>
        <v>110.1751727</v>
      </c>
    </row>
    <row r="230" customFormat="false" ht="15.75" hidden="false" customHeight="false" outlineLevel="0" collapsed="false">
      <c r="A230" s="334" t="n">
        <v>7</v>
      </c>
      <c r="B230" s="269" t="n">
        <v>42917</v>
      </c>
      <c r="C230" s="352" t="n">
        <f aca="false">VLOOKUP(A242,$A$5:$T$16,20)</f>
        <v>180.1084652</v>
      </c>
    </row>
    <row r="231" customFormat="false" ht="15.75" hidden="false" customHeight="false" outlineLevel="0" collapsed="false">
      <c r="A231" s="334" t="n">
        <v>8</v>
      </c>
      <c r="B231" s="269" t="n">
        <v>42948</v>
      </c>
      <c r="C231" s="352" t="n">
        <f aca="false">VLOOKUP(A243,$A$5:$T$16,20)</f>
        <v>180.1084652</v>
      </c>
    </row>
    <row r="232" customFormat="false" ht="15.75" hidden="false" customHeight="false" outlineLevel="0" collapsed="false">
      <c r="A232" s="334" t="n">
        <v>9</v>
      </c>
      <c r="B232" s="269" t="n">
        <v>42979</v>
      </c>
      <c r="C232" s="352" t="n">
        <f aca="false">VLOOKUP(A244,$A$5:$T$16,20)</f>
        <v>60.13343162</v>
      </c>
    </row>
    <row r="233" customFormat="false" ht="15.75" hidden="false" customHeight="false" outlineLevel="0" collapsed="false">
      <c r="A233" s="334" t="n">
        <v>10</v>
      </c>
      <c r="B233" s="269" t="n">
        <v>43009</v>
      </c>
      <c r="C233" s="352" t="n">
        <f aca="false">VLOOKUP(A245,$A$5:$T$16,20)</f>
        <v>49.71153984</v>
      </c>
    </row>
    <row r="234" customFormat="false" ht="15.75" hidden="false" customHeight="false" outlineLevel="0" collapsed="false">
      <c r="A234" s="334" t="n">
        <v>11</v>
      </c>
      <c r="B234" s="269" t="n">
        <v>43040</v>
      </c>
      <c r="C234" s="352" t="n">
        <f aca="false">VLOOKUP(A246,$A$5:$T$16,20)</f>
        <v>51.3302315</v>
      </c>
    </row>
    <row r="235" customFormat="false" ht="15.75" hidden="false" customHeight="false" outlineLevel="0" collapsed="false">
      <c r="A235" s="334" t="n">
        <v>12</v>
      </c>
      <c r="B235" s="269" t="n">
        <v>43070</v>
      </c>
      <c r="C235" s="352" t="n">
        <f aca="false">VLOOKUP(A247,$A$5:$T$16,20)</f>
        <v>51.3302315</v>
      </c>
      <c r="D235" s="342" t="n">
        <f aca="false">SUM(C224:C235)</f>
        <v>923.83046161</v>
      </c>
    </row>
    <row r="236" customFormat="false" ht="15.75" hidden="false" customHeight="false" outlineLevel="0" collapsed="false">
      <c r="A236" s="334" t="n">
        <v>1</v>
      </c>
      <c r="B236" s="269" t="n">
        <v>43101</v>
      </c>
      <c r="C236" s="352" t="n">
        <f aca="false">VLOOKUP(A248,$A$5:$U$16,21)</f>
        <v>48.23143288</v>
      </c>
    </row>
    <row r="237" customFormat="false" ht="15.75" hidden="false" customHeight="false" outlineLevel="0" collapsed="false">
      <c r="A237" s="334" t="n">
        <v>2</v>
      </c>
      <c r="B237" s="269" t="n">
        <v>43132</v>
      </c>
      <c r="C237" s="352" t="n">
        <f aca="false">VLOOKUP(A249,$A$5:$U$16,21)</f>
        <v>42.63475858</v>
      </c>
    </row>
    <row r="238" customFormat="false" ht="15.75" hidden="false" customHeight="false" outlineLevel="0" collapsed="false">
      <c r="A238" s="334" t="n">
        <v>3</v>
      </c>
      <c r="B238" s="269" t="n">
        <v>43160</v>
      </c>
      <c r="C238" s="352" t="n">
        <f aca="false">VLOOKUP(A250,$A$5:$U$16,21)</f>
        <v>42.63475858</v>
      </c>
    </row>
    <row r="239" customFormat="false" ht="15.75" hidden="false" customHeight="false" outlineLevel="0" collapsed="false">
      <c r="A239" s="334" t="n">
        <v>4</v>
      </c>
      <c r="B239" s="269" t="n">
        <v>43191</v>
      </c>
      <c r="C239" s="352" t="n">
        <f aca="false">VLOOKUP(A251,$A$5:$U$16,21)</f>
        <v>47.3161731</v>
      </c>
    </row>
    <row r="240" customFormat="false" ht="15.75" hidden="false" customHeight="false" outlineLevel="0" collapsed="false">
      <c r="A240" s="334" t="n">
        <v>5</v>
      </c>
      <c r="B240" s="269" t="n">
        <v>43221</v>
      </c>
      <c r="C240" s="352" t="n">
        <f aca="false">VLOOKUP(A252,$A$5:$U$16,21)</f>
        <v>60.23774956</v>
      </c>
    </row>
    <row r="241" customFormat="false" ht="15.75" hidden="false" customHeight="false" outlineLevel="0" collapsed="false">
      <c r="A241" s="334" t="n">
        <v>6</v>
      </c>
      <c r="B241" s="269" t="n">
        <v>43252</v>
      </c>
      <c r="C241" s="352" t="n">
        <f aca="false">VLOOKUP(A253,$A$5:$U$16,21)</f>
        <v>110.4394211</v>
      </c>
    </row>
    <row r="242" customFormat="false" ht="15.75" hidden="false" customHeight="false" outlineLevel="0" collapsed="false">
      <c r="A242" s="334" t="n">
        <v>7</v>
      </c>
      <c r="B242" s="269" t="n">
        <v>43282</v>
      </c>
      <c r="C242" s="352" t="n">
        <f aca="false">VLOOKUP(A254,$A$5:$U$16,21)</f>
        <v>180.7367205</v>
      </c>
    </row>
    <row r="243" customFormat="false" ht="15.75" hidden="false" customHeight="false" outlineLevel="0" collapsed="false">
      <c r="A243" s="334" t="n">
        <v>8</v>
      </c>
      <c r="B243" s="269" t="n">
        <v>43313</v>
      </c>
      <c r="C243" s="352" t="n">
        <f aca="false">VLOOKUP(A255,$A$5:$U$16,21)</f>
        <v>180.7367205</v>
      </c>
    </row>
    <row r="244" customFormat="false" ht="15.75" hidden="false" customHeight="false" outlineLevel="0" collapsed="false">
      <c r="A244" s="334" t="n">
        <v>9</v>
      </c>
      <c r="B244" s="269" t="n">
        <v>43344</v>
      </c>
      <c r="C244" s="352" t="n">
        <f aca="false">VLOOKUP(A256,$A$5:$U$16,21)</f>
        <v>60.23774956</v>
      </c>
    </row>
    <row r="245" customFormat="false" ht="15.75" hidden="false" customHeight="false" outlineLevel="0" collapsed="false">
      <c r="A245" s="334" t="n">
        <v>10</v>
      </c>
      <c r="B245" s="269" t="n">
        <v>43374</v>
      </c>
      <c r="C245" s="352" t="n">
        <f aca="false">VLOOKUP(A257,$A$5:$U$16,21)</f>
        <v>49.70697593</v>
      </c>
    </row>
    <row r="246" customFormat="false" ht="15.75" hidden="false" customHeight="false" outlineLevel="0" collapsed="false">
      <c r="A246" s="334" t="n">
        <v>11</v>
      </c>
      <c r="B246" s="269" t="n">
        <v>43405</v>
      </c>
      <c r="C246" s="352" t="n">
        <f aca="false">VLOOKUP(A258,$A$5:$U$16,21)</f>
        <v>51.33692819</v>
      </c>
    </row>
    <row r="247" customFormat="false" ht="15.75" hidden="false" customHeight="false" outlineLevel="0" collapsed="false">
      <c r="A247" s="334" t="n">
        <v>12</v>
      </c>
      <c r="B247" s="269" t="n">
        <v>43435</v>
      </c>
      <c r="C247" s="352" t="n">
        <f aca="false">VLOOKUP(A259,$A$5:$U$16,21)</f>
        <v>51.33692819</v>
      </c>
      <c r="D247" s="342" t="n">
        <f aca="false">SUM(C236:C247)</f>
        <v>925.58631667</v>
      </c>
    </row>
    <row r="248" customFormat="false" ht="15.75" hidden="false" customHeight="false" outlineLevel="0" collapsed="false">
      <c r="A248" s="334" t="n">
        <v>1</v>
      </c>
      <c r="B248" s="269" t="n">
        <v>43466</v>
      </c>
      <c r="C248" s="352" t="n">
        <f aca="false">VLOOKUP(A260,$A$5:$V$16,22)</f>
        <v>48.19317752</v>
      </c>
    </row>
    <row r="249" customFormat="false" ht="15.75" hidden="false" customHeight="false" outlineLevel="0" collapsed="false">
      <c r="A249" s="334" t="n">
        <v>2</v>
      </c>
      <c r="B249" s="269" t="n">
        <v>43497</v>
      </c>
      <c r="C249" s="352" t="n">
        <f aca="false">VLOOKUP(A261,$A$5:$V$16,22)</f>
        <v>42.62686693</v>
      </c>
    </row>
    <row r="250" customFormat="false" ht="15.75" hidden="false" customHeight="false" outlineLevel="0" collapsed="false">
      <c r="A250" s="334" t="n">
        <v>3</v>
      </c>
      <c r="B250" s="269" t="n">
        <v>43525</v>
      </c>
      <c r="C250" s="352" t="n">
        <f aca="false">VLOOKUP(A262,$A$5:$V$16,22)</f>
        <v>42.62686693</v>
      </c>
    </row>
    <row r="251" customFormat="false" ht="15.75" hidden="false" customHeight="false" outlineLevel="0" collapsed="false">
      <c r="A251" s="334" t="n">
        <v>4</v>
      </c>
      <c r="B251" s="269" t="n">
        <v>43556</v>
      </c>
      <c r="C251" s="352" t="n">
        <f aca="false">VLOOKUP(A263,$A$5:$V$16,22)</f>
        <v>47.34689014</v>
      </c>
    </row>
    <row r="252" customFormat="false" ht="15.75" hidden="false" customHeight="false" outlineLevel="0" collapsed="false">
      <c r="A252" s="334" t="n">
        <v>5</v>
      </c>
      <c r="B252" s="269" t="n">
        <v>43586</v>
      </c>
      <c r="C252" s="352" t="n">
        <f aca="false">VLOOKUP(A264,$A$5:$V$16,22)</f>
        <v>57.7472557</v>
      </c>
    </row>
    <row r="253" customFormat="false" ht="15.75" hidden="false" customHeight="false" outlineLevel="0" collapsed="false">
      <c r="A253" s="334" t="n">
        <v>6</v>
      </c>
      <c r="B253" s="269" t="n">
        <v>43617</v>
      </c>
      <c r="C253" s="352" t="n">
        <f aca="false">VLOOKUP(A265,$A$5:$V$16,22)</f>
        <v>104.0923138</v>
      </c>
    </row>
    <row r="254" customFormat="false" ht="15.75" hidden="false" customHeight="false" outlineLevel="0" collapsed="false">
      <c r="A254" s="334" t="n">
        <v>7</v>
      </c>
      <c r="B254" s="269" t="n">
        <v>43647</v>
      </c>
      <c r="C254" s="352" t="n">
        <f aca="false">VLOOKUP(A266,$A$5:$V$16,22)</f>
        <v>162.3593968</v>
      </c>
    </row>
    <row r="255" customFormat="false" ht="15.75" hidden="false" customHeight="false" outlineLevel="0" collapsed="false">
      <c r="A255" s="334" t="n">
        <v>8</v>
      </c>
      <c r="B255" s="269" t="n">
        <v>43678</v>
      </c>
      <c r="C255" s="352" t="n">
        <f aca="false">VLOOKUP(A267,$A$5:$V$16,22)</f>
        <v>162.3593968</v>
      </c>
    </row>
    <row r="256" customFormat="false" ht="15.75" hidden="false" customHeight="false" outlineLevel="0" collapsed="false">
      <c r="A256" s="334" t="n">
        <v>9</v>
      </c>
      <c r="B256" s="269" t="n">
        <v>43709</v>
      </c>
      <c r="C256" s="352" t="n">
        <f aca="false">VLOOKUP(A268,$A$5:$V$16,22)</f>
        <v>57.7472557</v>
      </c>
    </row>
    <row r="257" customFormat="false" ht="15.75" hidden="false" customHeight="false" outlineLevel="0" collapsed="false">
      <c r="A257" s="334" t="n">
        <v>10</v>
      </c>
      <c r="B257" s="269" t="n">
        <v>43739</v>
      </c>
      <c r="C257" s="352" t="n">
        <f aca="false">VLOOKUP(A269,$A$5:$V$16,22)</f>
        <v>49.72050225</v>
      </c>
    </row>
    <row r="258" customFormat="false" ht="15.75" hidden="false" customHeight="false" outlineLevel="0" collapsed="false">
      <c r="A258" s="334" t="n">
        <v>11</v>
      </c>
      <c r="B258" s="269" t="n">
        <v>43770</v>
      </c>
      <c r="C258" s="352" t="n">
        <f aca="false">VLOOKUP(A270,$A$5:$V$16,22)</f>
        <v>51.33249949</v>
      </c>
    </row>
    <row r="259" customFormat="false" ht="15.75" hidden="false" customHeight="false" outlineLevel="0" collapsed="false">
      <c r="A259" s="334" t="n">
        <v>12</v>
      </c>
      <c r="B259" s="269" t="n">
        <v>43800</v>
      </c>
      <c r="C259" s="352" t="n">
        <f aca="false">VLOOKUP(A271,$A$5:$V$16,22)</f>
        <v>51.33249949</v>
      </c>
      <c r="D259" s="342" t="n">
        <f aca="false">SUM(C248:C259)</f>
        <v>877.48492155</v>
      </c>
    </row>
    <row r="260" customFormat="false" ht="15.75" hidden="false" customHeight="false" outlineLevel="0" collapsed="false">
      <c r="A260" s="334" t="n">
        <v>1</v>
      </c>
      <c r="B260" s="269" t="n">
        <v>43831</v>
      </c>
    </row>
    <row r="261" customFormat="false" ht="15.75" hidden="false" customHeight="false" outlineLevel="0" collapsed="false">
      <c r="A261" s="334" t="n">
        <v>2</v>
      </c>
      <c r="B261" s="269" t="n">
        <v>43862</v>
      </c>
    </row>
    <row r="262" customFormat="false" ht="15.75" hidden="false" customHeight="false" outlineLevel="0" collapsed="false">
      <c r="A262" s="334" t="n">
        <v>3</v>
      </c>
      <c r="B262" s="269" t="n">
        <v>43891</v>
      </c>
    </row>
    <row r="263" customFormat="false" ht="15.75" hidden="false" customHeight="false" outlineLevel="0" collapsed="false">
      <c r="A263" s="334" t="n">
        <v>4</v>
      </c>
      <c r="B263" s="269" t="n">
        <v>43922</v>
      </c>
    </row>
    <row r="264" customFormat="false" ht="15.75" hidden="false" customHeight="false" outlineLevel="0" collapsed="false">
      <c r="A264" s="334" t="n">
        <v>5</v>
      </c>
      <c r="B264" s="269" t="n">
        <v>43952</v>
      </c>
    </row>
    <row r="265" customFormat="false" ht="15.75" hidden="false" customHeight="false" outlineLevel="0" collapsed="false">
      <c r="A265" s="334" t="n">
        <v>6</v>
      </c>
      <c r="B265" s="269" t="n">
        <v>43983</v>
      </c>
    </row>
    <row r="266" customFormat="false" ht="15.75" hidden="false" customHeight="false" outlineLevel="0" collapsed="false">
      <c r="A266" s="334" t="n">
        <v>7</v>
      </c>
      <c r="B266" s="269" t="n">
        <v>44013</v>
      </c>
    </row>
    <row r="267" customFormat="false" ht="15.75" hidden="false" customHeight="false" outlineLevel="0" collapsed="false">
      <c r="A267" s="334" t="n">
        <v>8</v>
      </c>
      <c r="B267" s="269" t="n">
        <v>44044</v>
      </c>
    </row>
    <row r="268" customFormat="false" ht="15.75" hidden="false" customHeight="false" outlineLevel="0" collapsed="false">
      <c r="A268" s="334" t="n">
        <v>9</v>
      </c>
      <c r="B268" s="269" t="n">
        <v>44075</v>
      </c>
    </row>
    <row r="269" customFormat="false" ht="15.75" hidden="false" customHeight="false" outlineLevel="0" collapsed="false">
      <c r="A269" s="334" t="n">
        <v>10</v>
      </c>
      <c r="B269" s="269" t="n">
        <v>44105</v>
      </c>
    </row>
    <row r="270" customFormat="false" ht="15.75" hidden="false" customHeight="false" outlineLevel="0" collapsed="false">
      <c r="A270" s="334" t="n">
        <v>11</v>
      </c>
      <c r="B270" s="269" t="n">
        <v>44136</v>
      </c>
    </row>
    <row r="271" customFormat="false" ht="15.75" hidden="false" customHeight="false" outlineLevel="0" collapsed="false">
      <c r="A271" s="334" t="n">
        <v>12</v>
      </c>
      <c r="B271" s="269" t="n">
        <v>44166</v>
      </c>
    </row>
    <row r="272" customFormat="false" ht="15.75" hidden="false" customHeight="false" outlineLevel="0" collapsed="false">
      <c r="A272" s="334" t="n">
        <v>1</v>
      </c>
      <c r="B272" s="269" t="n">
        <v>44197</v>
      </c>
      <c r="C272" s="352" t="n">
        <f aca="false">VLOOKUP(A272,$A$5:$W$16,23)</f>
        <v>48.11231812</v>
      </c>
    </row>
    <row r="273" customFormat="false" ht="15.75" hidden="false" customHeight="false" outlineLevel="0" collapsed="false">
      <c r="A273" s="334" t="n">
        <v>2</v>
      </c>
      <c r="B273" s="269" t="n">
        <v>44228</v>
      </c>
      <c r="C273" s="352" t="n">
        <f aca="false">VLOOKUP(A273,$A$5:$W$16,23)</f>
        <v>42.61962917</v>
      </c>
    </row>
    <row r="274" customFormat="false" ht="15.75" hidden="false" customHeight="false" outlineLevel="0" collapsed="false">
      <c r="A274" s="334" t="n">
        <v>3</v>
      </c>
      <c r="B274" s="269" t="n">
        <v>44256</v>
      </c>
      <c r="C274" s="352" t="n">
        <f aca="false">VLOOKUP(A274,$A$5:$W$16,23)</f>
        <v>42.61962917</v>
      </c>
    </row>
    <row r="275" customFormat="false" ht="15.75" hidden="false" customHeight="false" outlineLevel="0" collapsed="false">
      <c r="A275" s="334" t="n">
        <v>4</v>
      </c>
      <c r="B275" s="269" t="n">
        <v>44287</v>
      </c>
      <c r="C275" s="352" t="n">
        <f aca="false">VLOOKUP(A275,$A$5:$W$16,23)</f>
        <v>47.34474835</v>
      </c>
    </row>
    <row r="276" customFormat="false" ht="15.75" hidden="false" customHeight="false" outlineLevel="0" collapsed="false">
      <c r="A276" s="334" t="n">
        <v>5</v>
      </c>
      <c r="B276" s="269" t="n">
        <v>44317</v>
      </c>
      <c r="C276" s="352" t="n">
        <f aca="false">VLOOKUP(A276,$A$5:$W$16,23)</f>
        <v>57.12028693</v>
      </c>
    </row>
    <row r="277" customFormat="false" ht="15.75" hidden="false" customHeight="false" outlineLevel="0" collapsed="false">
      <c r="A277" s="334" t="n">
        <v>6</v>
      </c>
      <c r="B277" s="269" t="n">
        <v>44348</v>
      </c>
      <c r="C277" s="352" t="n">
        <f aca="false">VLOOKUP(A277,$A$5:$W$16,23)</f>
        <v>102.5254025</v>
      </c>
    </row>
    <row r="278" customFormat="false" ht="15.75" hidden="false" customHeight="false" outlineLevel="0" collapsed="false">
      <c r="A278" s="334" t="n">
        <v>7</v>
      </c>
      <c r="B278" s="269" t="n">
        <v>44378</v>
      </c>
      <c r="C278" s="352" t="n">
        <f aca="false">VLOOKUP(A278,$A$5:$W$16,23)</f>
        <v>157.5536275</v>
      </c>
    </row>
    <row r="279" customFormat="false" ht="15.75" hidden="false" customHeight="false" outlineLevel="0" collapsed="false">
      <c r="A279" s="334" t="n">
        <v>8</v>
      </c>
      <c r="B279" s="269" t="n">
        <v>44409</v>
      </c>
      <c r="C279" s="352" t="n">
        <f aca="false">VLOOKUP(A279,$A$5:$W$16,23)</f>
        <v>157.5536275</v>
      </c>
    </row>
    <row r="280" customFormat="false" ht="15.75" hidden="false" customHeight="false" outlineLevel="0" collapsed="false">
      <c r="A280" s="334" t="n">
        <v>9</v>
      </c>
      <c r="B280" s="269" t="n">
        <v>44440</v>
      </c>
      <c r="C280" s="352" t="n">
        <f aca="false">VLOOKUP(A280,$A$5:$W$16,23)</f>
        <v>57.12028693</v>
      </c>
    </row>
    <row r="281" customFormat="false" ht="15.75" hidden="false" customHeight="false" outlineLevel="0" collapsed="false">
      <c r="A281" s="334" t="n">
        <v>10</v>
      </c>
      <c r="B281" s="269" t="n">
        <v>44470</v>
      </c>
      <c r="C281" s="352" t="n">
        <f aca="false">VLOOKUP(A281,$A$5:$W$16,23)</f>
        <v>49.73556096</v>
      </c>
    </row>
    <row r="282" customFormat="false" ht="15.75" hidden="false" customHeight="false" outlineLevel="0" collapsed="false">
      <c r="A282" s="334" t="n">
        <v>11</v>
      </c>
      <c r="B282" s="269" t="n">
        <v>44501</v>
      </c>
      <c r="C282" s="352" t="n">
        <f aca="false">VLOOKUP(A282,$A$5:$W$16,23)</f>
        <v>51.36205715</v>
      </c>
    </row>
    <row r="283" customFormat="false" ht="15.75" hidden="false" customHeight="false" outlineLevel="0" collapsed="false">
      <c r="A283" s="334" t="n">
        <v>12</v>
      </c>
      <c r="B283" s="269" t="n">
        <v>44531</v>
      </c>
      <c r="C283" s="352" t="n">
        <f aca="false">VLOOKUP(A283,$A$5:$W$16,23)</f>
        <v>51.36205715</v>
      </c>
      <c r="D283" s="342" t="n">
        <f aca="false">SUM(C272:C283)</f>
        <v>865.02923143</v>
      </c>
    </row>
    <row r="284" customFormat="false" ht="15.75" hidden="false" customHeight="false" outlineLevel="0" collapsed="false">
      <c r="A284" s="334" t="n">
        <v>1</v>
      </c>
      <c r="B284" s="269" t="n">
        <v>44562</v>
      </c>
    </row>
    <row r="285" customFormat="false" ht="15.75" hidden="false" customHeight="false" outlineLevel="0" collapsed="false">
      <c r="A285" s="334" t="n">
        <v>2</v>
      </c>
      <c r="B285" s="269" t="n">
        <v>44593</v>
      </c>
    </row>
    <row r="286" customFormat="false" ht="15.75" hidden="false" customHeight="false" outlineLevel="0" collapsed="false">
      <c r="A286" s="334" t="n">
        <v>3</v>
      </c>
      <c r="B286" s="269" t="n">
        <v>44621</v>
      </c>
    </row>
    <row r="287" customFormat="false" ht="15.75" hidden="false" customHeight="false" outlineLevel="0" collapsed="false">
      <c r="A287" s="334" t="n">
        <v>4</v>
      </c>
      <c r="B287" s="269" t="n">
        <v>44652</v>
      </c>
    </row>
    <row r="288" customFormat="false" ht="15.75" hidden="false" customHeight="false" outlineLevel="0" collapsed="false">
      <c r="A288" s="334" t="n">
        <v>5</v>
      </c>
      <c r="B288" s="269" t="n">
        <v>44682</v>
      </c>
    </row>
    <row r="289" customFormat="false" ht="15.75" hidden="false" customHeight="false" outlineLevel="0" collapsed="false">
      <c r="A289" s="334" t="n">
        <v>6</v>
      </c>
      <c r="B289" s="269" t="n">
        <v>44713</v>
      </c>
    </row>
    <row r="290" customFormat="false" ht="15.75" hidden="false" customHeight="false" outlineLevel="0" collapsed="false">
      <c r="A290" s="334" t="n">
        <v>7</v>
      </c>
      <c r="B290" s="269" t="n">
        <v>44743</v>
      </c>
    </row>
    <row r="291" customFormat="false" ht="15.75" hidden="false" customHeight="false" outlineLevel="0" collapsed="false">
      <c r="A291" s="334" t="n">
        <v>8</v>
      </c>
      <c r="B291" s="269" t="n">
        <v>44774</v>
      </c>
    </row>
    <row r="292" customFormat="false" ht="15.75" hidden="false" customHeight="false" outlineLevel="0" collapsed="false">
      <c r="A292" s="334" t="n">
        <v>9</v>
      </c>
      <c r="B292" s="269" t="n">
        <v>44805</v>
      </c>
    </row>
    <row r="293" customFormat="false" ht="15.75" hidden="false" customHeight="false" outlineLevel="0" collapsed="false">
      <c r="A293" s="334" t="n">
        <v>10</v>
      </c>
      <c r="B293" s="269" t="n">
        <v>44835</v>
      </c>
    </row>
    <row r="294" customFormat="false" ht="15.75" hidden="false" customHeight="false" outlineLevel="0" collapsed="false">
      <c r="A294" s="334" t="n">
        <v>11</v>
      </c>
      <c r="B294" s="269" t="n">
        <v>44866</v>
      </c>
    </row>
    <row r="295" customFormat="false" ht="15.75" hidden="false" customHeight="false" outlineLevel="0" collapsed="false">
      <c r="A295" s="334" t="n">
        <v>12</v>
      </c>
      <c r="B295" s="269" t="n">
        <v>44896</v>
      </c>
    </row>
    <row r="296" customFormat="false" ht="15.75" hidden="false" customHeight="false" outlineLevel="0" collapsed="false">
      <c r="A296" s="334" t="n">
        <v>1</v>
      </c>
      <c r="B296" s="269" t="n">
        <v>44927</v>
      </c>
    </row>
    <row r="297" customFormat="false" ht="15.75" hidden="false" customHeight="false" outlineLevel="0" collapsed="false">
      <c r="A297" s="334" t="n">
        <v>2</v>
      </c>
      <c r="B297" s="269" t="n">
        <v>44958</v>
      </c>
    </row>
    <row r="298" customFormat="false" ht="15.75" hidden="false" customHeight="false" outlineLevel="0" collapsed="false">
      <c r="A298" s="334" t="n">
        <v>3</v>
      </c>
      <c r="B298" s="269" t="n">
        <v>44986</v>
      </c>
    </row>
    <row r="299" customFormat="false" ht="15.75" hidden="false" customHeight="false" outlineLevel="0" collapsed="false">
      <c r="A299" s="334" t="n">
        <v>4</v>
      </c>
      <c r="B299" s="269" t="n">
        <v>45017</v>
      </c>
    </row>
    <row r="300" customFormat="false" ht="15.75" hidden="false" customHeight="false" outlineLevel="0" collapsed="false">
      <c r="A300" s="334" t="n">
        <v>5</v>
      </c>
      <c r="B300" s="269" t="n">
        <v>45047</v>
      </c>
    </row>
    <row r="301" customFormat="false" ht="15.75" hidden="false" customHeight="false" outlineLevel="0" collapsed="false">
      <c r="A301" s="334" t="n">
        <v>6</v>
      </c>
      <c r="B301" s="269" t="n">
        <v>45078</v>
      </c>
    </row>
    <row r="302" customFormat="false" ht="15.75" hidden="false" customHeight="false" outlineLevel="0" collapsed="false">
      <c r="A302" s="334" t="n">
        <v>7</v>
      </c>
      <c r="B302" s="269" t="n">
        <v>45108</v>
      </c>
    </row>
    <row r="303" customFormat="false" ht="15.75" hidden="false" customHeight="false" outlineLevel="0" collapsed="false">
      <c r="A303" s="334" t="n">
        <v>8</v>
      </c>
      <c r="B303" s="269" t="n">
        <v>45139</v>
      </c>
    </row>
    <row r="304" customFormat="false" ht="15.75" hidden="false" customHeight="false" outlineLevel="0" collapsed="false">
      <c r="A304" s="334" t="n">
        <v>9</v>
      </c>
      <c r="B304" s="269" t="n">
        <v>45170</v>
      </c>
    </row>
    <row r="305" customFormat="false" ht="15.75" hidden="false" customHeight="false" outlineLevel="0" collapsed="false">
      <c r="A305" s="334" t="n">
        <v>10</v>
      </c>
      <c r="B305" s="269" t="n">
        <v>45200</v>
      </c>
    </row>
    <row r="306" customFormat="false" ht="15.75" hidden="false" customHeight="false" outlineLevel="0" collapsed="false">
      <c r="A306" s="334" t="n">
        <v>11</v>
      </c>
      <c r="B306" s="269" t="n">
        <v>45231</v>
      </c>
    </row>
    <row r="307" customFormat="false" ht="15.75" hidden="false" customHeight="false" outlineLevel="0" collapsed="false">
      <c r="A307" s="334" t="n">
        <v>12</v>
      </c>
      <c r="B307" s="269" t="n">
        <v>45261</v>
      </c>
    </row>
    <row r="308" customFormat="false" ht="15.75" hidden="false" customHeight="false" outlineLevel="0" collapsed="false">
      <c r="A308" s="334" t="n">
        <v>1</v>
      </c>
      <c r="B308" s="269" t="n">
        <v>45292</v>
      </c>
    </row>
    <row r="309" customFormat="false" ht="15.75" hidden="false" customHeight="false" outlineLevel="0" collapsed="false">
      <c r="A309" s="334" t="n">
        <v>2</v>
      </c>
      <c r="B309" s="269" t="n">
        <v>45323</v>
      </c>
    </row>
    <row r="310" customFormat="false" ht="15.75" hidden="false" customHeight="false" outlineLevel="0" collapsed="false">
      <c r="A310" s="334" t="n">
        <v>3</v>
      </c>
      <c r="B310" s="269" t="n">
        <v>45352</v>
      </c>
    </row>
    <row r="311" customFormat="false" ht="15.75" hidden="false" customHeight="false" outlineLevel="0" collapsed="false">
      <c r="A311" s="334" t="n">
        <v>4</v>
      </c>
      <c r="B311" s="269" t="n">
        <v>45383</v>
      </c>
    </row>
    <row r="312" customFormat="false" ht="15.75" hidden="false" customHeight="false" outlineLevel="0" collapsed="false">
      <c r="A312" s="334" t="n">
        <v>5</v>
      </c>
      <c r="B312" s="269" t="n">
        <v>45413</v>
      </c>
    </row>
    <row r="313" customFormat="false" ht="15.75" hidden="false" customHeight="false" outlineLevel="0" collapsed="false">
      <c r="A313" s="334" t="n">
        <v>6</v>
      </c>
      <c r="B313" s="269" t="n">
        <v>45444</v>
      </c>
    </row>
    <row r="314" customFormat="false" ht="15.75" hidden="false" customHeight="false" outlineLevel="0" collapsed="false">
      <c r="A314" s="334" t="n">
        <v>7</v>
      </c>
      <c r="B314" s="269" t="n">
        <v>45474</v>
      </c>
    </row>
    <row r="315" customFormat="false" ht="15.75" hidden="false" customHeight="false" outlineLevel="0" collapsed="false">
      <c r="A315" s="334" t="n">
        <v>8</v>
      </c>
      <c r="B315" s="269" t="n">
        <v>45505</v>
      </c>
    </row>
    <row r="316" customFormat="false" ht="15.75" hidden="false" customHeight="false" outlineLevel="0" collapsed="false">
      <c r="A316" s="334" t="n">
        <v>9</v>
      </c>
      <c r="B316" s="269" t="n">
        <v>45536</v>
      </c>
    </row>
    <row r="317" customFormat="false" ht="15.75" hidden="false" customHeight="false" outlineLevel="0" collapsed="false">
      <c r="A317" s="334" t="n">
        <v>10</v>
      </c>
      <c r="B317" s="269" t="n">
        <v>45566</v>
      </c>
    </row>
    <row r="318" customFormat="false" ht="15.75" hidden="false" customHeight="false" outlineLevel="0" collapsed="false">
      <c r="A318" s="334" t="n">
        <v>11</v>
      </c>
      <c r="B318" s="269" t="n">
        <v>45597</v>
      </c>
    </row>
    <row r="319" customFormat="false" ht="15.75" hidden="false" customHeight="false" outlineLevel="0" collapsed="false">
      <c r="A319" s="334" t="n">
        <v>12</v>
      </c>
      <c r="B319" s="269" t="n">
        <v>45627</v>
      </c>
    </row>
    <row r="320" customFormat="false" ht="15.75" hidden="false" customHeight="false" outlineLevel="0" collapsed="false">
      <c r="A320" s="334" t="n">
        <v>1</v>
      </c>
      <c r="B320" s="269" t="n">
        <v>45658</v>
      </c>
    </row>
    <row r="321" customFormat="false" ht="15.75" hidden="false" customHeight="false" outlineLevel="0" collapsed="false">
      <c r="A321" s="334" t="n">
        <v>2</v>
      </c>
      <c r="B321" s="269" t="n">
        <v>45689</v>
      </c>
    </row>
    <row r="322" customFormat="false" ht="15.75" hidden="false" customHeight="false" outlineLevel="0" collapsed="false">
      <c r="A322" s="334" t="n">
        <v>3</v>
      </c>
      <c r="B322" s="269" t="n">
        <v>45717</v>
      </c>
    </row>
    <row r="323" customFormat="false" ht="15.75" hidden="false" customHeight="false" outlineLevel="0" collapsed="false">
      <c r="A323" s="334" t="n">
        <v>4</v>
      </c>
      <c r="B323" s="269" t="n">
        <v>45748</v>
      </c>
    </row>
    <row r="324" customFormat="false" ht="15.75" hidden="false" customHeight="false" outlineLevel="0" collapsed="false">
      <c r="A324" s="334" t="n">
        <v>5</v>
      </c>
      <c r="B324" s="269" t="n">
        <v>45778</v>
      </c>
    </row>
    <row r="325" customFormat="false" ht="15.75" hidden="false" customHeight="false" outlineLevel="0" collapsed="false">
      <c r="A325" s="334" t="n">
        <v>6</v>
      </c>
      <c r="B325" s="269" t="n">
        <v>45809</v>
      </c>
    </row>
    <row r="326" customFormat="false" ht="15.75" hidden="false" customHeight="false" outlineLevel="0" collapsed="false">
      <c r="A326" s="334" t="n">
        <v>7</v>
      </c>
      <c r="B326" s="269" t="n">
        <v>45839</v>
      </c>
    </row>
    <row r="327" customFormat="false" ht="15.75" hidden="false" customHeight="false" outlineLevel="0" collapsed="false">
      <c r="A327" s="334" t="n">
        <v>8</v>
      </c>
      <c r="B327" s="269" t="n">
        <v>45870</v>
      </c>
    </row>
    <row r="328" customFormat="false" ht="15.75" hidden="false" customHeight="false" outlineLevel="0" collapsed="false">
      <c r="A328" s="334" t="n">
        <v>9</v>
      </c>
      <c r="B328" s="269" t="n">
        <v>45901</v>
      </c>
    </row>
    <row r="329" customFormat="false" ht="15.75" hidden="false" customHeight="false" outlineLevel="0" collapsed="false">
      <c r="A329" s="334" t="n">
        <v>10</v>
      </c>
      <c r="B329" s="269" t="n">
        <v>45931</v>
      </c>
    </row>
    <row r="330" customFormat="false" ht="15.75" hidden="false" customHeight="false" outlineLevel="0" collapsed="false">
      <c r="A330" s="334" t="n">
        <v>11</v>
      </c>
      <c r="B330" s="269" t="n">
        <v>45962</v>
      </c>
    </row>
    <row r="331" customFormat="false" ht="15.75" hidden="false" customHeight="false" outlineLevel="0" collapsed="false">
      <c r="A331" s="334" t="n">
        <v>12</v>
      </c>
      <c r="B331" s="269" t="n">
        <v>45992</v>
      </c>
    </row>
    <row r="332" customFormat="false" ht="15.75" hidden="false" customHeight="false" outlineLevel="0" collapsed="false">
      <c r="A332" s="334" t="n">
        <v>1</v>
      </c>
      <c r="B332" s="269" t="n">
        <v>46023</v>
      </c>
    </row>
    <row r="333" customFormat="false" ht="15.75" hidden="false" customHeight="false" outlineLevel="0" collapsed="false">
      <c r="A333" s="334" t="n">
        <v>2</v>
      </c>
      <c r="B333" s="269" t="n">
        <v>46054</v>
      </c>
    </row>
    <row r="334" customFormat="false" ht="15.75" hidden="false" customHeight="false" outlineLevel="0" collapsed="false">
      <c r="A334" s="334" t="n">
        <v>3</v>
      </c>
      <c r="B334" s="269" t="n">
        <v>46082</v>
      </c>
    </row>
    <row r="335" customFormat="false" ht="15.75" hidden="false" customHeight="false" outlineLevel="0" collapsed="false">
      <c r="A335" s="334" t="n">
        <v>4</v>
      </c>
      <c r="B335" s="269" t="n">
        <v>46113</v>
      </c>
    </row>
    <row r="336" customFormat="false" ht="15.75" hidden="false" customHeight="false" outlineLevel="0" collapsed="false">
      <c r="A336" s="334" t="n">
        <v>5</v>
      </c>
      <c r="B336" s="269" t="n">
        <v>46143</v>
      </c>
    </row>
    <row r="337" customFormat="false" ht="15.75" hidden="false" customHeight="false" outlineLevel="0" collapsed="false">
      <c r="A337" s="334" t="n">
        <v>6</v>
      </c>
      <c r="B337" s="269" t="n">
        <v>46174</v>
      </c>
    </row>
    <row r="338" customFormat="false" ht="15.75" hidden="false" customHeight="false" outlineLevel="0" collapsed="false">
      <c r="A338" s="334" t="n">
        <v>7</v>
      </c>
      <c r="B338" s="269" t="n">
        <v>46204</v>
      </c>
    </row>
    <row r="339" customFormat="false" ht="15.75" hidden="false" customHeight="false" outlineLevel="0" collapsed="false">
      <c r="A339" s="334" t="n">
        <v>8</v>
      </c>
      <c r="B339" s="269" t="n">
        <v>46235</v>
      </c>
    </row>
    <row r="340" customFormat="false" ht="15.75" hidden="false" customHeight="false" outlineLevel="0" collapsed="false">
      <c r="A340" s="334" t="n">
        <v>9</v>
      </c>
      <c r="B340" s="269" t="n">
        <v>46266</v>
      </c>
    </row>
    <row r="341" customFormat="false" ht="15.75" hidden="false" customHeight="false" outlineLevel="0" collapsed="false">
      <c r="A341" s="334" t="n">
        <v>10</v>
      </c>
      <c r="B341" s="269" t="n">
        <v>46296</v>
      </c>
    </row>
    <row r="342" customFormat="false" ht="15.75" hidden="false" customHeight="false" outlineLevel="0" collapsed="false">
      <c r="A342" s="334" t="n">
        <v>11</v>
      </c>
      <c r="B342" s="269" t="n">
        <v>46327</v>
      </c>
    </row>
    <row r="343" customFormat="false" ht="15.75" hidden="false" customHeight="false" outlineLevel="0" collapsed="false">
      <c r="A343" s="334" t="n">
        <v>12</v>
      </c>
      <c r="B343" s="269" t="n">
        <v>46357</v>
      </c>
    </row>
    <row r="344" customFormat="false" ht="15.75" hidden="false" customHeight="false" outlineLevel="0" collapsed="false">
      <c r="A344" s="334" t="n">
        <v>1</v>
      </c>
      <c r="B344" s="269" t="n">
        <v>46388</v>
      </c>
    </row>
    <row r="345" customFormat="false" ht="15.75" hidden="false" customHeight="false" outlineLevel="0" collapsed="false">
      <c r="A345" s="334" t="n">
        <v>2</v>
      </c>
      <c r="B345" s="269" t="n">
        <v>46419</v>
      </c>
    </row>
    <row r="346" customFormat="false" ht="15.75" hidden="false" customHeight="false" outlineLevel="0" collapsed="false">
      <c r="A346" s="334" t="n">
        <v>3</v>
      </c>
      <c r="B346" s="269" t="n">
        <v>46447</v>
      </c>
    </row>
    <row r="347" customFormat="false" ht="15.75" hidden="false" customHeight="false" outlineLevel="0" collapsed="false">
      <c r="A347" s="334" t="n">
        <v>4</v>
      </c>
      <c r="B347" s="269" t="n">
        <v>46478</v>
      </c>
    </row>
    <row r="348" customFormat="false" ht="15.75" hidden="false" customHeight="false" outlineLevel="0" collapsed="false">
      <c r="A348" s="334" t="n">
        <v>5</v>
      </c>
      <c r="B348" s="269" t="n">
        <v>46508</v>
      </c>
    </row>
    <row r="349" customFormat="false" ht="15.75" hidden="false" customHeight="false" outlineLevel="0" collapsed="false">
      <c r="A349" s="334" t="n">
        <v>6</v>
      </c>
      <c r="B349" s="269" t="n">
        <v>46539</v>
      </c>
    </row>
    <row r="350" customFormat="false" ht="15.75" hidden="false" customHeight="false" outlineLevel="0" collapsed="false">
      <c r="A350" s="334" t="n">
        <v>7</v>
      </c>
      <c r="B350" s="269" t="n">
        <v>46569</v>
      </c>
    </row>
    <row r="351" customFormat="false" ht="15.75" hidden="false" customHeight="false" outlineLevel="0" collapsed="false">
      <c r="A351" s="334" t="n">
        <v>8</v>
      </c>
      <c r="B351" s="269" t="n">
        <v>46600</v>
      </c>
    </row>
    <row r="352" customFormat="false" ht="15.75" hidden="false" customHeight="false" outlineLevel="0" collapsed="false">
      <c r="A352" s="334" t="n">
        <v>9</v>
      </c>
      <c r="B352" s="269" t="n">
        <v>46631</v>
      </c>
    </row>
    <row r="353" customFormat="false" ht="15.75" hidden="false" customHeight="false" outlineLevel="0" collapsed="false">
      <c r="A353" s="334" t="n">
        <v>10</v>
      </c>
      <c r="B353" s="269" t="n">
        <v>46661</v>
      </c>
    </row>
    <row r="354" customFormat="false" ht="15.75" hidden="false" customHeight="false" outlineLevel="0" collapsed="false">
      <c r="A354" s="334" t="n">
        <v>11</v>
      </c>
      <c r="B354" s="269" t="n">
        <v>46692</v>
      </c>
    </row>
    <row r="355" customFormat="false" ht="15.75" hidden="false" customHeight="false" outlineLevel="0" collapsed="false">
      <c r="A355" s="334" t="n">
        <v>12</v>
      </c>
      <c r="B355" s="269" t="n">
        <v>46722</v>
      </c>
    </row>
    <row r="356" customFormat="false" ht="15.75" hidden="false" customHeight="false" outlineLevel="0" collapsed="false">
      <c r="A356" s="334" t="n">
        <v>1</v>
      </c>
      <c r="B356" s="269" t="n">
        <v>46753</v>
      </c>
    </row>
    <row r="357" customFormat="false" ht="15.75" hidden="false" customHeight="false" outlineLevel="0" collapsed="false">
      <c r="A357" s="334" t="n">
        <v>2</v>
      </c>
      <c r="B357" s="269" t="n">
        <v>46784</v>
      </c>
    </row>
    <row r="358" customFormat="false" ht="15.75" hidden="false" customHeight="false" outlineLevel="0" collapsed="false">
      <c r="A358" s="334" t="n">
        <v>3</v>
      </c>
      <c r="B358" s="269" t="n">
        <v>46813</v>
      </c>
    </row>
    <row r="359" customFormat="false" ht="15.75" hidden="false" customHeight="false" outlineLevel="0" collapsed="false">
      <c r="A359" s="334" t="n">
        <v>4</v>
      </c>
      <c r="B359" s="269" t="n">
        <v>46844</v>
      </c>
    </row>
    <row r="360" customFormat="false" ht="15.75" hidden="false" customHeight="false" outlineLevel="0" collapsed="false">
      <c r="A360" s="334" t="n">
        <v>5</v>
      </c>
      <c r="B360" s="269" t="n">
        <v>46874</v>
      </c>
    </row>
    <row r="361" customFormat="false" ht="15.75" hidden="false" customHeight="false" outlineLevel="0" collapsed="false">
      <c r="A361" s="334" t="n">
        <v>6</v>
      </c>
      <c r="B361" s="269" t="n">
        <v>46905</v>
      </c>
    </row>
    <row r="362" customFormat="false" ht="15.75" hidden="false" customHeight="false" outlineLevel="0" collapsed="false">
      <c r="A362" s="334" t="n">
        <v>7</v>
      </c>
      <c r="B362" s="269" t="n">
        <v>46935</v>
      </c>
    </row>
    <row r="363" customFormat="false" ht="15.75" hidden="false" customHeight="false" outlineLevel="0" collapsed="false">
      <c r="A363" s="334" t="n">
        <v>8</v>
      </c>
      <c r="B363" s="269" t="n">
        <v>46966</v>
      </c>
    </row>
    <row r="364" customFormat="false" ht="15.75" hidden="false" customHeight="false" outlineLevel="0" collapsed="false">
      <c r="A364" s="334" t="n">
        <v>9</v>
      </c>
      <c r="B364" s="269" t="n">
        <v>46997</v>
      </c>
    </row>
    <row r="365" customFormat="false" ht="15.75" hidden="false" customHeight="false" outlineLevel="0" collapsed="false">
      <c r="A365" s="334" t="n">
        <v>10</v>
      </c>
      <c r="B365" s="269" t="n">
        <v>47027</v>
      </c>
    </row>
    <row r="366" customFormat="false" ht="15.75" hidden="false" customHeight="false" outlineLevel="0" collapsed="false">
      <c r="A366" s="334" t="n">
        <v>11</v>
      </c>
      <c r="B366" s="269" t="n">
        <v>47058</v>
      </c>
    </row>
    <row r="367" customFormat="false" ht="15.75" hidden="false" customHeight="false" outlineLevel="0" collapsed="false">
      <c r="A367" s="334" t="n">
        <v>12</v>
      </c>
      <c r="B367" s="269" t="n">
        <v>47088</v>
      </c>
    </row>
    <row r="368" customFormat="false" ht="15.75" hidden="false" customHeight="false" outlineLevel="0" collapsed="false">
      <c r="A368" s="334" t="n">
        <v>1</v>
      </c>
      <c r="B368" s="269" t="n">
        <v>47119</v>
      </c>
    </row>
    <row r="369" customFormat="false" ht="15.75" hidden="false" customHeight="false" outlineLevel="0" collapsed="false">
      <c r="A369" s="334" t="n">
        <v>2</v>
      </c>
      <c r="B369" s="269" t="n">
        <v>47150</v>
      </c>
    </row>
    <row r="370" customFormat="false" ht="15.75" hidden="false" customHeight="false" outlineLevel="0" collapsed="false">
      <c r="A370" s="334" t="n">
        <v>3</v>
      </c>
      <c r="B370" s="269" t="n">
        <v>47178</v>
      </c>
    </row>
    <row r="371" customFormat="false" ht="15.75" hidden="false" customHeight="false" outlineLevel="0" collapsed="false">
      <c r="A371" s="334" t="n">
        <v>4</v>
      </c>
      <c r="B371" s="269" t="n">
        <v>47209</v>
      </c>
    </row>
    <row r="372" customFormat="false" ht="15.75" hidden="false" customHeight="false" outlineLevel="0" collapsed="false">
      <c r="A372" s="334" t="n">
        <v>5</v>
      </c>
      <c r="B372" s="269" t="n">
        <v>47239</v>
      </c>
    </row>
    <row r="373" customFormat="false" ht="15.75" hidden="false" customHeight="false" outlineLevel="0" collapsed="false">
      <c r="A373" s="334" t="n">
        <v>6</v>
      </c>
      <c r="B373" s="269" t="n">
        <v>47270</v>
      </c>
    </row>
    <row r="374" customFormat="false" ht="15.75" hidden="false" customHeight="false" outlineLevel="0" collapsed="false">
      <c r="A374" s="334" t="n">
        <v>7</v>
      </c>
      <c r="B374" s="269" t="n">
        <v>47300</v>
      </c>
    </row>
    <row r="375" customFormat="false" ht="15.75" hidden="false" customHeight="false" outlineLevel="0" collapsed="false">
      <c r="A375" s="334" t="n">
        <v>8</v>
      </c>
      <c r="B375" s="269" t="n">
        <v>47331</v>
      </c>
    </row>
    <row r="376" customFormat="false" ht="15.75" hidden="false" customHeight="false" outlineLevel="0" collapsed="false">
      <c r="A376" s="334" t="n">
        <v>9</v>
      </c>
      <c r="B376" s="269" t="n">
        <v>47362</v>
      </c>
    </row>
    <row r="377" customFormat="false" ht="15.75" hidden="false" customHeight="false" outlineLevel="0" collapsed="false">
      <c r="A377" s="334" t="n">
        <v>10</v>
      </c>
      <c r="B377" s="269" t="n">
        <v>47392</v>
      </c>
    </row>
    <row r="378" customFormat="false" ht="15.75" hidden="false" customHeight="false" outlineLevel="0" collapsed="false">
      <c r="A378" s="334" t="n">
        <v>11</v>
      </c>
      <c r="B378" s="269" t="n">
        <v>47423</v>
      </c>
    </row>
    <row r="379" customFormat="false" ht="15.75" hidden="false" customHeight="false" outlineLevel="0" collapsed="false">
      <c r="A379" s="334" t="n">
        <v>12</v>
      </c>
      <c r="B379" s="269" t="n">
        <v>47453</v>
      </c>
    </row>
    <row r="380" customFormat="false" ht="15.75" hidden="false" customHeight="false" outlineLevel="0" collapsed="false">
      <c r="A380" s="334" t="n">
        <v>1</v>
      </c>
      <c r="B380" s="269" t="n">
        <v>47484</v>
      </c>
    </row>
    <row r="381" customFormat="false" ht="15.75" hidden="false" customHeight="false" outlineLevel="0" collapsed="false">
      <c r="A381" s="334" t="n">
        <v>2</v>
      </c>
      <c r="B381" s="269" t="n">
        <v>47515</v>
      </c>
    </row>
    <row r="382" customFormat="false" ht="15.75" hidden="false" customHeight="false" outlineLevel="0" collapsed="false">
      <c r="A382" s="334" t="n">
        <v>3</v>
      </c>
      <c r="B382" s="269" t="n">
        <v>47543</v>
      </c>
    </row>
    <row r="383" customFormat="false" ht="15.75" hidden="false" customHeight="false" outlineLevel="0" collapsed="false">
      <c r="A383" s="334" t="n">
        <v>4</v>
      </c>
      <c r="B383" s="269" t="n">
        <v>47574</v>
      </c>
    </row>
    <row r="384" customFormat="false" ht="15.75" hidden="false" customHeight="false" outlineLevel="0" collapsed="false">
      <c r="A384" s="334" t="n">
        <v>5</v>
      </c>
      <c r="B384" s="269" t="n">
        <v>47604</v>
      </c>
    </row>
    <row r="385" customFormat="false" ht="15.75" hidden="false" customHeight="false" outlineLevel="0" collapsed="false">
      <c r="A385" s="334" t="n">
        <v>6</v>
      </c>
      <c r="B385" s="269" t="n">
        <v>47635</v>
      </c>
    </row>
    <row r="386" customFormat="false" ht="15.75" hidden="false" customHeight="false" outlineLevel="0" collapsed="false">
      <c r="A386" s="334" t="n">
        <v>7</v>
      </c>
      <c r="B386" s="269" t="n">
        <v>47665</v>
      </c>
    </row>
    <row r="387" customFormat="false" ht="15.75" hidden="false" customHeight="false" outlineLevel="0" collapsed="false">
      <c r="A387" s="334" t="n">
        <v>8</v>
      </c>
      <c r="B387" s="269" t="n">
        <v>47696</v>
      </c>
    </row>
    <row r="388" customFormat="false" ht="15.75" hidden="false" customHeight="false" outlineLevel="0" collapsed="false">
      <c r="A388" s="334" t="n">
        <v>9</v>
      </c>
      <c r="B388" s="269" t="n">
        <v>47727</v>
      </c>
    </row>
    <row r="389" customFormat="false" ht="15.75" hidden="false" customHeight="false" outlineLevel="0" collapsed="false">
      <c r="A389" s="334" t="n">
        <v>10</v>
      </c>
      <c r="B389" s="269" t="n">
        <v>47757</v>
      </c>
    </row>
    <row r="390" customFormat="false" ht="15.75" hidden="false" customHeight="false" outlineLevel="0" collapsed="false">
      <c r="A390" s="334" t="n">
        <v>11</v>
      </c>
      <c r="B390" s="269" t="n">
        <v>47788</v>
      </c>
    </row>
    <row r="391" customFormat="false" ht="15.75" hidden="false" customHeight="false" outlineLevel="0" collapsed="false">
      <c r="A391" s="334" t="n">
        <v>12</v>
      </c>
      <c r="B391" s="269" t="n">
        <v>47818</v>
      </c>
    </row>
    <row r="392" customFormat="false" ht="15.75" hidden="false" customHeight="false" outlineLevel="0" collapsed="false">
      <c r="A392" s="334" t="n">
        <v>1</v>
      </c>
      <c r="B392" s="269" t="n">
        <v>47849</v>
      </c>
    </row>
    <row r="393" customFormat="false" ht="15.75" hidden="false" customHeight="false" outlineLevel="0" collapsed="false">
      <c r="A393" s="334" t="n">
        <v>2</v>
      </c>
      <c r="B393" s="269" t="n">
        <v>47880</v>
      </c>
    </row>
    <row r="394" customFormat="false" ht="15.75" hidden="false" customHeight="false" outlineLevel="0" collapsed="false">
      <c r="A394" s="334" t="n">
        <v>3</v>
      </c>
      <c r="B394" s="269" t="n">
        <v>47908</v>
      </c>
    </row>
    <row r="395" customFormat="false" ht="15.75" hidden="false" customHeight="false" outlineLevel="0" collapsed="false">
      <c r="A395" s="334" t="n">
        <v>4</v>
      </c>
      <c r="B395" s="269" t="n">
        <v>47939</v>
      </c>
    </row>
    <row r="396" customFormat="false" ht="15.75" hidden="false" customHeight="false" outlineLevel="0" collapsed="false">
      <c r="A396" s="334" t="n">
        <v>5</v>
      </c>
      <c r="B396" s="269" t="n">
        <v>47969</v>
      </c>
    </row>
    <row r="397" customFormat="false" ht="15.75" hidden="false" customHeight="false" outlineLevel="0" collapsed="false">
      <c r="A397" s="334" t="n">
        <v>6</v>
      </c>
      <c r="B397" s="269" t="n">
        <v>48000</v>
      </c>
    </row>
    <row r="398" customFormat="false" ht="15.75" hidden="false" customHeight="false" outlineLevel="0" collapsed="false">
      <c r="A398" s="334" t="n">
        <v>7</v>
      </c>
      <c r="B398" s="269" t="n">
        <v>48030</v>
      </c>
    </row>
    <row r="399" customFormat="false" ht="15.75" hidden="false" customHeight="false" outlineLevel="0" collapsed="false">
      <c r="A399" s="334" t="n">
        <v>8</v>
      </c>
      <c r="B399" s="269" t="n">
        <v>48061</v>
      </c>
    </row>
    <row r="400" customFormat="false" ht="15.75" hidden="false" customHeight="false" outlineLevel="0" collapsed="false">
      <c r="A400" s="334" t="n">
        <v>9</v>
      </c>
      <c r="B400" s="269" t="n">
        <v>48092</v>
      </c>
    </row>
    <row r="401" customFormat="false" ht="15.75" hidden="false" customHeight="false" outlineLevel="0" collapsed="false">
      <c r="A401" s="334" t="n">
        <v>10</v>
      </c>
      <c r="B401" s="269" t="n">
        <v>48122</v>
      </c>
    </row>
    <row r="402" customFormat="false" ht="15.75" hidden="false" customHeight="false" outlineLevel="0" collapsed="false">
      <c r="A402" s="334" t="n">
        <v>11</v>
      </c>
      <c r="B402" s="269" t="n">
        <v>48153</v>
      </c>
    </row>
    <row r="403" customFormat="false" ht="15.75" hidden="false" customHeight="false" outlineLevel="0" collapsed="false">
      <c r="A403" s="334" t="n">
        <v>12</v>
      </c>
      <c r="B403" s="269" t="n">
        <v>48183</v>
      </c>
    </row>
    <row r="404" customFormat="false" ht="15.75" hidden="false" customHeight="false" outlineLevel="0" collapsed="false">
      <c r="A404" s="334" t="n">
        <v>1</v>
      </c>
      <c r="B404" s="269" t="n">
        <v>48214</v>
      </c>
    </row>
    <row r="405" customFormat="false" ht="15.75" hidden="false" customHeight="false" outlineLevel="0" collapsed="false">
      <c r="A405" s="334" t="n">
        <v>2</v>
      </c>
      <c r="B405" s="269" t="n">
        <v>48245</v>
      </c>
    </row>
    <row r="406" customFormat="false" ht="15.75" hidden="false" customHeight="false" outlineLevel="0" collapsed="false">
      <c r="A406" s="334" t="n">
        <v>3</v>
      </c>
      <c r="B406" s="269" t="n">
        <v>48274</v>
      </c>
    </row>
    <row r="407" customFormat="false" ht="15.75" hidden="false" customHeight="false" outlineLevel="0" collapsed="false">
      <c r="A407" s="334" t="n">
        <v>4</v>
      </c>
      <c r="B407" s="269" t="n">
        <v>48305</v>
      </c>
    </row>
    <row r="408" customFormat="false" ht="15.75" hidden="false" customHeight="false" outlineLevel="0" collapsed="false">
      <c r="A408" s="334" t="n">
        <v>5</v>
      </c>
      <c r="B408" s="269" t="n">
        <v>48335</v>
      </c>
    </row>
    <row r="409" customFormat="false" ht="15.75" hidden="false" customHeight="false" outlineLevel="0" collapsed="false">
      <c r="A409" s="334" t="n">
        <v>6</v>
      </c>
      <c r="B409" s="269" t="n">
        <v>48366</v>
      </c>
    </row>
    <row r="410" customFormat="false" ht="15.75" hidden="false" customHeight="false" outlineLevel="0" collapsed="false">
      <c r="A410" s="334" t="n">
        <v>7</v>
      </c>
      <c r="B410" s="269" t="n">
        <v>48396</v>
      </c>
    </row>
    <row r="411" customFormat="false" ht="15.75" hidden="false" customHeight="false" outlineLevel="0" collapsed="false">
      <c r="A411" s="334" t="n">
        <v>8</v>
      </c>
      <c r="B411" s="269" t="n">
        <v>48427</v>
      </c>
    </row>
    <row r="412" customFormat="false" ht="15.75" hidden="false" customHeight="false" outlineLevel="0" collapsed="false">
      <c r="A412" s="334" t="n">
        <v>9</v>
      </c>
      <c r="B412" s="269" t="n">
        <v>48458</v>
      </c>
    </row>
    <row r="413" customFormat="false" ht="15.75" hidden="false" customHeight="false" outlineLevel="0" collapsed="false">
      <c r="A413" s="334" t="n">
        <v>10</v>
      </c>
      <c r="B413" s="269" t="n">
        <v>48488</v>
      </c>
    </row>
    <row r="414" customFormat="false" ht="15.75" hidden="false" customHeight="false" outlineLevel="0" collapsed="false">
      <c r="A414" s="334" t="n">
        <v>11</v>
      </c>
      <c r="B414" s="269" t="n">
        <v>48519</v>
      </c>
    </row>
    <row r="415" customFormat="false" ht="15.75" hidden="false" customHeight="false" outlineLevel="0" collapsed="false">
      <c r="A415" s="334" t="n">
        <v>12</v>
      </c>
      <c r="B415" s="269" t="n">
        <v>48549</v>
      </c>
    </row>
    <row r="416" customFormat="false" ht="15.75" hidden="false" customHeight="false" outlineLevel="0" collapsed="false">
      <c r="A416" s="334" t="n">
        <v>1</v>
      </c>
      <c r="B416" s="269" t="n">
        <v>48580</v>
      </c>
    </row>
    <row r="417" customFormat="false" ht="15.75" hidden="false" customHeight="false" outlineLevel="0" collapsed="false">
      <c r="A417" s="334" t="n">
        <v>2</v>
      </c>
      <c r="B417" s="269" t="n">
        <v>48611</v>
      </c>
    </row>
    <row r="418" customFormat="false" ht="15.75" hidden="false" customHeight="false" outlineLevel="0" collapsed="false">
      <c r="A418" s="334" t="n">
        <v>3</v>
      </c>
      <c r="B418" s="269" t="n">
        <v>48639</v>
      </c>
    </row>
    <row r="419" customFormat="false" ht="15.75" hidden="false" customHeight="false" outlineLevel="0" collapsed="false">
      <c r="A419" s="334" t="n">
        <v>4</v>
      </c>
      <c r="B419" s="269" t="n">
        <v>48670</v>
      </c>
    </row>
    <row r="420" customFormat="false" ht="15.75" hidden="false" customHeight="false" outlineLevel="0" collapsed="false">
      <c r="A420" s="334" t="n">
        <v>5</v>
      </c>
      <c r="B420" s="269" t="n">
        <v>48700</v>
      </c>
    </row>
    <row r="421" customFormat="false" ht="15.75" hidden="false" customHeight="false" outlineLevel="0" collapsed="false">
      <c r="A421" s="334" t="n">
        <v>6</v>
      </c>
      <c r="B421" s="269" t="n">
        <v>48731</v>
      </c>
    </row>
    <row r="422" customFormat="false" ht="15.75" hidden="false" customHeight="false" outlineLevel="0" collapsed="false">
      <c r="A422" s="334" t="n">
        <v>7</v>
      </c>
      <c r="B422" s="269" t="n">
        <v>48761</v>
      </c>
    </row>
    <row r="423" customFormat="false" ht="15.75" hidden="false" customHeight="false" outlineLevel="0" collapsed="false">
      <c r="A423" s="334" t="n">
        <v>8</v>
      </c>
      <c r="B423" s="269" t="n">
        <v>48792</v>
      </c>
    </row>
    <row r="424" customFormat="false" ht="15.75" hidden="false" customHeight="false" outlineLevel="0" collapsed="false">
      <c r="A424" s="334" t="n">
        <v>9</v>
      </c>
      <c r="B424" s="269" t="n">
        <v>48823</v>
      </c>
    </row>
    <row r="425" customFormat="false" ht="15.75" hidden="false" customHeight="false" outlineLevel="0" collapsed="false">
      <c r="A425" s="334" t="n">
        <v>10</v>
      </c>
      <c r="B425" s="269" t="n">
        <v>48853</v>
      </c>
    </row>
    <row r="426" customFormat="false" ht="15.75" hidden="false" customHeight="false" outlineLevel="0" collapsed="false">
      <c r="A426" s="334" t="n">
        <v>11</v>
      </c>
      <c r="B426" s="269" t="n">
        <v>48884</v>
      </c>
    </row>
    <row r="427" customFormat="false" ht="15.75" hidden="false" customHeight="false" outlineLevel="0" collapsed="false">
      <c r="A427" s="334" t="n">
        <v>12</v>
      </c>
      <c r="B427" s="269" t="n">
        <v>48914</v>
      </c>
    </row>
    <row r="428" customFormat="false" ht="15.75" hidden="false" customHeight="false" outlineLevel="0" collapsed="false">
      <c r="A428" s="334" t="n">
        <v>1</v>
      </c>
      <c r="B428" s="269" t="n">
        <v>48945</v>
      </c>
    </row>
    <row r="429" customFormat="false" ht="15.75" hidden="false" customHeight="false" outlineLevel="0" collapsed="false">
      <c r="A429" s="334" t="n">
        <v>2</v>
      </c>
      <c r="B429" s="269" t="n">
        <v>48976</v>
      </c>
    </row>
    <row r="430" customFormat="false" ht="15.75" hidden="false" customHeight="false" outlineLevel="0" collapsed="false">
      <c r="A430" s="334" t="n">
        <v>3</v>
      </c>
      <c r="B430" s="269" t="n">
        <v>49004</v>
      </c>
    </row>
    <row r="431" customFormat="false" ht="15.75" hidden="false" customHeight="false" outlineLevel="0" collapsed="false">
      <c r="A431" s="334" t="n">
        <v>4</v>
      </c>
      <c r="B431" s="269" t="n">
        <v>49035</v>
      </c>
    </row>
    <row r="432" customFormat="false" ht="15.75" hidden="false" customHeight="false" outlineLevel="0" collapsed="false">
      <c r="A432" s="334" t="n">
        <v>5</v>
      </c>
      <c r="B432" s="269" t="n">
        <v>49065</v>
      </c>
    </row>
    <row r="433" customFormat="false" ht="15.75" hidden="false" customHeight="false" outlineLevel="0" collapsed="false">
      <c r="A433" s="334" t="n">
        <v>6</v>
      </c>
      <c r="B433" s="269" t="n">
        <v>49096</v>
      </c>
    </row>
    <row r="434" customFormat="false" ht="15.75" hidden="false" customHeight="false" outlineLevel="0" collapsed="false">
      <c r="A434" s="334" t="n">
        <v>7</v>
      </c>
      <c r="B434" s="269" t="n">
        <v>49126</v>
      </c>
    </row>
    <row r="435" customFormat="false" ht="15.75" hidden="false" customHeight="false" outlineLevel="0" collapsed="false">
      <c r="A435" s="334" t="n">
        <v>8</v>
      </c>
      <c r="B435" s="269" t="n">
        <v>49157</v>
      </c>
    </row>
    <row r="436" customFormat="false" ht="15.75" hidden="false" customHeight="false" outlineLevel="0" collapsed="false">
      <c r="A436" s="334" t="n">
        <v>9</v>
      </c>
      <c r="B436" s="269" t="n">
        <v>49188</v>
      </c>
    </row>
    <row r="437" customFormat="false" ht="15.75" hidden="false" customHeight="false" outlineLevel="0" collapsed="false">
      <c r="A437" s="334" t="n">
        <v>10</v>
      </c>
      <c r="B437" s="269" t="n">
        <v>49218</v>
      </c>
    </row>
    <row r="438" customFormat="false" ht="15.75" hidden="false" customHeight="false" outlineLevel="0" collapsed="false">
      <c r="A438" s="334" t="n">
        <v>11</v>
      </c>
      <c r="B438" s="269" t="n">
        <v>49249</v>
      </c>
    </row>
    <row r="439" customFormat="false" ht="15.75" hidden="false" customHeight="false" outlineLevel="0" collapsed="false">
      <c r="A439" s="334" t="n">
        <v>12</v>
      </c>
      <c r="B439" s="269" t="n">
        <v>49279</v>
      </c>
    </row>
    <row r="440" customFormat="false" ht="15.75" hidden="false" customHeight="false" outlineLevel="0" collapsed="false">
      <c r="A440" s="334" t="n">
        <v>1</v>
      </c>
      <c r="B440" s="269" t="n">
        <v>49310</v>
      </c>
    </row>
    <row r="441" customFormat="false" ht="15.75" hidden="false" customHeight="false" outlineLevel="0" collapsed="false">
      <c r="A441" s="334" t="n">
        <v>2</v>
      </c>
      <c r="B441" s="269" t="n">
        <v>49341</v>
      </c>
    </row>
    <row r="442" customFormat="false" ht="15.75" hidden="false" customHeight="false" outlineLevel="0" collapsed="false">
      <c r="A442" s="334" t="n">
        <v>3</v>
      </c>
      <c r="B442" s="269" t="n">
        <v>49369</v>
      </c>
    </row>
    <row r="443" customFormat="false" ht="15.75" hidden="false" customHeight="false" outlineLevel="0" collapsed="false">
      <c r="A443" s="334" t="n">
        <v>4</v>
      </c>
      <c r="B443" s="269" t="n">
        <v>49400</v>
      </c>
    </row>
    <row r="444" customFormat="false" ht="15.75" hidden="false" customHeight="false" outlineLevel="0" collapsed="false">
      <c r="A444" s="334" t="n">
        <v>5</v>
      </c>
      <c r="B444" s="269" t="n">
        <v>49430</v>
      </c>
    </row>
    <row r="445" customFormat="false" ht="15.75" hidden="false" customHeight="false" outlineLevel="0" collapsed="false">
      <c r="A445" s="334" t="n">
        <v>6</v>
      </c>
      <c r="B445" s="269" t="n">
        <v>49461</v>
      </c>
    </row>
    <row r="446" customFormat="false" ht="15.75" hidden="false" customHeight="false" outlineLevel="0" collapsed="false">
      <c r="A446" s="334" t="n">
        <v>7</v>
      </c>
      <c r="B446" s="269" t="n">
        <v>49491</v>
      </c>
    </row>
    <row r="447" customFormat="false" ht="15.75" hidden="false" customHeight="false" outlineLevel="0" collapsed="false">
      <c r="A447" s="334" t="n">
        <v>8</v>
      </c>
      <c r="B447" s="269" t="n">
        <v>49522</v>
      </c>
    </row>
    <row r="448" customFormat="false" ht="15.75" hidden="false" customHeight="false" outlineLevel="0" collapsed="false">
      <c r="A448" s="334" t="n">
        <v>9</v>
      </c>
      <c r="B448" s="269" t="n">
        <v>49553</v>
      </c>
    </row>
    <row r="449" customFormat="false" ht="15.75" hidden="false" customHeight="false" outlineLevel="0" collapsed="false">
      <c r="A449" s="334" t="n">
        <v>10</v>
      </c>
      <c r="B449" s="269" t="n">
        <v>49583</v>
      </c>
    </row>
    <row r="450" customFormat="false" ht="15.75" hidden="false" customHeight="false" outlineLevel="0" collapsed="false">
      <c r="A450" s="334" t="n">
        <v>11</v>
      </c>
      <c r="B450" s="269" t="n">
        <v>49614</v>
      </c>
    </row>
    <row r="451" customFormat="false" ht="15.75" hidden="false" customHeight="false" outlineLevel="0" collapsed="false">
      <c r="A451" s="334" t="n">
        <v>12</v>
      </c>
      <c r="B451" s="269" t="n">
        <v>49644</v>
      </c>
    </row>
    <row r="452" customFormat="false" ht="15.75" hidden="false" customHeight="false" outlineLevel="0" collapsed="false">
      <c r="A452" s="334" t="n">
        <v>1</v>
      </c>
      <c r="B452" s="269" t="n">
        <v>49675</v>
      </c>
    </row>
    <row r="453" customFormat="false" ht="15.75" hidden="false" customHeight="false" outlineLevel="0" collapsed="false">
      <c r="A453" s="334" t="n">
        <v>2</v>
      </c>
      <c r="B453" s="269" t="n">
        <v>49706</v>
      </c>
    </row>
    <row r="454" customFormat="false" ht="15.75" hidden="false" customHeight="false" outlineLevel="0" collapsed="false">
      <c r="A454" s="334" t="n">
        <v>3</v>
      </c>
      <c r="B454" s="269" t="n">
        <v>49735</v>
      </c>
    </row>
    <row r="455" customFormat="false" ht="15.75" hidden="false" customHeight="false" outlineLevel="0" collapsed="false">
      <c r="A455" s="334" t="n">
        <v>4</v>
      </c>
      <c r="B455" s="269" t="n">
        <v>49766</v>
      </c>
    </row>
    <row r="456" customFormat="false" ht="15.75" hidden="false" customHeight="false" outlineLevel="0" collapsed="false">
      <c r="A456" s="334" t="n">
        <v>5</v>
      </c>
      <c r="B456" s="269" t="n">
        <v>49796</v>
      </c>
    </row>
    <row r="457" customFormat="false" ht="15.75" hidden="false" customHeight="false" outlineLevel="0" collapsed="false">
      <c r="A457" s="334" t="n">
        <v>6</v>
      </c>
      <c r="B457" s="269" t="n">
        <v>49827</v>
      </c>
    </row>
    <row r="458" customFormat="false" ht="15.75" hidden="false" customHeight="false" outlineLevel="0" collapsed="false">
      <c r="A458" s="334" t="n">
        <v>7</v>
      </c>
      <c r="B458" s="269" t="n">
        <v>49857</v>
      </c>
    </row>
    <row r="459" customFormat="false" ht="15.75" hidden="false" customHeight="false" outlineLevel="0" collapsed="false">
      <c r="A459" s="334" t="n">
        <v>8</v>
      </c>
      <c r="B459" s="269" t="n">
        <v>49888</v>
      </c>
    </row>
    <row r="460" customFormat="false" ht="15.75" hidden="false" customHeight="false" outlineLevel="0" collapsed="false">
      <c r="A460" s="334" t="n">
        <v>9</v>
      </c>
      <c r="B460" s="269" t="n">
        <v>49919</v>
      </c>
    </row>
    <row r="461" customFormat="false" ht="15.75" hidden="false" customHeight="false" outlineLevel="0" collapsed="false">
      <c r="A461" s="334" t="n">
        <v>10</v>
      </c>
      <c r="B461" s="269" t="n">
        <v>49949</v>
      </c>
    </row>
    <row r="462" customFormat="false" ht="15.75" hidden="false" customHeight="false" outlineLevel="0" collapsed="false">
      <c r="A462" s="334" t="n">
        <v>11</v>
      </c>
      <c r="B462" s="269" t="n">
        <v>49980</v>
      </c>
    </row>
    <row r="463" customFormat="false" ht="15.75" hidden="false" customHeight="false" outlineLevel="0" collapsed="false">
      <c r="A463" s="334" t="n">
        <v>12</v>
      </c>
      <c r="B463" s="269" t="n">
        <v>50010</v>
      </c>
    </row>
    <row r="464" customFormat="false" ht="15.75" hidden="false" customHeight="false" outlineLevel="0" collapsed="false">
      <c r="A464" s="334" t="n">
        <v>1</v>
      </c>
      <c r="B464" s="269" t="n">
        <v>50041</v>
      </c>
    </row>
    <row r="465" customFormat="false" ht="15.75" hidden="false" customHeight="false" outlineLevel="0" collapsed="false">
      <c r="A465" s="334" t="n">
        <v>2</v>
      </c>
      <c r="B465" s="269" t="n">
        <v>50072</v>
      </c>
    </row>
    <row r="466" customFormat="false" ht="15.75" hidden="false" customHeight="false" outlineLevel="0" collapsed="false">
      <c r="A466" s="334" t="n">
        <v>3</v>
      </c>
      <c r="B466" s="269" t="n">
        <v>50100</v>
      </c>
    </row>
    <row r="467" customFormat="false" ht="15.75" hidden="false" customHeight="false" outlineLevel="0" collapsed="false">
      <c r="A467" s="334" t="n">
        <v>4</v>
      </c>
      <c r="B467" s="269" t="n">
        <v>50131</v>
      </c>
    </row>
    <row r="468" customFormat="false" ht="15.75" hidden="false" customHeight="false" outlineLevel="0" collapsed="false">
      <c r="A468" s="334" t="n">
        <v>5</v>
      </c>
      <c r="B468" s="269" t="n">
        <v>50161</v>
      </c>
    </row>
    <row r="469" customFormat="false" ht="15.75" hidden="false" customHeight="false" outlineLevel="0" collapsed="false">
      <c r="A469" s="334" t="n">
        <v>6</v>
      </c>
      <c r="B469" s="269" t="n">
        <v>50192</v>
      </c>
    </row>
    <row r="470" customFormat="false" ht="15.75" hidden="false" customHeight="false" outlineLevel="0" collapsed="false">
      <c r="A470" s="334" t="n">
        <v>7</v>
      </c>
      <c r="B470" s="269" t="n">
        <v>50222</v>
      </c>
    </row>
    <row r="471" customFormat="false" ht="15.75" hidden="false" customHeight="false" outlineLevel="0" collapsed="false">
      <c r="A471" s="334" t="n">
        <v>8</v>
      </c>
      <c r="B471" s="269" t="n">
        <v>50253</v>
      </c>
    </row>
    <row r="472" customFormat="false" ht="15.75" hidden="false" customHeight="false" outlineLevel="0" collapsed="false">
      <c r="A472" s="334" t="n">
        <v>9</v>
      </c>
      <c r="B472" s="269" t="n">
        <v>50284</v>
      </c>
    </row>
    <row r="473" customFormat="false" ht="15.75" hidden="false" customHeight="false" outlineLevel="0" collapsed="false">
      <c r="A473" s="334" t="n">
        <v>10</v>
      </c>
      <c r="B473" s="269" t="n">
        <v>50314</v>
      </c>
    </row>
    <row r="474" customFormat="false" ht="15.75" hidden="false" customHeight="false" outlineLevel="0" collapsed="false">
      <c r="A474" s="334" t="n">
        <v>11</v>
      </c>
      <c r="B474" s="269" t="n">
        <v>50345</v>
      </c>
    </row>
    <row r="475" customFormat="false" ht="15.75" hidden="false" customHeight="false" outlineLevel="0" collapsed="false">
      <c r="A475" s="334" t="n">
        <v>12</v>
      </c>
      <c r="B475" s="269" t="n">
        <v>50375</v>
      </c>
    </row>
    <row r="476" customFormat="false" ht="15.75" hidden="false" customHeight="false" outlineLevel="0" collapsed="false">
      <c r="A476" s="334" t="n">
        <v>1</v>
      </c>
      <c r="B476" s="269" t="n">
        <v>50406</v>
      </c>
    </row>
    <row r="477" customFormat="false" ht="15.75" hidden="false" customHeight="false" outlineLevel="0" collapsed="false">
      <c r="A477" s="334" t="n">
        <v>2</v>
      </c>
      <c r="B477" s="269" t="n">
        <v>50437</v>
      </c>
    </row>
    <row r="478" customFormat="false" ht="15.75" hidden="false" customHeight="false" outlineLevel="0" collapsed="false">
      <c r="A478" s="334" t="n">
        <v>3</v>
      </c>
      <c r="B478" s="269" t="n">
        <v>50465</v>
      </c>
    </row>
    <row r="479" customFormat="false" ht="15.75" hidden="false" customHeight="false" outlineLevel="0" collapsed="false">
      <c r="A479" s="334" t="n">
        <v>4</v>
      </c>
      <c r="B479" s="269" t="n">
        <v>50496</v>
      </c>
    </row>
    <row r="480" customFormat="false" ht="15.75" hidden="false" customHeight="false" outlineLevel="0" collapsed="false">
      <c r="A480" s="334" t="n">
        <v>5</v>
      </c>
      <c r="B480" s="269" t="n">
        <v>50526</v>
      </c>
    </row>
    <row r="481" customFormat="false" ht="15.75" hidden="false" customHeight="false" outlineLevel="0" collapsed="false">
      <c r="A481" s="334" t="n">
        <v>6</v>
      </c>
      <c r="B481" s="269" t="n">
        <v>50557</v>
      </c>
    </row>
    <row r="482" customFormat="false" ht="15.75" hidden="false" customHeight="false" outlineLevel="0" collapsed="false">
      <c r="A482" s="334" t="n">
        <v>7</v>
      </c>
      <c r="B482" s="269" t="n">
        <v>50587</v>
      </c>
    </row>
    <row r="483" customFormat="false" ht="15.75" hidden="false" customHeight="false" outlineLevel="0" collapsed="false">
      <c r="A483" s="334" t="n">
        <v>8</v>
      </c>
      <c r="B483" s="269" t="n">
        <v>50618</v>
      </c>
    </row>
    <row r="484" customFormat="false" ht="15.75" hidden="false" customHeight="false" outlineLevel="0" collapsed="false">
      <c r="A484" s="334" t="n">
        <v>9</v>
      </c>
      <c r="B484" s="269" t="n">
        <v>50649</v>
      </c>
    </row>
    <row r="485" customFormat="false" ht="15.75" hidden="false" customHeight="false" outlineLevel="0" collapsed="false">
      <c r="A485" s="334" t="n">
        <v>10</v>
      </c>
      <c r="B485" s="269" t="n">
        <v>50679</v>
      </c>
    </row>
    <row r="486" customFormat="false" ht="15.75" hidden="false" customHeight="false" outlineLevel="0" collapsed="false">
      <c r="A486" s="334" t="n">
        <v>11</v>
      </c>
      <c r="B486" s="269" t="n">
        <v>50710</v>
      </c>
    </row>
    <row r="487" customFormat="false" ht="15.75" hidden="false" customHeight="false" outlineLevel="0" collapsed="false">
      <c r="A487" s="334" t="n">
        <v>12</v>
      </c>
      <c r="B487" s="269" t="n">
        <v>50740</v>
      </c>
    </row>
    <row r="488" customFormat="false" ht="15.75" hidden="false" customHeight="false" outlineLevel="0" collapsed="false">
      <c r="A488" s="334" t="n">
        <v>1</v>
      </c>
      <c r="B488" s="269" t="n">
        <v>50771</v>
      </c>
    </row>
    <row r="489" customFormat="false" ht="15.75" hidden="false" customHeight="false" outlineLevel="0" collapsed="false">
      <c r="A489" s="334" t="n">
        <v>2</v>
      </c>
      <c r="B489" s="269" t="n">
        <v>50802</v>
      </c>
    </row>
    <row r="490" customFormat="false" ht="15.75" hidden="false" customHeight="false" outlineLevel="0" collapsed="false">
      <c r="A490" s="334" t="n">
        <v>3</v>
      </c>
      <c r="B490" s="269" t="n">
        <v>50830</v>
      </c>
    </row>
    <row r="491" customFormat="false" ht="15.75" hidden="false" customHeight="false" outlineLevel="0" collapsed="false">
      <c r="A491" s="334" t="n">
        <v>4</v>
      </c>
      <c r="B491" s="269" t="n">
        <v>50861</v>
      </c>
    </row>
    <row r="492" customFormat="false" ht="15.75" hidden="false" customHeight="false" outlineLevel="0" collapsed="false">
      <c r="A492" s="334" t="n">
        <v>5</v>
      </c>
      <c r="B492" s="269" t="n">
        <v>50891</v>
      </c>
    </row>
    <row r="493" customFormat="false" ht="15.75" hidden="false" customHeight="false" outlineLevel="0" collapsed="false">
      <c r="A493" s="334" t="n">
        <v>6</v>
      </c>
      <c r="B493" s="269" t="n">
        <v>50922</v>
      </c>
    </row>
    <row r="494" customFormat="false" ht="15.75" hidden="false" customHeight="false" outlineLevel="0" collapsed="false">
      <c r="A494" s="334" t="n">
        <v>7</v>
      </c>
      <c r="B494" s="269" t="n">
        <v>50952</v>
      </c>
    </row>
    <row r="495" customFormat="false" ht="15.75" hidden="false" customHeight="false" outlineLevel="0" collapsed="false">
      <c r="A495" s="334" t="n">
        <v>8</v>
      </c>
      <c r="B495" s="269" t="n">
        <v>50983</v>
      </c>
    </row>
    <row r="496" customFormat="false" ht="15.75" hidden="false" customHeight="false" outlineLevel="0" collapsed="false">
      <c r="A496" s="334" t="n">
        <v>9</v>
      </c>
      <c r="B496" s="269" t="n">
        <v>51014</v>
      </c>
    </row>
    <row r="497" customFormat="false" ht="15.75" hidden="false" customHeight="false" outlineLevel="0" collapsed="false">
      <c r="A497" s="334" t="n">
        <v>10</v>
      </c>
      <c r="B497" s="269" t="n">
        <v>51044</v>
      </c>
    </row>
    <row r="498" customFormat="false" ht="15.75" hidden="false" customHeight="false" outlineLevel="0" collapsed="false">
      <c r="A498" s="334" t="n">
        <v>11</v>
      </c>
      <c r="B498" s="269" t="n">
        <v>51075</v>
      </c>
    </row>
    <row r="499" customFormat="false" ht="15.75" hidden="false" customHeight="false" outlineLevel="0" collapsed="false">
      <c r="A499" s="334" t="n">
        <v>12</v>
      </c>
      <c r="B499" s="269" t="n">
        <v>51105</v>
      </c>
    </row>
    <row r="500" customFormat="false" ht="15.75" hidden="false" customHeight="false" outlineLevel="0" collapsed="false">
      <c r="A500" s="334" t="n">
        <v>1</v>
      </c>
      <c r="B500" s="269" t="n">
        <v>51136</v>
      </c>
    </row>
    <row r="501" customFormat="false" ht="15.75" hidden="false" customHeight="false" outlineLevel="0" collapsed="false">
      <c r="A501" s="334" t="n">
        <v>2</v>
      </c>
      <c r="B501" s="269" t="n">
        <v>51167</v>
      </c>
    </row>
    <row r="502" customFormat="false" ht="15.75" hidden="false" customHeight="false" outlineLevel="0" collapsed="false">
      <c r="A502" s="334" t="n">
        <v>3</v>
      </c>
      <c r="B502" s="269" t="n">
        <v>51196</v>
      </c>
    </row>
    <row r="503" customFormat="false" ht="15.75" hidden="false" customHeight="false" outlineLevel="0" collapsed="false">
      <c r="A503" s="334" t="n">
        <v>4</v>
      </c>
      <c r="B503" s="269" t="n">
        <v>51227</v>
      </c>
    </row>
    <row r="504" customFormat="false" ht="15.75" hidden="false" customHeight="false" outlineLevel="0" collapsed="false">
      <c r="A504" s="334" t="n">
        <v>5</v>
      </c>
      <c r="B504" s="269" t="n">
        <v>51257</v>
      </c>
    </row>
    <row r="505" customFormat="false" ht="15.75" hidden="false" customHeight="false" outlineLevel="0" collapsed="false">
      <c r="A505" s="334" t="n">
        <v>6</v>
      </c>
      <c r="B505" s="269" t="n">
        <v>51288</v>
      </c>
    </row>
    <row r="506" customFormat="false" ht="15.75" hidden="false" customHeight="false" outlineLevel="0" collapsed="false">
      <c r="A506" s="334" t="n">
        <v>7</v>
      </c>
      <c r="B506" s="269" t="n">
        <v>51318</v>
      </c>
    </row>
    <row r="507" customFormat="false" ht="15.75" hidden="false" customHeight="false" outlineLevel="0" collapsed="false">
      <c r="A507" s="334" t="n">
        <v>8</v>
      </c>
      <c r="B507" s="269" t="n">
        <v>51349</v>
      </c>
    </row>
    <row r="508" customFormat="false" ht="15.75" hidden="false" customHeight="false" outlineLevel="0" collapsed="false">
      <c r="A508" s="334" t="n">
        <v>9</v>
      </c>
      <c r="B508" s="269" t="n">
        <v>51380</v>
      </c>
    </row>
    <row r="509" customFormat="false" ht="15.75" hidden="false" customHeight="false" outlineLevel="0" collapsed="false">
      <c r="A509" s="334" t="n">
        <v>10</v>
      </c>
      <c r="B509" s="269" t="n">
        <v>51410</v>
      </c>
    </row>
    <row r="510" customFormat="false" ht="15.75" hidden="false" customHeight="false" outlineLevel="0" collapsed="false">
      <c r="A510" s="334" t="n">
        <v>11</v>
      </c>
      <c r="B510" s="269" t="n">
        <v>51441</v>
      </c>
    </row>
    <row r="511" customFormat="false" ht="15.75" hidden="false" customHeight="false" outlineLevel="0" collapsed="false">
      <c r="A511" s="334" t="n">
        <v>12</v>
      </c>
      <c r="B511" s="269" t="n">
        <v>51471</v>
      </c>
    </row>
    <row r="512" customFormat="false" ht="15.75" hidden="false" customHeight="false" outlineLevel="0" collapsed="false">
      <c r="A512" s="334" t="n">
        <v>1</v>
      </c>
      <c r="B512" s="269" t="n">
        <v>51502</v>
      </c>
    </row>
    <row r="513" customFormat="false" ht="15.75" hidden="false" customHeight="false" outlineLevel="0" collapsed="false">
      <c r="A513" s="334" t="n">
        <v>2</v>
      </c>
      <c r="B513" s="269" t="n">
        <v>51533</v>
      </c>
    </row>
    <row r="514" customFormat="false" ht="15.75" hidden="false" customHeight="false" outlineLevel="0" collapsed="false">
      <c r="A514" s="334" t="n">
        <v>3</v>
      </c>
      <c r="B514" s="269" t="n">
        <v>51561</v>
      </c>
    </row>
    <row r="515" customFormat="false" ht="15.75" hidden="false" customHeight="false" outlineLevel="0" collapsed="false">
      <c r="A515" s="334" t="n">
        <v>4</v>
      </c>
      <c r="B515" s="269" t="n">
        <v>51592</v>
      </c>
    </row>
    <row r="516" customFormat="false" ht="15.75" hidden="false" customHeight="false" outlineLevel="0" collapsed="false">
      <c r="A516" s="334" t="n">
        <v>5</v>
      </c>
      <c r="B516" s="269" t="n">
        <v>51622</v>
      </c>
    </row>
    <row r="517" customFormat="false" ht="15.75" hidden="false" customHeight="false" outlineLevel="0" collapsed="false">
      <c r="A517" s="334" t="n">
        <v>6</v>
      </c>
      <c r="B517" s="269" t="n">
        <v>51653</v>
      </c>
    </row>
    <row r="518" customFormat="false" ht="15.75" hidden="false" customHeight="false" outlineLevel="0" collapsed="false">
      <c r="A518" s="334" t="n">
        <v>7</v>
      </c>
      <c r="B518" s="269" t="n">
        <v>51683</v>
      </c>
    </row>
    <row r="519" customFormat="false" ht="15.75" hidden="false" customHeight="false" outlineLevel="0" collapsed="false">
      <c r="A519" s="334" t="n">
        <v>8</v>
      </c>
      <c r="B519" s="269" t="n">
        <v>51714</v>
      </c>
    </row>
    <row r="520" customFormat="false" ht="15.75" hidden="false" customHeight="false" outlineLevel="0" collapsed="false">
      <c r="A520" s="334" t="n">
        <v>9</v>
      </c>
      <c r="B520" s="269" t="n">
        <v>51745</v>
      </c>
    </row>
    <row r="521" customFormat="false" ht="15.75" hidden="false" customHeight="false" outlineLevel="0" collapsed="false">
      <c r="A521" s="334" t="n">
        <v>10</v>
      </c>
      <c r="B521" s="269" t="n">
        <v>51775</v>
      </c>
    </row>
    <row r="522" customFormat="false" ht="15.75" hidden="false" customHeight="false" outlineLevel="0" collapsed="false">
      <c r="A522" s="334" t="n">
        <v>11</v>
      </c>
      <c r="B522" s="269" t="n">
        <v>51806</v>
      </c>
    </row>
    <row r="523" customFormat="false" ht="15.75" hidden="false" customHeight="false" outlineLevel="0" collapsed="false">
      <c r="A523" s="334" t="n">
        <v>12</v>
      </c>
      <c r="B523" s="269" t="n">
        <v>51836</v>
      </c>
    </row>
    <row r="524" customFormat="false" ht="15.75" hidden="false" customHeight="false" outlineLevel="0" collapsed="false">
      <c r="A524" s="334" t="n">
        <v>1</v>
      </c>
      <c r="B524" s="269" t="n">
        <v>51867</v>
      </c>
    </row>
    <row r="525" customFormat="false" ht="15.75" hidden="false" customHeight="false" outlineLevel="0" collapsed="false">
      <c r="A525" s="334" t="n">
        <v>2</v>
      </c>
      <c r="B525" s="269" t="n">
        <v>51898</v>
      </c>
    </row>
    <row r="526" customFormat="false" ht="15.75" hidden="false" customHeight="false" outlineLevel="0" collapsed="false">
      <c r="A526" s="334" t="n">
        <v>3</v>
      </c>
      <c r="B526" s="269" t="n">
        <v>51926</v>
      </c>
    </row>
    <row r="527" customFormat="false" ht="15.75" hidden="false" customHeight="false" outlineLevel="0" collapsed="false">
      <c r="A527" s="334" t="n">
        <v>4</v>
      </c>
      <c r="B527" s="269" t="n">
        <v>51957</v>
      </c>
    </row>
    <row r="528" customFormat="false" ht="15.75" hidden="false" customHeight="false" outlineLevel="0" collapsed="false">
      <c r="A528" s="334" t="n">
        <v>5</v>
      </c>
      <c r="B528" s="269" t="n">
        <v>51987</v>
      </c>
    </row>
    <row r="529" customFormat="false" ht="15.75" hidden="false" customHeight="false" outlineLevel="0" collapsed="false">
      <c r="A529" s="334" t="n">
        <v>6</v>
      </c>
      <c r="B529" s="269" t="n">
        <v>52018</v>
      </c>
    </row>
    <row r="530" customFormat="false" ht="15.75" hidden="false" customHeight="false" outlineLevel="0" collapsed="false">
      <c r="A530" s="334" t="n">
        <v>7</v>
      </c>
      <c r="B530" s="269" t="n">
        <v>52048</v>
      </c>
    </row>
    <row r="531" customFormat="false" ht="15.75" hidden="false" customHeight="false" outlineLevel="0" collapsed="false">
      <c r="A531" s="334" t="n">
        <v>8</v>
      </c>
      <c r="B531" s="269" t="n">
        <v>52079</v>
      </c>
    </row>
    <row r="532" customFormat="false" ht="15.75" hidden="false" customHeight="false" outlineLevel="0" collapsed="false">
      <c r="A532" s="334" t="n">
        <v>9</v>
      </c>
      <c r="B532" s="269" t="n">
        <v>52110</v>
      </c>
    </row>
    <row r="533" customFormat="false" ht="15.75" hidden="false" customHeight="false" outlineLevel="0" collapsed="false">
      <c r="A533" s="334" t="n">
        <v>10</v>
      </c>
      <c r="B533" s="269" t="n">
        <v>52140</v>
      </c>
    </row>
    <row r="534" customFormat="false" ht="15.75" hidden="false" customHeight="false" outlineLevel="0" collapsed="false">
      <c r="A534" s="334" t="n">
        <v>11</v>
      </c>
      <c r="B534" s="269" t="n">
        <v>52171</v>
      </c>
    </row>
    <row r="535" customFormat="false" ht="15.75" hidden="false" customHeight="false" outlineLevel="0" collapsed="false">
      <c r="A535" s="334" t="n">
        <v>12</v>
      </c>
      <c r="B535" s="269" t="n">
        <v>52201</v>
      </c>
    </row>
    <row r="536" customFormat="false" ht="15.75" hidden="false" customHeight="false" outlineLevel="0" collapsed="false">
      <c r="A536" s="334" t="n">
        <v>1</v>
      </c>
      <c r="B536" s="269" t="n">
        <v>52232</v>
      </c>
    </row>
    <row r="537" customFormat="false" ht="15.75" hidden="false" customHeight="false" outlineLevel="0" collapsed="false">
      <c r="A537" s="334" t="n">
        <v>2</v>
      </c>
      <c r="B537" s="269" t="n">
        <v>52263</v>
      </c>
    </row>
    <row r="538" customFormat="false" ht="15.75" hidden="false" customHeight="false" outlineLevel="0" collapsed="false">
      <c r="A538" s="334" t="n">
        <v>3</v>
      </c>
      <c r="B538" s="269" t="n">
        <v>52291</v>
      </c>
    </row>
    <row r="539" customFormat="false" ht="15.75" hidden="false" customHeight="false" outlineLevel="0" collapsed="false">
      <c r="A539" s="334" t="n">
        <v>4</v>
      </c>
      <c r="B539" s="269" t="n">
        <v>52322</v>
      </c>
    </row>
    <row r="540" customFormat="false" ht="15.75" hidden="false" customHeight="false" outlineLevel="0" collapsed="false">
      <c r="A540" s="334" t="n">
        <v>5</v>
      </c>
      <c r="B540" s="269" t="n">
        <v>52352</v>
      </c>
    </row>
    <row r="541" customFormat="false" ht="15.75" hidden="false" customHeight="false" outlineLevel="0" collapsed="false">
      <c r="A541" s="334" t="n">
        <v>6</v>
      </c>
      <c r="B541" s="269" t="n">
        <v>52383</v>
      </c>
    </row>
    <row r="542" customFormat="false" ht="15.75" hidden="false" customHeight="false" outlineLevel="0" collapsed="false">
      <c r="A542" s="334" t="n">
        <v>7</v>
      </c>
      <c r="B542" s="269" t="n">
        <v>52413</v>
      </c>
    </row>
    <row r="543" customFormat="false" ht="15.75" hidden="false" customHeight="false" outlineLevel="0" collapsed="false">
      <c r="A543" s="334" t="n">
        <v>8</v>
      </c>
      <c r="B543" s="269" t="n">
        <v>52444</v>
      </c>
    </row>
    <row r="544" customFormat="false" ht="15.75" hidden="false" customHeight="false" outlineLevel="0" collapsed="false">
      <c r="A544" s="334" t="n">
        <v>9</v>
      </c>
      <c r="B544" s="269" t="n">
        <v>52475</v>
      </c>
    </row>
    <row r="545" customFormat="false" ht="15.75" hidden="false" customHeight="false" outlineLevel="0" collapsed="false">
      <c r="A545" s="334" t="n">
        <v>10</v>
      </c>
      <c r="B545" s="269" t="n">
        <v>52505</v>
      </c>
    </row>
    <row r="546" customFormat="false" ht="15.75" hidden="false" customHeight="false" outlineLevel="0" collapsed="false">
      <c r="A546" s="334" t="n">
        <v>11</v>
      </c>
      <c r="B546" s="269" t="n">
        <v>52536</v>
      </c>
    </row>
    <row r="547" customFormat="false" ht="15.75" hidden="false" customHeight="false" outlineLevel="0" collapsed="false">
      <c r="A547" s="334" t="n">
        <v>12</v>
      </c>
      <c r="B547" s="269" t="n">
        <v>52566</v>
      </c>
    </row>
    <row r="548" customFormat="false" ht="15.75" hidden="false" customHeight="false" outlineLevel="0" collapsed="false">
      <c r="A548" s="334" t="n">
        <v>1</v>
      </c>
      <c r="B548" s="269" t="n">
        <v>52597</v>
      </c>
    </row>
    <row r="549" customFormat="false" ht="15.75" hidden="false" customHeight="false" outlineLevel="0" collapsed="false">
      <c r="A549" s="334" t="n">
        <v>2</v>
      </c>
      <c r="B549" s="269" t="n">
        <v>52628</v>
      </c>
    </row>
    <row r="550" customFormat="false" ht="15.75" hidden="false" customHeight="false" outlineLevel="0" collapsed="false">
      <c r="A550" s="334" t="n">
        <v>3</v>
      </c>
      <c r="B550" s="269" t="n">
        <v>52657</v>
      </c>
    </row>
    <row r="551" customFormat="false" ht="15.75" hidden="false" customHeight="false" outlineLevel="0" collapsed="false">
      <c r="A551" s="334" t="n">
        <v>4</v>
      </c>
      <c r="B551" s="269" t="n">
        <v>52688</v>
      </c>
    </row>
    <row r="552" customFormat="false" ht="15.75" hidden="false" customHeight="false" outlineLevel="0" collapsed="false">
      <c r="A552" s="334" t="n">
        <v>5</v>
      </c>
      <c r="B552" s="269" t="n">
        <v>52718</v>
      </c>
    </row>
    <row r="553" customFormat="false" ht="15.75" hidden="false" customHeight="false" outlineLevel="0" collapsed="false">
      <c r="A553" s="334" t="n">
        <v>6</v>
      </c>
      <c r="B553" s="269" t="n">
        <v>52749</v>
      </c>
    </row>
    <row r="554" customFormat="false" ht="15.75" hidden="false" customHeight="false" outlineLevel="0" collapsed="false">
      <c r="A554" s="334" t="n">
        <v>7</v>
      </c>
      <c r="B554" s="269" t="n">
        <v>52779</v>
      </c>
    </row>
    <row r="555" customFormat="false" ht="15.75" hidden="false" customHeight="false" outlineLevel="0" collapsed="false">
      <c r="A555" s="334" t="n">
        <v>8</v>
      </c>
      <c r="B555" s="269" t="n">
        <v>52810</v>
      </c>
    </row>
    <row r="556" customFormat="false" ht="15.75" hidden="false" customHeight="false" outlineLevel="0" collapsed="false">
      <c r="A556" s="334" t="n">
        <v>9</v>
      </c>
      <c r="B556" s="269" t="n">
        <v>52841</v>
      </c>
    </row>
    <row r="557" customFormat="false" ht="15.75" hidden="false" customHeight="false" outlineLevel="0" collapsed="false">
      <c r="A557" s="334" t="n">
        <v>10</v>
      </c>
      <c r="B557" s="269" t="n">
        <v>52871</v>
      </c>
    </row>
    <row r="558" customFormat="false" ht="15.75" hidden="false" customHeight="false" outlineLevel="0" collapsed="false">
      <c r="A558" s="334" t="n">
        <v>11</v>
      </c>
      <c r="B558" s="269" t="n">
        <v>52902</v>
      </c>
    </row>
    <row r="559" customFormat="false" ht="15.75" hidden="false" customHeight="false" outlineLevel="0" collapsed="false">
      <c r="A559" s="334" t="n">
        <v>12</v>
      </c>
      <c r="B559" s="269" t="n">
        <v>52932</v>
      </c>
    </row>
    <row r="560" customFormat="false" ht="15.75" hidden="false" customHeight="false" outlineLevel="0" collapsed="false">
      <c r="A560" s="334" t="n">
        <v>1</v>
      </c>
      <c r="B560" s="269" t="n">
        <v>52963</v>
      </c>
    </row>
    <row r="561" customFormat="false" ht="15.75" hidden="false" customHeight="false" outlineLevel="0" collapsed="false">
      <c r="A561" s="334" t="n">
        <v>2</v>
      </c>
      <c r="B561" s="269" t="n">
        <v>52994</v>
      </c>
    </row>
    <row r="562" customFormat="false" ht="15.75" hidden="false" customHeight="false" outlineLevel="0" collapsed="false">
      <c r="A562" s="334" t="n">
        <v>3</v>
      </c>
      <c r="B562" s="269" t="n">
        <v>53022</v>
      </c>
    </row>
    <row r="563" customFormat="false" ht="15.75" hidden="false" customHeight="false" outlineLevel="0" collapsed="false">
      <c r="A563" s="334" t="n">
        <v>4</v>
      </c>
      <c r="B563" s="269" t="n">
        <v>53053</v>
      </c>
    </row>
    <row r="564" customFormat="false" ht="15.75" hidden="false" customHeight="false" outlineLevel="0" collapsed="false">
      <c r="A564" s="334" t="n">
        <v>5</v>
      </c>
      <c r="B564" s="269" t="n">
        <v>53083</v>
      </c>
    </row>
    <row r="565" customFormat="false" ht="15.75" hidden="false" customHeight="false" outlineLevel="0" collapsed="false">
      <c r="A565" s="334" t="n">
        <v>6</v>
      </c>
      <c r="B565" s="269" t="n">
        <v>53114</v>
      </c>
    </row>
    <row r="566" customFormat="false" ht="15.75" hidden="false" customHeight="false" outlineLevel="0" collapsed="false">
      <c r="A566" s="334" t="n">
        <v>7</v>
      </c>
      <c r="B566" s="269" t="n">
        <v>53144</v>
      </c>
    </row>
    <row r="567" customFormat="false" ht="15.75" hidden="false" customHeight="false" outlineLevel="0" collapsed="false">
      <c r="A567" s="334" t="n">
        <v>8</v>
      </c>
      <c r="B567" s="269" t="n">
        <v>53175</v>
      </c>
    </row>
    <row r="568" customFormat="false" ht="15.75" hidden="false" customHeight="false" outlineLevel="0" collapsed="false">
      <c r="A568" s="334" t="n">
        <v>9</v>
      </c>
      <c r="B568" s="269" t="n">
        <v>53206</v>
      </c>
    </row>
    <row r="569" customFormat="false" ht="15.75" hidden="false" customHeight="false" outlineLevel="0" collapsed="false">
      <c r="A569" s="334" t="n">
        <v>10</v>
      </c>
      <c r="B569" s="269" t="n">
        <v>53236</v>
      </c>
    </row>
    <row r="570" customFormat="false" ht="15.75" hidden="false" customHeight="false" outlineLevel="0" collapsed="false">
      <c r="A570" s="334" t="n">
        <v>11</v>
      </c>
      <c r="B570" s="269" t="n">
        <v>53267</v>
      </c>
    </row>
    <row r="571" customFormat="false" ht="15.75" hidden="false" customHeight="false" outlineLevel="0" collapsed="false">
      <c r="A571" s="334" t="n">
        <v>12</v>
      </c>
      <c r="B571" s="269" t="n">
        <v>53297</v>
      </c>
    </row>
    <row r="572" customFormat="false" ht="15.75" hidden="false" customHeight="false" outlineLevel="0" collapsed="false">
      <c r="A572" s="334" t="n">
        <v>1</v>
      </c>
      <c r="B572" s="269" t="n">
        <v>53328</v>
      </c>
    </row>
    <row r="573" customFormat="false" ht="15.75" hidden="false" customHeight="false" outlineLevel="0" collapsed="false">
      <c r="A573" s="334" t="n">
        <v>2</v>
      </c>
      <c r="B573" s="269" t="n">
        <v>53359</v>
      </c>
    </row>
    <row r="574" customFormat="false" ht="15.75" hidden="false" customHeight="false" outlineLevel="0" collapsed="false">
      <c r="A574" s="334" t="n">
        <v>3</v>
      </c>
      <c r="B574" s="269" t="n">
        <v>53387</v>
      </c>
    </row>
    <row r="575" customFormat="false" ht="15.75" hidden="false" customHeight="false" outlineLevel="0" collapsed="false">
      <c r="A575" s="334" t="n">
        <v>4</v>
      </c>
      <c r="B575" s="269" t="n">
        <v>53418</v>
      </c>
    </row>
    <row r="576" customFormat="false" ht="15.75" hidden="false" customHeight="false" outlineLevel="0" collapsed="false">
      <c r="A576" s="334" t="n">
        <v>5</v>
      </c>
      <c r="B576" s="269" t="n">
        <v>53448</v>
      </c>
    </row>
    <row r="577" customFormat="false" ht="15.75" hidden="false" customHeight="false" outlineLevel="0" collapsed="false">
      <c r="A577" s="334" t="n">
        <v>6</v>
      </c>
      <c r="B577" s="269" t="n">
        <v>53479</v>
      </c>
    </row>
    <row r="578" customFormat="false" ht="15.75" hidden="false" customHeight="false" outlineLevel="0" collapsed="false">
      <c r="A578" s="334" t="n">
        <v>7</v>
      </c>
      <c r="B578" s="269" t="n">
        <v>53509</v>
      </c>
    </row>
    <row r="579" customFormat="false" ht="15.75" hidden="false" customHeight="false" outlineLevel="0" collapsed="false">
      <c r="A579" s="334" t="n">
        <v>8</v>
      </c>
      <c r="B579" s="269" t="n">
        <v>53540</v>
      </c>
    </row>
    <row r="580" customFormat="false" ht="15.75" hidden="false" customHeight="false" outlineLevel="0" collapsed="false">
      <c r="A580" s="334" t="n">
        <v>9</v>
      </c>
      <c r="B580" s="269" t="n">
        <v>53571</v>
      </c>
    </row>
    <row r="581" customFormat="false" ht="15.75" hidden="false" customHeight="false" outlineLevel="0" collapsed="false">
      <c r="A581" s="334" t="n">
        <v>10</v>
      </c>
      <c r="B581" s="269" t="n">
        <v>53601</v>
      </c>
    </row>
    <row r="582" customFormat="false" ht="15.75" hidden="false" customHeight="false" outlineLevel="0" collapsed="false">
      <c r="A582" s="334" t="n">
        <v>11</v>
      </c>
      <c r="B582" s="269" t="n">
        <v>53632</v>
      </c>
    </row>
    <row r="583" customFormat="false" ht="15.75" hidden="false" customHeight="false" outlineLevel="0" collapsed="false">
      <c r="A583" s="334" t="n">
        <v>12</v>
      </c>
      <c r="B583" s="269" t="n">
        <v>53662</v>
      </c>
    </row>
    <row r="584" customFormat="false" ht="15.75" hidden="false" customHeight="false" outlineLevel="0" collapsed="false">
      <c r="A584" s="334" t="n">
        <v>1</v>
      </c>
      <c r="B584" s="269" t="n">
        <v>53693</v>
      </c>
    </row>
    <row r="585" customFormat="false" ht="15.75" hidden="false" customHeight="false" outlineLevel="0" collapsed="false">
      <c r="A585" s="334" t="n">
        <v>2</v>
      </c>
      <c r="B585" s="269" t="n">
        <v>53724</v>
      </c>
    </row>
    <row r="586" customFormat="false" ht="15.75" hidden="false" customHeight="false" outlineLevel="0" collapsed="false">
      <c r="A586" s="334" t="n">
        <v>3</v>
      </c>
      <c r="B586" s="269" t="n">
        <v>53752</v>
      </c>
    </row>
    <row r="587" customFormat="false" ht="15.75" hidden="false" customHeight="false" outlineLevel="0" collapsed="false">
      <c r="A587" s="334" t="n">
        <v>4</v>
      </c>
      <c r="B587" s="269" t="n">
        <v>53783</v>
      </c>
    </row>
    <row r="588" customFormat="false" ht="15.75" hidden="false" customHeight="false" outlineLevel="0" collapsed="false">
      <c r="A588" s="334" t="n">
        <v>5</v>
      </c>
      <c r="B588" s="269" t="n">
        <v>53813</v>
      </c>
    </row>
    <row r="589" customFormat="false" ht="15.75" hidden="false" customHeight="false" outlineLevel="0" collapsed="false">
      <c r="A589" s="334" t="n">
        <v>6</v>
      </c>
      <c r="B589" s="269" t="n">
        <v>53844</v>
      </c>
    </row>
    <row r="590" customFormat="false" ht="15.75" hidden="false" customHeight="false" outlineLevel="0" collapsed="false">
      <c r="A590" s="334" t="n">
        <v>7</v>
      </c>
      <c r="B590" s="269" t="n">
        <v>53874</v>
      </c>
    </row>
    <row r="591" customFormat="false" ht="15.75" hidden="false" customHeight="false" outlineLevel="0" collapsed="false">
      <c r="A591" s="334" t="n">
        <v>8</v>
      </c>
      <c r="B591" s="269" t="n">
        <v>53905</v>
      </c>
    </row>
    <row r="592" customFormat="false" ht="15.75" hidden="false" customHeight="false" outlineLevel="0" collapsed="false">
      <c r="A592" s="334" t="n">
        <v>9</v>
      </c>
      <c r="B592" s="269" t="n">
        <v>53936</v>
      </c>
    </row>
    <row r="593" customFormat="false" ht="15.75" hidden="false" customHeight="false" outlineLevel="0" collapsed="false">
      <c r="A593" s="334" t="n">
        <v>10</v>
      </c>
      <c r="B593" s="269" t="n">
        <v>53966</v>
      </c>
    </row>
    <row r="594" customFormat="false" ht="15.75" hidden="false" customHeight="false" outlineLevel="0" collapsed="false">
      <c r="A594" s="334" t="n">
        <v>11</v>
      </c>
      <c r="B594" s="269" t="n">
        <v>53997</v>
      </c>
    </row>
    <row r="595" customFormat="false" ht="15.75" hidden="false" customHeight="false" outlineLevel="0" collapsed="false">
      <c r="A595" s="334" t="n">
        <v>12</v>
      </c>
      <c r="B595" s="269" t="n">
        <v>54027</v>
      </c>
    </row>
    <row r="596" customFormat="false" ht="15.75" hidden="false" customHeight="false" outlineLevel="0" collapsed="false">
      <c r="A596" s="334" t="n">
        <v>1</v>
      </c>
      <c r="B596" s="269" t="n">
        <v>54058</v>
      </c>
    </row>
    <row r="597" customFormat="false" ht="15.75" hidden="false" customHeight="false" outlineLevel="0" collapsed="false">
      <c r="A597" s="334" t="n">
        <v>2</v>
      </c>
      <c r="B597" s="269" t="n">
        <v>54089</v>
      </c>
    </row>
    <row r="598" customFormat="false" ht="15.75" hidden="false" customHeight="false" outlineLevel="0" collapsed="false">
      <c r="A598" s="334" t="n">
        <v>3</v>
      </c>
      <c r="B598" s="269" t="n">
        <v>54118</v>
      </c>
    </row>
    <row r="599" customFormat="false" ht="15.75" hidden="false" customHeight="false" outlineLevel="0" collapsed="false">
      <c r="A599" s="334" t="n">
        <v>4</v>
      </c>
      <c r="B599" s="269" t="n">
        <v>54149</v>
      </c>
    </row>
    <row r="600" customFormat="false" ht="15.75" hidden="false" customHeight="false" outlineLevel="0" collapsed="false">
      <c r="A600" s="334" t="n">
        <v>5</v>
      </c>
      <c r="B600" s="269" t="n">
        <v>54179</v>
      </c>
    </row>
    <row r="601" customFormat="false" ht="15.75" hidden="false" customHeight="false" outlineLevel="0" collapsed="false">
      <c r="A601" s="334" t="n">
        <v>6</v>
      </c>
      <c r="B601" s="269" t="n">
        <v>54210</v>
      </c>
    </row>
    <row r="602" customFormat="false" ht="15.75" hidden="false" customHeight="false" outlineLevel="0" collapsed="false">
      <c r="A602" s="334" t="n">
        <v>7</v>
      </c>
      <c r="B602" s="269" t="n">
        <v>54240</v>
      </c>
    </row>
    <row r="603" customFormat="false" ht="15.75" hidden="false" customHeight="false" outlineLevel="0" collapsed="false">
      <c r="A603" s="334" t="n">
        <v>8</v>
      </c>
      <c r="B603" s="269" t="n">
        <v>54271</v>
      </c>
    </row>
    <row r="604" customFormat="false" ht="15.75" hidden="false" customHeight="false" outlineLevel="0" collapsed="false">
      <c r="A604" s="334" t="n">
        <v>9</v>
      </c>
      <c r="B604" s="269" t="n">
        <v>54302</v>
      </c>
    </row>
    <row r="605" customFormat="false" ht="15.75" hidden="false" customHeight="false" outlineLevel="0" collapsed="false">
      <c r="A605" s="334" t="n">
        <v>10</v>
      </c>
      <c r="B605" s="269" t="n">
        <v>54332</v>
      </c>
    </row>
    <row r="606" customFormat="false" ht="15.75" hidden="false" customHeight="false" outlineLevel="0" collapsed="false">
      <c r="A606" s="334" t="n">
        <v>11</v>
      </c>
      <c r="B606" s="269" t="n">
        <v>54363</v>
      </c>
    </row>
    <row r="607" customFormat="false" ht="15.75" hidden="false" customHeight="false" outlineLevel="0" collapsed="false">
      <c r="A607" s="334" t="n">
        <v>12</v>
      </c>
      <c r="B607" s="269" t="n">
        <v>54393</v>
      </c>
    </row>
    <row r="608" customFormat="false" ht="15.75" hidden="false" customHeight="false" outlineLevel="0" collapsed="false">
      <c r="A608" s="334" t="n">
        <v>1</v>
      </c>
      <c r="B608" s="269" t="n">
        <v>54424</v>
      </c>
    </row>
    <row r="609" customFormat="false" ht="15.75" hidden="false" customHeight="false" outlineLevel="0" collapsed="false">
      <c r="A609" s="334" t="n">
        <v>2</v>
      </c>
      <c r="B609" s="269" t="n">
        <v>54455</v>
      </c>
    </row>
    <row r="610" customFormat="false" ht="15.75" hidden="false" customHeight="false" outlineLevel="0" collapsed="false">
      <c r="A610" s="334" t="n">
        <v>3</v>
      </c>
      <c r="B610" s="269" t="n">
        <v>54483</v>
      </c>
    </row>
    <row r="611" customFormat="false" ht="15.75" hidden="false" customHeight="false" outlineLevel="0" collapsed="false">
      <c r="A611" s="334" t="n">
        <v>4</v>
      </c>
      <c r="B611" s="269" t="n">
        <v>54514</v>
      </c>
    </row>
    <row r="612" customFormat="false" ht="15.75" hidden="false" customHeight="false" outlineLevel="0" collapsed="false">
      <c r="A612" s="334" t="n">
        <v>5</v>
      </c>
      <c r="B612" s="269" t="n">
        <v>54544</v>
      </c>
    </row>
    <row r="613" customFormat="false" ht="15.75" hidden="false" customHeight="false" outlineLevel="0" collapsed="false">
      <c r="A613" s="334" t="n">
        <v>6</v>
      </c>
      <c r="B613" s="269" t="n">
        <v>54575</v>
      </c>
    </row>
    <row r="614" customFormat="false" ht="15.75" hidden="false" customHeight="false" outlineLevel="0" collapsed="false">
      <c r="A614" s="334" t="n">
        <v>7</v>
      </c>
      <c r="B614" s="269" t="n">
        <v>54605</v>
      </c>
    </row>
    <row r="615" customFormat="false" ht="15.75" hidden="false" customHeight="false" outlineLevel="0" collapsed="false">
      <c r="A615" s="334" t="n">
        <v>8</v>
      </c>
      <c r="B615" s="269" t="n">
        <v>54636</v>
      </c>
    </row>
    <row r="616" customFormat="false" ht="15.75" hidden="false" customHeight="false" outlineLevel="0" collapsed="false">
      <c r="A616" s="334" t="n">
        <v>9</v>
      </c>
      <c r="B616" s="269" t="n">
        <v>54667</v>
      </c>
    </row>
    <row r="617" customFormat="false" ht="15.75" hidden="false" customHeight="false" outlineLevel="0" collapsed="false">
      <c r="A617" s="334" t="n">
        <v>10</v>
      </c>
      <c r="B617" s="269" t="n">
        <v>54697</v>
      </c>
    </row>
    <row r="618" customFormat="false" ht="15.75" hidden="false" customHeight="false" outlineLevel="0" collapsed="false">
      <c r="A618" s="334" t="n">
        <v>11</v>
      </c>
      <c r="B618" s="269" t="n">
        <v>54728</v>
      </c>
    </row>
    <row r="619" customFormat="false" ht="15.75" hidden="false" customHeight="false" outlineLevel="0" collapsed="false">
      <c r="A619" s="334" t="n">
        <v>12</v>
      </c>
      <c r="B619" s="269" t="n">
        <v>54758</v>
      </c>
    </row>
    <row r="620" customFormat="false" ht="15.75" hidden="false" customHeight="false" outlineLevel="0" collapsed="false">
      <c r="A620" s="334" t="n">
        <v>1</v>
      </c>
      <c r="B620" s="269" t="n">
        <v>54789</v>
      </c>
    </row>
    <row r="621" customFormat="false" ht="15.75" hidden="false" customHeight="false" outlineLevel="0" collapsed="false">
      <c r="A621" s="334" t="n">
        <v>2</v>
      </c>
      <c r="B621" s="269" t="n">
        <v>54820</v>
      </c>
    </row>
    <row r="622" customFormat="false" ht="15.75" hidden="false" customHeight="false" outlineLevel="0" collapsed="false">
      <c r="A622" s="334" t="n">
        <v>3</v>
      </c>
      <c r="B622" s="269" t="n">
        <v>54848</v>
      </c>
    </row>
    <row r="623" customFormat="false" ht="15.75" hidden="false" customHeight="false" outlineLevel="0" collapsed="false">
      <c r="A623" s="334" t="n">
        <v>4</v>
      </c>
      <c r="B623" s="269" t="n">
        <v>54879</v>
      </c>
    </row>
    <row r="624" customFormat="false" ht="15.75" hidden="false" customHeight="false" outlineLevel="0" collapsed="false">
      <c r="A624" s="334" t="n">
        <v>5</v>
      </c>
      <c r="B624" s="269" t="n">
        <v>54909</v>
      </c>
    </row>
    <row r="625" customFormat="false" ht="15.75" hidden="false" customHeight="false" outlineLevel="0" collapsed="false">
      <c r="A625" s="334" t="n">
        <v>6</v>
      </c>
      <c r="B625" s="269" t="n">
        <v>54940</v>
      </c>
    </row>
    <row r="626" customFormat="false" ht="15.75" hidden="false" customHeight="false" outlineLevel="0" collapsed="false">
      <c r="A626" s="334" t="n">
        <v>7</v>
      </c>
      <c r="B626" s="269" t="n">
        <v>54970</v>
      </c>
    </row>
    <row r="627" customFormat="false" ht="15.75" hidden="false" customHeight="false" outlineLevel="0" collapsed="false">
      <c r="A627" s="334" t="n">
        <v>8</v>
      </c>
      <c r="B627" s="269" t="n">
        <v>55001</v>
      </c>
    </row>
    <row r="628" customFormat="false" ht="15.75" hidden="false" customHeight="false" outlineLevel="0" collapsed="false">
      <c r="A628" s="334" t="n">
        <v>9</v>
      </c>
      <c r="B628" s="269" t="n">
        <v>55032</v>
      </c>
    </row>
    <row r="629" customFormat="false" ht="15.75" hidden="false" customHeight="false" outlineLevel="0" collapsed="false">
      <c r="A629" s="334" t="n">
        <v>10</v>
      </c>
      <c r="B629" s="269" t="n">
        <v>55062</v>
      </c>
    </row>
    <row r="630" customFormat="false" ht="15.75" hidden="false" customHeight="false" outlineLevel="0" collapsed="false">
      <c r="A630" s="334" t="n">
        <v>11</v>
      </c>
      <c r="B630" s="269" t="n">
        <v>55093</v>
      </c>
    </row>
    <row r="631" customFormat="false" ht="15.75" hidden="false" customHeight="false" outlineLevel="0" collapsed="false">
      <c r="A631" s="334" t="n">
        <v>12</v>
      </c>
      <c r="B631" s="269" t="n">
        <v>55123</v>
      </c>
    </row>
    <row r="632" customFormat="false" ht="15.75" hidden="false" customHeight="false" outlineLevel="0" collapsed="false">
      <c r="A632" s="334" t="n">
        <v>1</v>
      </c>
      <c r="B632" s="269" t="n">
        <v>55154</v>
      </c>
    </row>
    <row r="633" customFormat="false" ht="15.75" hidden="false" customHeight="false" outlineLevel="0" collapsed="false">
      <c r="A633" s="334" t="n">
        <v>2</v>
      </c>
      <c r="B633" s="269" t="n">
        <v>55185</v>
      </c>
    </row>
    <row r="634" customFormat="false" ht="15.75" hidden="false" customHeight="false" outlineLevel="0" collapsed="false">
      <c r="A634" s="334" t="n">
        <v>3</v>
      </c>
      <c r="B634" s="269" t="n">
        <v>55213</v>
      </c>
    </row>
    <row r="635" customFormat="false" ht="15.75" hidden="false" customHeight="false" outlineLevel="0" collapsed="false">
      <c r="A635" s="334" t="n">
        <v>4</v>
      </c>
      <c r="B635" s="269" t="n">
        <v>55244</v>
      </c>
    </row>
    <row r="636" customFormat="false" ht="15.75" hidden="false" customHeight="false" outlineLevel="0" collapsed="false">
      <c r="A636" s="334" t="n">
        <v>5</v>
      </c>
      <c r="B636" s="269" t="n">
        <v>55274</v>
      </c>
    </row>
    <row r="637" customFormat="false" ht="15.75" hidden="false" customHeight="false" outlineLevel="0" collapsed="false">
      <c r="A637" s="334" t="n">
        <v>6</v>
      </c>
      <c r="B637" s="269" t="n">
        <v>55305</v>
      </c>
    </row>
    <row r="638" customFormat="false" ht="15.75" hidden="false" customHeight="false" outlineLevel="0" collapsed="false">
      <c r="A638" s="334" t="n">
        <v>7</v>
      </c>
      <c r="B638" s="269" t="n">
        <v>55335</v>
      </c>
    </row>
    <row r="639" customFormat="false" ht="15.75" hidden="false" customHeight="false" outlineLevel="0" collapsed="false">
      <c r="A639" s="334" t="n">
        <v>8</v>
      </c>
      <c r="B639" s="269" t="n">
        <v>55366</v>
      </c>
    </row>
    <row r="640" customFormat="false" ht="15.75" hidden="false" customHeight="false" outlineLevel="0" collapsed="false">
      <c r="A640" s="334" t="n">
        <v>9</v>
      </c>
      <c r="B640" s="269" t="n">
        <v>55397</v>
      </c>
    </row>
    <row r="641" customFormat="false" ht="15.75" hidden="false" customHeight="false" outlineLevel="0" collapsed="false">
      <c r="A641" s="334" t="n">
        <v>10</v>
      </c>
      <c r="B641" s="269" t="n">
        <v>55427</v>
      </c>
    </row>
    <row r="642" customFormat="false" ht="15.75" hidden="false" customHeight="false" outlineLevel="0" collapsed="false">
      <c r="A642" s="334" t="n">
        <v>11</v>
      </c>
      <c r="B642" s="269" t="n">
        <v>55458</v>
      </c>
    </row>
    <row r="643" customFormat="false" ht="15.75" hidden="false" customHeight="false" outlineLevel="0" collapsed="false">
      <c r="A643" s="334" t="n">
        <v>12</v>
      </c>
      <c r="B643" s="269" t="n">
        <v>55488</v>
      </c>
    </row>
    <row r="644" customFormat="false" ht="15.75" hidden="false" customHeight="false" outlineLevel="0" collapsed="false">
      <c r="A644" s="334" t="n">
        <v>1</v>
      </c>
      <c r="B644" s="269" t="n">
        <v>55519</v>
      </c>
    </row>
    <row r="645" customFormat="false" ht="15.75" hidden="false" customHeight="false" outlineLevel="0" collapsed="false">
      <c r="A645" s="334" t="n">
        <v>2</v>
      </c>
      <c r="B645" s="269" t="n">
        <v>55550</v>
      </c>
    </row>
    <row r="646" customFormat="false" ht="15.75" hidden="false" customHeight="false" outlineLevel="0" collapsed="false">
      <c r="A646" s="334" t="n">
        <v>3</v>
      </c>
      <c r="B646" s="269" t="n">
        <v>55579</v>
      </c>
    </row>
    <row r="647" customFormat="false" ht="15.75" hidden="false" customHeight="false" outlineLevel="0" collapsed="false">
      <c r="A647" s="334" t="n">
        <v>4</v>
      </c>
      <c r="B647" s="269" t="n">
        <v>55610</v>
      </c>
    </row>
    <row r="648" customFormat="false" ht="15.75" hidden="false" customHeight="false" outlineLevel="0" collapsed="false">
      <c r="A648" s="334" t="n">
        <v>5</v>
      </c>
      <c r="B648" s="269" t="n">
        <v>55640</v>
      </c>
    </row>
    <row r="649" customFormat="false" ht="15.75" hidden="false" customHeight="false" outlineLevel="0" collapsed="false">
      <c r="A649" s="334" t="n">
        <v>6</v>
      </c>
      <c r="B649" s="269" t="n">
        <v>55671</v>
      </c>
    </row>
    <row r="650" customFormat="false" ht="15.75" hidden="false" customHeight="false" outlineLevel="0" collapsed="false">
      <c r="A650" s="334" t="n">
        <v>7</v>
      </c>
      <c r="B650" s="269" t="n">
        <v>55701</v>
      </c>
    </row>
    <row r="651" customFormat="false" ht="15.75" hidden="false" customHeight="false" outlineLevel="0" collapsed="false">
      <c r="A651" s="334" t="n">
        <v>8</v>
      </c>
      <c r="B651" s="269" t="n">
        <v>55732</v>
      </c>
    </row>
    <row r="652" customFormat="false" ht="15.75" hidden="false" customHeight="false" outlineLevel="0" collapsed="false">
      <c r="A652" s="334" t="n">
        <v>9</v>
      </c>
      <c r="B652" s="269" t="n">
        <v>55763</v>
      </c>
    </row>
    <row r="653" customFormat="false" ht="15.75" hidden="false" customHeight="false" outlineLevel="0" collapsed="false">
      <c r="A653" s="334" t="n">
        <v>10</v>
      </c>
      <c r="B653" s="269" t="n">
        <v>55793</v>
      </c>
    </row>
    <row r="654" customFormat="false" ht="15.75" hidden="false" customHeight="false" outlineLevel="0" collapsed="false">
      <c r="A654" s="334" t="n">
        <v>11</v>
      </c>
      <c r="B654" s="269" t="n">
        <v>55824</v>
      </c>
    </row>
    <row r="655" customFormat="false" ht="15.75" hidden="false" customHeight="false" outlineLevel="0" collapsed="false">
      <c r="A655" s="334" t="n">
        <v>12</v>
      </c>
      <c r="B655" s="269" t="n">
        <v>55854</v>
      </c>
    </row>
    <row r="656" customFormat="false" ht="15.75" hidden="false" customHeight="false" outlineLevel="0" collapsed="false">
      <c r="A656" s="334" t="n">
        <v>1</v>
      </c>
      <c r="B656" s="269" t="n">
        <v>55885</v>
      </c>
    </row>
    <row r="657" customFormat="false" ht="15.75" hidden="false" customHeight="false" outlineLevel="0" collapsed="false">
      <c r="A657" s="334" t="n">
        <v>2</v>
      </c>
      <c r="B657" s="269" t="n">
        <v>55916</v>
      </c>
    </row>
    <row r="658" customFormat="false" ht="15.75" hidden="false" customHeight="false" outlineLevel="0" collapsed="false">
      <c r="A658" s="334" t="n">
        <v>3</v>
      </c>
      <c r="B658" s="269" t="n">
        <v>55944</v>
      </c>
    </row>
    <row r="659" customFormat="false" ht="15.75" hidden="false" customHeight="false" outlineLevel="0" collapsed="false">
      <c r="A659" s="334" t="n">
        <v>4</v>
      </c>
      <c r="B659" s="269" t="n">
        <v>55975</v>
      </c>
    </row>
    <row r="660" customFormat="false" ht="15.75" hidden="false" customHeight="false" outlineLevel="0" collapsed="false">
      <c r="A660" s="334" t="n">
        <v>5</v>
      </c>
      <c r="B660" s="269" t="n">
        <v>56005</v>
      </c>
    </row>
    <row r="661" customFormat="false" ht="15.75" hidden="false" customHeight="false" outlineLevel="0" collapsed="false">
      <c r="A661" s="334" t="n">
        <v>6</v>
      </c>
      <c r="B661" s="269" t="n">
        <v>56036</v>
      </c>
    </row>
    <row r="662" customFormat="false" ht="15.75" hidden="false" customHeight="false" outlineLevel="0" collapsed="false">
      <c r="A662" s="334" t="n">
        <v>7</v>
      </c>
      <c r="B662" s="269" t="n">
        <v>56066</v>
      </c>
    </row>
    <row r="663" customFormat="false" ht="15.75" hidden="false" customHeight="false" outlineLevel="0" collapsed="false">
      <c r="A663" s="334" t="n">
        <v>8</v>
      </c>
      <c r="B663" s="269" t="n">
        <v>56097</v>
      </c>
    </row>
    <row r="664" customFormat="false" ht="15.75" hidden="false" customHeight="false" outlineLevel="0" collapsed="false">
      <c r="A664" s="334" t="n">
        <v>9</v>
      </c>
      <c r="B664" s="269" t="n">
        <v>56128</v>
      </c>
    </row>
    <row r="665" customFormat="false" ht="15.75" hidden="false" customHeight="false" outlineLevel="0" collapsed="false">
      <c r="A665" s="334" t="n">
        <v>10</v>
      </c>
      <c r="B665" s="269" t="n">
        <v>56158</v>
      </c>
    </row>
    <row r="666" customFormat="false" ht="15.75" hidden="false" customHeight="false" outlineLevel="0" collapsed="false">
      <c r="A666" s="334" t="n">
        <v>11</v>
      </c>
      <c r="B666" s="269" t="n">
        <v>56189</v>
      </c>
    </row>
    <row r="667" customFormat="false" ht="15.75" hidden="false" customHeight="false" outlineLevel="0" collapsed="false">
      <c r="A667" s="334" t="n">
        <v>12</v>
      </c>
      <c r="B667" s="269" t="n">
        <v>56219</v>
      </c>
    </row>
    <row r="668" customFormat="false" ht="15.75" hidden="false" customHeight="false" outlineLevel="0" collapsed="false">
      <c r="A668" s="334" t="n">
        <v>1</v>
      </c>
      <c r="B668" s="269" t="n">
        <v>56250</v>
      </c>
    </row>
    <row r="669" customFormat="false" ht="15.75" hidden="false" customHeight="false" outlineLevel="0" collapsed="false">
      <c r="A669" s="334" t="n">
        <v>2</v>
      </c>
      <c r="B669" s="269" t="n">
        <v>56281</v>
      </c>
    </row>
    <row r="670" customFormat="false" ht="15.75" hidden="false" customHeight="false" outlineLevel="0" collapsed="false">
      <c r="A670" s="334" t="n">
        <v>3</v>
      </c>
      <c r="B670" s="269" t="n">
        <v>56309</v>
      </c>
    </row>
    <row r="671" customFormat="false" ht="15.75" hidden="false" customHeight="false" outlineLevel="0" collapsed="false">
      <c r="A671" s="334" t="n">
        <v>4</v>
      </c>
      <c r="B671" s="269" t="n">
        <v>56340</v>
      </c>
    </row>
    <row r="672" customFormat="false" ht="15.75" hidden="false" customHeight="false" outlineLevel="0" collapsed="false">
      <c r="A672" s="334" t="n">
        <v>5</v>
      </c>
      <c r="B672" s="269" t="n">
        <v>56370</v>
      </c>
    </row>
    <row r="673" customFormat="false" ht="15.75" hidden="false" customHeight="false" outlineLevel="0" collapsed="false">
      <c r="A673" s="334" t="n">
        <v>6</v>
      </c>
      <c r="B673" s="269" t="n">
        <v>56401</v>
      </c>
    </row>
    <row r="674" customFormat="false" ht="15.75" hidden="false" customHeight="false" outlineLevel="0" collapsed="false">
      <c r="A674" s="334" t="n">
        <v>7</v>
      </c>
      <c r="B674" s="269" t="n">
        <v>56431</v>
      </c>
    </row>
    <row r="675" customFormat="false" ht="15.75" hidden="false" customHeight="false" outlineLevel="0" collapsed="false">
      <c r="A675" s="334" t="n">
        <v>8</v>
      </c>
      <c r="B675" s="269" t="n">
        <v>56462</v>
      </c>
    </row>
    <row r="676" customFormat="false" ht="15.75" hidden="false" customHeight="false" outlineLevel="0" collapsed="false">
      <c r="A676" s="334" t="n">
        <v>9</v>
      </c>
      <c r="B676" s="269" t="n">
        <v>56493</v>
      </c>
    </row>
    <row r="677" customFormat="false" ht="15.75" hidden="false" customHeight="false" outlineLevel="0" collapsed="false">
      <c r="A677" s="334" t="n">
        <v>10</v>
      </c>
      <c r="B677" s="269" t="n">
        <v>56523</v>
      </c>
    </row>
    <row r="678" customFormat="false" ht="15.75" hidden="false" customHeight="false" outlineLevel="0" collapsed="false">
      <c r="A678" s="334" t="n">
        <v>11</v>
      </c>
      <c r="B678" s="269" t="n">
        <v>56554</v>
      </c>
    </row>
    <row r="679" customFormat="false" ht="15.75" hidden="false" customHeight="false" outlineLevel="0" collapsed="false">
      <c r="A679" s="334" t="n">
        <v>12</v>
      </c>
      <c r="B679" s="269" t="n">
        <v>56584</v>
      </c>
    </row>
    <row r="680" customFormat="false" ht="15.75" hidden="false" customHeight="false" outlineLevel="0" collapsed="false">
      <c r="A680" s="334" t="n">
        <v>1</v>
      </c>
      <c r="B680" s="269" t="n">
        <v>56615</v>
      </c>
    </row>
    <row r="681" customFormat="false" ht="15.75" hidden="false" customHeight="false" outlineLevel="0" collapsed="false">
      <c r="A681" s="334" t="n">
        <v>2</v>
      </c>
      <c r="B681" s="269" t="n">
        <v>56646</v>
      </c>
    </row>
    <row r="682" customFormat="false" ht="15.75" hidden="false" customHeight="false" outlineLevel="0" collapsed="false">
      <c r="A682" s="334" t="n">
        <v>3</v>
      </c>
      <c r="B682" s="269" t="n">
        <v>56674</v>
      </c>
    </row>
    <row r="683" customFormat="false" ht="15.75" hidden="false" customHeight="false" outlineLevel="0" collapsed="false">
      <c r="A683" s="334" t="n">
        <v>4</v>
      </c>
      <c r="B683" s="269" t="n">
        <v>56705</v>
      </c>
    </row>
    <row r="684" customFormat="false" ht="15.75" hidden="false" customHeight="false" outlineLevel="0" collapsed="false">
      <c r="A684" s="334" t="n">
        <v>5</v>
      </c>
      <c r="B684" s="269" t="n">
        <v>56735</v>
      </c>
    </row>
    <row r="685" customFormat="false" ht="15.75" hidden="false" customHeight="false" outlineLevel="0" collapsed="false">
      <c r="A685" s="334" t="n">
        <v>6</v>
      </c>
      <c r="B685" s="269" t="n">
        <v>56766</v>
      </c>
    </row>
    <row r="686" customFormat="false" ht="15.75" hidden="false" customHeight="false" outlineLevel="0" collapsed="false">
      <c r="A686" s="334" t="n">
        <v>7</v>
      </c>
      <c r="B686" s="269" t="n">
        <v>56796</v>
      </c>
    </row>
    <row r="687" customFormat="false" ht="15.75" hidden="false" customHeight="false" outlineLevel="0" collapsed="false">
      <c r="A687" s="334" t="n">
        <v>8</v>
      </c>
      <c r="B687" s="269" t="n">
        <v>56827</v>
      </c>
    </row>
    <row r="688" customFormat="false" ht="15.75" hidden="false" customHeight="false" outlineLevel="0" collapsed="false">
      <c r="A688" s="334" t="n">
        <v>9</v>
      </c>
      <c r="B688" s="269" t="n">
        <v>56858</v>
      </c>
    </row>
    <row r="689" customFormat="false" ht="15.75" hidden="false" customHeight="false" outlineLevel="0" collapsed="false">
      <c r="A689" s="334" t="n">
        <v>10</v>
      </c>
      <c r="B689" s="269" t="n">
        <v>56888</v>
      </c>
    </row>
    <row r="690" customFormat="false" ht="15.75" hidden="false" customHeight="false" outlineLevel="0" collapsed="false">
      <c r="A690" s="334" t="n">
        <v>11</v>
      </c>
      <c r="B690" s="269" t="n">
        <v>56919</v>
      </c>
    </row>
    <row r="691" customFormat="false" ht="15.75" hidden="false" customHeight="false" outlineLevel="0" collapsed="false">
      <c r="A691" s="334" t="n">
        <v>12</v>
      </c>
      <c r="B691" s="269" t="n">
        <v>56949</v>
      </c>
    </row>
    <row r="692" customFormat="false" ht="15.75" hidden="false" customHeight="false" outlineLevel="0" collapsed="false">
      <c r="A692" s="334" t="n">
        <v>1</v>
      </c>
      <c r="B692" s="269" t="n">
        <v>56980</v>
      </c>
    </row>
    <row r="693" customFormat="false" ht="15.75" hidden="false" customHeight="false" outlineLevel="0" collapsed="false">
      <c r="A693" s="334" t="n">
        <v>2</v>
      </c>
      <c r="B693" s="269" t="n">
        <v>57011</v>
      </c>
    </row>
    <row r="694" customFormat="false" ht="15.75" hidden="false" customHeight="false" outlineLevel="0" collapsed="false">
      <c r="A694" s="334" t="n">
        <v>3</v>
      </c>
      <c r="B694" s="269" t="n">
        <v>57040</v>
      </c>
    </row>
    <row r="695" customFormat="false" ht="15.75" hidden="false" customHeight="false" outlineLevel="0" collapsed="false">
      <c r="A695" s="334" t="n">
        <v>4</v>
      </c>
      <c r="B695" s="269" t="n">
        <v>57071</v>
      </c>
    </row>
    <row r="696" customFormat="false" ht="15.75" hidden="false" customHeight="false" outlineLevel="0" collapsed="false">
      <c r="A696" s="334" t="n">
        <v>5</v>
      </c>
      <c r="B696" s="269" t="n">
        <v>57101</v>
      </c>
    </row>
    <row r="697" customFormat="false" ht="15.75" hidden="false" customHeight="false" outlineLevel="0" collapsed="false">
      <c r="A697" s="334" t="n">
        <v>6</v>
      </c>
      <c r="B697" s="269" t="n">
        <v>57132</v>
      </c>
    </row>
    <row r="698" customFormat="false" ht="15.75" hidden="false" customHeight="false" outlineLevel="0" collapsed="false">
      <c r="A698" s="334" t="n">
        <v>7</v>
      </c>
      <c r="B698" s="269" t="n">
        <v>57162</v>
      </c>
    </row>
    <row r="699" customFormat="false" ht="15.75" hidden="false" customHeight="false" outlineLevel="0" collapsed="false">
      <c r="A699" s="334" t="n">
        <v>8</v>
      </c>
      <c r="B699" s="269" t="n">
        <v>57193</v>
      </c>
    </row>
    <row r="700" customFormat="false" ht="15.75" hidden="false" customHeight="false" outlineLevel="0" collapsed="false">
      <c r="A700" s="334" t="n">
        <v>9</v>
      </c>
      <c r="B700" s="269" t="n">
        <v>57224</v>
      </c>
    </row>
    <row r="701" customFormat="false" ht="15.75" hidden="false" customHeight="false" outlineLevel="0" collapsed="false">
      <c r="A701" s="334" t="n">
        <v>10</v>
      </c>
      <c r="B701" s="269" t="n">
        <v>57254</v>
      </c>
    </row>
    <row r="702" customFormat="false" ht="15.75" hidden="false" customHeight="false" outlineLevel="0" collapsed="false">
      <c r="A702" s="334" t="n">
        <v>11</v>
      </c>
      <c r="B702" s="269" t="n">
        <v>57285</v>
      </c>
    </row>
    <row r="703" customFormat="false" ht="15.75" hidden="false" customHeight="false" outlineLevel="0" collapsed="false">
      <c r="A703" s="334" t="n">
        <v>12</v>
      </c>
      <c r="B703" s="269" t="n">
        <v>57315</v>
      </c>
    </row>
    <row r="704" customFormat="false" ht="15.75" hidden="false" customHeight="false" outlineLevel="0" collapsed="false">
      <c r="A704" s="334" t="n">
        <v>1</v>
      </c>
      <c r="B704" s="269" t="n">
        <v>57346</v>
      </c>
    </row>
    <row r="705" customFormat="false" ht="15.75" hidden="false" customHeight="false" outlineLevel="0" collapsed="false">
      <c r="A705" s="334" t="n">
        <v>2</v>
      </c>
      <c r="B705" s="269" t="n">
        <v>57377</v>
      </c>
    </row>
    <row r="706" customFormat="false" ht="15.75" hidden="false" customHeight="false" outlineLevel="0" collapsed="false">
      <c r="A706" s="334" t="n">
        <v>3</v>
      </c>
      <c r="B706" s="269" t="n">
        <v>57405</v>
      </c>
    </row>
    <row r="707" customFormat="false" ht="15.75" hidden="false" customHeight="false" outlineLevel="0" collapsed="false">
      <c r="A707" s="334" t="n">
        <v>4</v>
      </c>
      <c r="B707" s="269" t="n">
        <v>57436</v>
      </c>
    </row>
    <row r="708" customFormat="false" ht="15.75" hidden="false" customHeight="false" outlineLevel="0" collapsed="false">
      <c r="A708" s="334" t="n">
        <v>5</v>
      </c>
      <c r="B708" s="269" t="n">
        <v>57466</v>
      </c>
    </row>
    <row r="709" customFormat="false" ht="15.75" hidden="false" customHeight="false" outlineLevel="0" collapsed="false">
      <c r="A709" s="334" t="n">
        <v>6</v>
      </c>
      <c r="B709" s="269" t="n">
        <v>57497</v>
      </c>
    </row>
    <row r="710" customFormat="false" ht="15.75" hidden="false" customHeight="false" outlineLevel="0" collapsed="false">
      <c r="A710" s="334" t="n">
        <v>7</v>
      </c>
      <c r="B710" s="269" t="n">
        <v>57527</v>
      </c>
    </row>
    <row r="711" customFormat="false" ht="15.75" hidden="false" customHeight="false" outlineLevel="0" collapsed="false">
      <c r="A711" s="334" t="n">
        <v>8</v>
      </c>
      <c r="B711" s="269" t="n">
        <v>57558</v>
      </c>
    </row>
    <row r="712" customFormat="false" ht="15.75" hidden="false" customHeight="false" outlineLevel="0" collapsed="false">
      <c r="A712" s="334" t="n">
        <v>9</v>
      </c>
      <c r="B712" s="269" t="n">
        <v>57589</v>
      </c>
    </row>
    <row r="713" customFormat="false" ht="15.75" hidden="false" customHeight="false" outlineLevel="0" collapsed="false">
      <c r="A713" s="334" t="n">
        <v>10</v>
      </c>
      <c r="B713" s="269" t="n">
        <v>57619</v>
      </c>
    </row>
    <row r="714" customFormat="false" ht="15.75" hidden="false" customHeight="false" outlineLevel="0" collapsed="false">
      <c r="A714" s="334" t="n">
        <v>11</v>
      </c>
      <c r="B714" s="269" t="n">
        <v>57650</v>
      </c>
    </row>
    <row r="715" customFormat="false" ht="15.75" hidden="false" customHeight="false" outlineLevel="0" collapsed="false">
      <c r="A715" s="334" t="n">
        <v>12</v>
      </c>
      <c r="B715" s="269" t="n">
        <v>57680</v>
      </c>
    </row>
    <row r="716" customFormat="false" ht="15.75" hidden="false" customHeight="false" outlineLevel="0" collapsed="false">
      <c r="A716" s="334" t="n">
        <v>1</v>
      </c>
      <c r="B716" s="269" t="n">
        <v>57711</v>
      </c>
    </row>
    <row r="717" customFormat="false" ht="15.75" hidden="false" customHeight="false" outlineLevel="0" collapsed="false">
      <c r="A717" s="334" t="n">
        <v>2</v>
      </c>
      <c r="B717" s="269" t="n">
        <v>57742</v>
      </c>
    </row>
    <row r="718" customFormat="false" ht="15.75" hidden="false" customHeight="false" outlineLevel="0" collapsed="false">
      <c r="A718" s="334" t="n">
        <v>3</v>
      </c>
      <c r="B718" s="269" t="n">
        <v>57770</v>
      </c>
    </row>
    <row r="719" customFormat="false" ht="15.75" hidden="false" customHeight="false" outlineLevel="0" collapsed="false">
      <c r="A719" s="334" t="n">
        <v>4</v>
      </c>
      <c r="B719" s="269" t="n">
        <v>57801</v>
      </c>
    </row>
    <row r="720" customFormat="false" ht="15.75" hidden="false" customHeight="false" outlineLevel="0" collapsed="false">
      <c r="A720" s="334" t="n">
        <v>5</v>
      </c>
      <c r="B720" s="269" t="n">
        <v>57831</v>
      </c>
    </row>
    <row r="721" customFormat="false" ht="15.75" hidden="false" customHeight="false" outlineLevel="0" collapsed="false">
      <c r="A721" s="334" t="n">
        <v>6</v>
      </c>
      <c r="B721" s="269" t="n">
        <v>57862</v>
      </c>
    </row>
    <row r="722" customFormat="false" ht="15.75" hidden="false" customHeight="false" outlineLevel="0" collapsed="false">
      <c r="A722" s="334" t="n">
        <v>7</v>
      </c>
      <c r="B722" s="269" t="n">
        <v>57892</v>
      </c>
    </row>
    <row r="723" customFormat="false" ht="15.75" hidden="false" customHeight="false" outlineLevel="0" collapsed="false">
      <c r="A723" s="334" t="n">
        <v>8</v>
      </c>
      <c r="B723" s="269" t="n">
        <v>57923</v>
      </c>
    </row>
    <row r="724" customFormat="false" ht="15.75" hidden="false" customHeight="false" outlineLevel="0" collapsed="false">
      <c r="A724" s="334" t="n">
        <v>9</v>
      </c>
      <c r="B724" s="269" t="n">
        <v>57954</v>
      </c>
    </row>
    <row r="725" customFormat="false" ht="15.75" hidden="false" customHeight="false" outlineLevel="0" collapsed="false">
      <c r="A725" s="334" t="n">
        <v>10</v>
      </c>
      <c r="B725" s="269" t="n">
        <v>57984</v>
      </c>
    </row>
    <row r="726" customFormat="false" ht="15.75" hidden="false" customHeight="false" outlineLevel="0" collapsed="false">
      <c r="A726" s="334" t="n">
        <v>11</v>
      </c>
      <c r="B726" s="269" t="n">
        <v>58015</v>
      </c>
    </row>
    <row r="727" customFormat="false" ht="15.75" hidden="false" customHeight="false" outlineLevel="0" collapsed="false">
      <c r="A727" s="334" t="n">
        <v>12</v>
      </c>
      <c r="B727" s="269" t="n">
        <v>58045</v>
      </c>
    </row>
    <row r="728" customFormat="false" ht="15.75" hidden="false" customHeight="false" outlineLevel="0" collapsed="false">
      <c r="A728" s="334" t="n">
        <v>1</v>
      </c>
      <c r="B728" s="269" t="n">
        <v>58076</v>
      </c>
    </row>
    <row r="729" customFormat="false" ht="15.75" hidden="false" customHeight="false" outlineLevel="0" collapsed="false">
      <c r="A729" s="334" t="n">
        <v>2</v>
      </c>
      <c r="B729" s="269" t="n">
        <v>58107</v>
      </c>
    </row>
    <row r="730" customFormat="false" ht="15.75" hidden="false" customHeight="false" outlineLevel="0" collapsed="false">
      <c r="A730" s="334" t="n">
        <v>3</v>
      </c>
      <c r="B730" s="269" t="n">
        <v>58135</v>
      </c>
    </row>
    <row r="731" customFormat="false" ht="15.75" hidden="false" customHeight="false" outlineLevel="0" collapsed="false">
      <c r="A731" s="334" t="n">
        <v>4</v>
      </c>
      <c r="B731" s="269" t="n">
        <v>58166</v>
      </c>
    </row>
    <row r="732" customFormat="false" ht="15.75" hidden="false" customHeight="false" outlineLevel="0" collapsed="false">
      <c r="A732" s="334" t="n">
        <v>5</v>
      </c>
      <c r="B732" s="269" t="n">
        <v>58196</v>
      </c>
    </row>
    <row r="733" customFormat="false" ht="15.75" hidden="false" customHeight="false" outlineLevel="0" collapsed="false">
      <c r="A733" s="334" t="n">
        <v>6</v>
      </c>
      <c r="B733" s="269" t="n">
        <v>58227</v>
      </c>
    </row>
    <row r="734" customFormat="false" ht="15.75" hidden="false" customHeight="false" outlineLevel="0" collapsed="false">
      <c r="A734" s="334" t="n">
        <v>7</v>
      </c>
      <c r="B734" s="269" t="n">
        <v>58257</v>
      </c>
    </row>
    <row r="735" customFormat="false" ht="15.75" hidden="false" customHeight="false" outlineLevel="0" collapsed="false">
      <c r="A735" s="334" t="n">
        <v>8</v>
      </c>
      <c r="B735" s="269" t="n">
        <v>58288</v>
      </c>
    </row>
    <row r="736" customFormat="false" ht="15.75" hidden="false" customHeight="false" outlineLevel="0" collapsed="false">
      <c r="A736" s="334" t="n">
        <v>9</v>
      </c>
      <c r="B736" s="269" t="n">
        <v>58319</v>
      </c>
    </row>
    <row r="737" customFormat="false" ht="15.75" hidden="false" customHeight="false" outlineLevel="0" collapsed="false">
      <c r="A737" s="334" t="n">
        <v>10</v>
      </c>
      <c r="B737" s="269" t="n">
        <v>58349</v>
      </c>
    </row>
    <row r="738" customFormat="false" ht="15.75" hidden="false" customHeight="false" outlineLevel="0" collapsed="false">
      <c r="A738" s="334" t="n">
        <v>11</v>
      </c>
      <c r="B738" s="269" t="n">
        <v>58380</v>
      </c>
    </row>
    <row r="739" customFormat="false" ht="15.75" hidden="false" customHeight="false" outlineLevel="0" collapsed="false">
      <c r="A739" s="334" t="n">
        <v>12</v>
      </c>
      <c r="B739" s="269" t="n">
        <v>58410</v>
      </c>
    </row>
    <row r="740" customFormat="false" ht="15.75" hidden="false" customHeight="false" outlineLevel="0" collapsed="false">
      <c r="A740" s="334" t="n">
        <v>1</v>
      </c>
      <c r="B740" s="269" t="n">
        <v>58441</v>
      </c>
    </row>
    <row r="741" customFormat="false" ht="15.75" hidden="false" customHeight="false" outlineLevel="0" collapsed="false">
      <c r="A741" s="334" t="n">
        <v>2</v>
      </c>
      <c r="B741" s="269" t="n">
        <v>58472</v>
      </c>
    </row>
    <row r="742" customFormat="false" ht="15.75" hidden="false" customHeight="false" outlineLevel="0" collapsed="false">
      <c r="A742" s="334" t="n">
        <v>3</v>
      </c>
      <c r="B742" s="269" t="n">
        <v>58501</v>
      </c>
    </row>
    <row r="743" customFormat="false" ht="15.75" hidden="false" customHeight="false" outlineLevel="0" collapsed="false">
      <c r="A743" s="334" t="n">
        <v>4</v>
      </c>
      <c r="B743" s="269" t="n">
        <v>58532</v>
      </c>
    </row>
    <row r="744" customFormat="false" ht="15.75" hidden="false" customHeight="false" outlineLevel="0" collapsed="false">
      <c r="A744" s="334" t="n">
        <v>5</v>
      </c>
      <c r="B744" s="269" t="n">
        <v>58562</v>
      </c>
    </row>
    <row r="745" customFormat="false" ht="15.75" hidden="false" customHeight="false" outlineLevel="0" collapsed="false">
      <c r="A745" s="334" t="n">
        <v>6</v>
      </c>
      <c r="B745" s="269" t="n">
        <v>58593</v>
      </c>
    </row>
    <row r="746" customFormat="false" ht="15.75" hidden="false" customHeight="false" outlineLevel="0" collapsed="false">
      <c r="A746" s="334" t="n">
        <v>7</v>
      </c>
      <c r="B746" s="269" t="n">
        <v>58623</v>
      </c>
    </row>
    <row r="747" customFormat="false" ht="15.75" hidden="false" customHeight="false" outlineLevel="0" collapsed="false">
      <c r="A747" s="334" t="n">
        <v>8</v>
      </c>
      <c r="B747" s="269" t="n">
        <v>58654</v>
      </c>
    </row>
    <row r="748" customFormat="false" ht="15.75" hidden="false" customHeight="false" outlineLevel="0" collapsed="false">
      <c r="A748" s="334" t="n">
        <v>9</v>
      </c>
      <c r="B748" s="269" t="n">
        <v>58685</v>
      </c>
    </row>
    <row r="749" customFormat="false" ht="15.75" hidden="false" customHeight="false" outlineLevel="0" collapsed="false">
      <c r="A749" s="334" t="n">
        <v>10</v>
      </c>
      <c r="B749" s="269" t="n">
        <v>58715</v>
      </c>
    </row>
    <row r="750" customFormat="false" ht="15.75" hidden="false" customHeight="false" outlineLevel="0" collapsed="false">
      <c r="A750" s="334" t="n">
        <v>11</v>
      </c>
      <c r="B750" s="269" t="n">
        <v>58746</v>
      </c>
    </row>
    <row r="751" customFormat="false" ht="15.75" hidden="false" customHeight="false" outlineLevel="0" collapsed="false">
      <c r="A751" s="334" t="n">
        <v>12</v>
      </c>
      <c r="B751" s="269" t="n">
        <v>58776</v>
      </c>
    </row>
    <row r="752" customFormat="false" ht="15.75" hidden="false" customHeight="false" outlineLevel="0" collapsed="false">
      <c r="A752" s="334" t="n">
        <v>1</v>
      </c>
      <c r="B752" s="269" t="n">
        <v>58807</v>
      </c>
    </row>
    <row r="753" customFormat="false" ht="15.75" hidden="false" customHeight="false" outlineLevel="0" collapsed="false">
      <c r="A753" s="334" t="n">
        <v>2</v>
      </c>
      <c r="B753" s="269" t="n">
        <v>58838</v>
      </c>
    </row>
    <row r="754" customFormat="false" ht="15.75" hidden="false" customHeight="false" outlineLevel="0" collapsed="false">
      <c r="A754" s="334" t="n">
        <v>3</v>
      </c>
      <c r="B754" s="269" t="n">
        <v>58866</v>
      </c>
    </row>
    <row r="755" customFormat="false" ht="15.75" hidden="false" customHeight="false" outlineLevel="0" collapsed="false">
      <c r="A755" s="334" t="n">
        <v>4</v>
      </c>
      <c r="B755" s="269" t="n">
        <v>58897</v>
      </c>
    </row>
    <row r="756" customFormat="false" ht="15.75" hidden="false" customHeight="false" outlineLevel="0" collapsed="false">
      <c r="A756" s="334" t="n">
        <v>5</v>
      </c>
      <c r="B756" s="269" t="n">
        <v>58927</v>
      </c>
    </row>
    <row r="757" customFormat="false" ht="15.75" hidden="false" customHeight="false" outlineLevel="0" collapsed="false">
      <c r="A757" s="334" t="n">
        <v>6</v>
      </c>
      <c r="B757" s="269" t="n">
        <v>58958</v>
      </c>
    </row>
    <row r="758" customFormat="false" ht="15.75" hidden="false" customHeight="false" outlineLevel="0" collapsed="false">
      <c r="A758" s="334" t="n">
        <v>7</v>
      </c>
      <c r="B758" s="269" t="n">
        <v>58988</v>
      </c>
    </row>
    <row r="759" customFormat="false" ht="15.75" hidden="false" customHeight="false" outlineLevel="0" collapsed="false">
      <c r="A759" s="334" t="n">
        <v>8</v>
      </c>
      <c r="B759" s="269" t="n">
        <v>59019</v>
      </c>
    </row>
    <row r="760" customFormat="false" ht="15.75" hidden="false" customHeight="false" outlineLevel="0" collapsed="false">
      <c r="A760" s="334" t="n">
        <v>9</v>
      </c>
      <c r="B760" s="269" t="n">
        <v>59050</v>
      </c>
    </row>
    <row r="761" customFormat="false" ht="15.75" hidden="false" customHeight="false" outlineLevel="0" collapsed="false">
      <c r="A761" s="334" t="n">
        <v>10</v>
      </c>
      <c r="B761" s="269" t="n">
        <v>59080</v>
      </c>
    </row>
    <row r="762" customFormat="false" ht="15.75" hidden="false" customHeight="false" outlineLevel="0" collapsed="false">
      <c r="A762" s="334" t="n">
        <v>11</v>
      </c>
      <c r="B762" s="269" t="n">
        <v>59111</v>
      </c>
    </row>
    <row r="763" customFormat="false" ht="15.75" hidden="false" customHeight="false" outlineLevel="0" collapsed="false">
      <c r="A763" s="334" t="n">
        <v>12</v>
      </c>
      <c r="B763" s="269" t="n">
        <v>59141</v>
      </c>
    </row>
    <row r="764" customFormat="false" ht="15.75" hidden="false" customHeight="false" outlineLevel="0" collapsed="false">
      <c r="A764" s="334" t="n">
        <v>1</v>
      </c>
      <c r="B764" s="269" t="n">
        <v>59172</v>
      </c>
    </row>
    <row r="765" customFormat="false" ht="15.75" hidden="false" customHeight="false" outlineLevel="0" collapsed="false">
      <c r="A765" s="334" t="n">
        <v>2</v>
      </c>
      <c r="B765" s="269" t="n">
        <v>59203</v>
      </c>
    </row>
    <row r="766" customFormat="false" ht="15.75" hidden="false" customHeight="false" outlineLevel="0" collapsed="false">
      <c r="A766" s="334" t="n">
        <v>3</v>
      </c>
      <c r="B766" s="269" t="n">
        <v>59231</v>
      </c>
    </row>
    <row r="767" customFormat="false" ht="15.75" hidden="false" customHeight="false" outlineLevel="0" collapsed="false">
      <c r="A767" s="334" t="n">
        <v>4</v>
      </c>
      <c r="B767" s="269" t="n">
        <v>59262</v>
      </c>
    </row>
    <row r="768" customFormat="false" ht="15.75" hidden="false" customHeight="false" outlineLevel="0" collapsed="false">
      <c r="A768" s="334" t="n">
        <v>5</v>
      </c>
      <c r="B768" s="269" t="n">
        <v>59292</v>
      </c>
    </row>
    <row r="769" customFormat="false" ht="15.75" hidden="false" customHeight="false" outlineLevel="0" collapsed="false">
      <c r="A769" s="334" t="n">
        <v>6</v>
      </c>
      <c r="B769" s="269" t="n">
        <v>59323</v>
      </c>
    </row>
    <row r="770" customFormat="false" ht="15.75" hidden="false" customHeight="false" outlineLevel="0" collapsed="false">
      <c r="A770" s="334" t="n">
        <v>7</v>
      </c>
      <c r="B770" s="269" t="n">
        <v>59353</v>
      </c>
    </row>
    <row r="771" customFormat="false" ht="15.75" hidden="false" customHeight="false" outlineLevel="0" collapsed="false">
      <c r="A771" s="334" t="n">
        <v>8</v>
      </c>
      <c r="B771" s="269" t="n">
        <v>59384</v>
      </c>
    </row>
    <row r="772" customFormat="false" ht="15.75" hidden="false" customHeight="false" outlineLevel="0" collapsed="false">
      <c r="A772" s="334" t="n">
        <v>9</v>
      </c>
      <c r="B772" s="269" t="n">
        <v>59415</v>
      </c>
    </row>
    <row r="773" customFormat="false" ht="15.75" hidden="false" customHeight="false" outlineLevel="0" collapsed="false">
      <c r="A773" s="334" t="n">
        <v>10</v>
      </c>
      <c r="B773" s="269" t="n">
        <v>59445</v>
      </c>
    </row>
    <row r="774" customFormat="false" ht="15.75" hidden="false" customHeight="false" outlineLevel="0" collapsed="false">
      <c r="A774" s="334" t="n">
        <v>11</v>
      </c>
      <c r="B774" s="269" t="n">
        <v>59476</v>
      </c>
    </row>
    <row r="775" customFormat="false" ht="15.75" hidden="false" customHeight="false" outlineLevel="0" collapsed="false">
      <c r="A775" s="334" t="n">
        <v>12</v>
      </c>
      <c r="B775" s="269" t="n">
        <v>59506</v>
      </c>
    </row>
    <row r="776" customFormat="false" ht="15.75" hidden="false" customHeight="false" outlineLevel="0" collapsed="false">
      <c r="A776" s="334" t="n">
        <v>1</v>
      </c>
      <c r="B776" s="269" t="n">
        <v>59537</v>
      </c>
    </row>
    <row r="777" customFormat="false" ht="15.75" hidden="false" customHeight="false" outlineLevel="0" collapsed="false">
      <c r="A777" s="334" t="n">
        <v>2</v>
      </c>
      <c r="B777" s="269" t="n">
        <v>59568</v>
      </c>
    </row>
    <row r="778" customFormat="false" ht="15.75" hidden="false" customHeight="false" outlineLevel="0" collapsed="false">
      <c r="A778" s="334" t="n">
        <v>3</v>
      </c>
      <c r="B778" s="269" t="n">
        <v>59596</v>
      </c>
    </row>
    <row r="779" customFormat="false" ht="15.75" hidden="false" customHeight="false" outlineLevel="0" collapsed="false">
      <c r="A779" s="334" t="n">
        <v>4</v>
      </c>
      <c r="B779" s="269" t="n">
        <v>59627</v>
      </c>
    </row>
    <row r="780" customFormat="false" ht="15.75" hidden="false" customHeight="false" outlineLevel="0" collapsed="false">
      <c r="A780" s="334" t="n">
        <v>5</v>
      </c>
      <c r="B780" s="269" t="n">
        <v>59657</v>
      </c>
    </row>
    <row r="781" customFormat="false" ht="15.75" hidden="false" customHeight="false" outlineLevel="0" collapsed="false">
      <c r="A781" s="334" t="n">
        <v>6</v>
      </c>
      <c r="B781" s="269" t="n">
        <v>59688</v>
      </c>
    </row>
    <row r="782" customFormat="false" ht="15.75" hidden="false" customHeight="false" outlineLevel="0" collapsed="false">
      <c r="A782" s="334" t="n">
        <v>7</v>
      </c>
      <c r="B782" s="269" t="n">
        <v>59718</v>
      </c>
    </row>
    <row r="783" customFormat="false" ht="15.75" hidden="false" customHeight="false" outlineLevel="0" collapsed="false">
      <c r="A783" s="334" t="n">
        <v>8</v>
      </c>
      <c r="B783" s="269" t="n">
        <v>59749</v>
      </c>
    </row>
    <row r="784" customFormat="false" ht="15.75" hidden="false" customHeight="false" outlineLevel="0" collapsed="false">
      <c r="A784" s="334" t="n">
        <v>9</v>
      </c>
      <c r="B784" s="269" t="n">
        <v>59780</v>
      </c>
    </row>
    <row r="785" customFormat="false" ht="15.75" hidden="false" customHeight="false" outlineLevel="0" collapsed="false">
      <c r="A785" s="334" t="n">
        <v>10</v>
      </c>
      <c r="B785" s="269" t="n">
        <v>59810</v>
      </c>
    </row>
    <row r="786" customFormat="false" ht="15.75" hidden="false" customHeight="false" outlineLevel="0" collapsed="false">
      <c r="A786" s="334" t="n">
        <v>11</v>
      </c>
      <c r="B786" s="269" t="n">
        <v>59841</v>
      </c>
    </row>
    <row r="787" customFormat="false" ht="15.75" hidden="false" customHeight="false" outlineLevel="0" collapsed="false">
      <c r="A787" s="334" t="n">
        <v>12</v>
      </c>
      <c r="B787" s="269" t="n">
        <v>59871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87"/>
  <sheetViews>
    <sheetView showFormulas="false" showGridLines="tru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E24" activeCellId="0" sqref="E24"/>
    </sheetView>
  </sheetViews>
  <sheetFormatPr defaultColWidth="12.5625" defaultRowHeight="15.75" customHeight="true" zeroHeight="false" outlineLevelRow="0" outlineLevelCol="0"/>
  <cols>
    <col collapsed="false" customWidth="true" hidden="false" outlineLevel="0" max="1" min="1" style="333" width="1.85"/>
    <col collapsed="false" customWidth="true" hidden="false" outlineLevel="0" max="2" min="2" style="333" width="13.28"/>
    <col collapsed="false" customWidth="true" hidden="false" outlineLevel="0" max="3" min="3" style="352" width="9.7"/>
    <col collapsed="false" customWidth="true" hidden="false" outlineLevel="0" max="22" min="4" style="333" width="9.7"/>
    <col collapsed="false" customWidth="false" hidden="false" outlineLevel="0" max="257" min="23" style="333" width="12.56"/>
  </cols>
  <sheetData>
    <row r="1" customFormat="false" ht="8.25" hidden="false" customHeight="false" outlineLevel="0" collapsed="false">
      <c r="A1" s="334"/>
      <c r="B1" s="334"/>
      <c r="C1" s="353" t="n">
        <v>1</v>
      </c>
      <c r="D1" s="334" t="n">
        <f aca="false">C1+1</f>
        <v>2</v>
      </c>
      <c r="E1" s="334" t="n">
        <f aca="false">D1+1</f>
        <v>3</v>
      </c>
      <c r="F1" s="334" t="n">
        <f aca="false">E1+1</f>
        <v>4</v>
      </c>
      <c r="G1" s="334" t="n">
        <f aca="false">F1+1</f>
        <v>5</v>
      </c>
      <c r="H1" s="334" t="n">
        <f aca="false">G1+1</f>
        <v>6</v>
      </c>
      <c r="I1" s="334" t="n">
        <f aca="false">H1+1</f>
        <v>7</v>
      </c>
      <c r="J1" s="334" t="n">
        <f aca="false">I1+1</f>
        <v>8</v>
      </c>
      <c r="K1" s="334" t="n">
        <f aca="false">J1+1</f>
        <v>9</v>
      </c>
      <c r="L1" s="334" t="n">
        <f aca="false">K1+1</f>
        <v>10</v>
      </c>
      <c r="M1" s="334" t="n">
        <f aca="false">L1+1</f>
        <v>11</v>
      </c>
      <c r="N1" s="334" t="n">
        <f aca="false">M1+1</f>
        <v>12</v>
      </c>
      <c r="O1" s="334" t="n">
        <f aca="false">N1+1</f>
        <v>13</v>
      </c>
      <c r="P1" s="334" t="n">
        <f aca="false">O1+1</f>
        <v>14</v>
      </c>
      <c r="Q1" s="334" t="n">
        <f aca="false">P1+1</f>
        <v>15</v>
      </c>
      <c r="R1" s="334" t="n">
        <f aca="false">Q1+1</f>
        <v>16</v>
      </c>
      <c r="S1" s="334" t="n">
        <f aca="false">R1+1</f>
        <v>17</v>
      </c>
      <c r="T1" s="334" t="n">
        <f aca="false">S1+1</f>
        <v>18</v>
      </c>
      <c r="U1" s="334" t="n">
        <f aca="false">T1+1</f>
        <v>19</v>
      </c>
      <c r="V1" s="334" t="n">
        <f aca="false">U1+1</f>
        <v>20</v>
      </c>
      <c r="W1" s="334"/>
      <c r="X1" s="334"/>
      <c r="Y1" s="334"/>
      <c r="Z1" s="334"/>
      <c r="AA1" s="334"/>
      <c r="AB1" s="334"/>
      <c r="AC1" s="334"/>
      <c r="AD1" s="334"/>
      <c r="AE1" s="334"/>
      <c r="AF1" s="334"/>
      <c r="AG1" s="334"/>
      <c r="AH1" s="334"/>
      <c r="AI1" s="334"/>
      <c r="AJ1" s="334"/>
      <c r="AK1" s="334"/>
      <c r="AL1" s="334"/>
      <c r="AM1" s="334"/>
      <c r="AN1" s="334"/>
      <c r="AO1" s="334"/>
      <c r="AP1" s="334"/>
      <c r="AQ1" s="334"/>
      <c r="AR1" s="334"/>
      <c r="AS1" s="334"/>
      <c r="AT1" s="334"/>
      <c r="AU1" s="334"/>
      <c r="AV1" s="334"/>
      <c r="AW1" s="334"/>
      <c r="AX1" s="334"/>
      <c r="AY1" s="334"/>
      <c r="AZ1" s="334"/>
      <c r="BA1" s="334"/>
      <c r="BB1" s="334"/>
      <c r="BC1" s="334"/>
      <c r="BD1" s="334"/>
      <c r="BE1" s="334"/>
      <c r="BF1" s="334"/>
      <c r="BG1" s="334"/>
      <c r="BH1" s="334"/>
      <c r="BI1" s="334"/>
      <c r="BJ1" s="334"/>
      <c r="BK1" s="334"/>
      <c r="BL1" s="334"/>
      <c r="BM1" s="334"/>
      <c r="BN1" s="334"/>
      <c r="BO1" s="334"/>
      <c r="BP1" s="334"/>
      <c r="BQ1" s="334"/>
      <c r="BR1" s="334"/>
      <c r="BS1" s="334"/>
      <c r="BT1" s="334"/>
      <c r="BU1" s="334"/>
      <c r="BV1" s="334"/>
      <c r="BW1" s="334"/>
      <c r="BX1" s="334"/>
      <c r="BY1" s="334"/>
      <c r="BZ1" s="334"/>
      <c r="CA1" s="334"/>
      <c r="CB1" s="334"/>
      <c r="CC1" s="334"/>
      <c r="CD1" s="334"/>
      <c r="CE1" s="334"/>
      <c r="CF1" s="334"/>
      <c r="CG1" s="334"/>
      <c r="CH1" s="334"/>
      <c r="CI1" s="334"/>
      <c r="CJ1" s="334"/>
      <c r="CK1" s="334"/>
      <c r="CL1" s="334"/>
      <c r="CM1" s="334"/>
      <c r="CN1" s="334"/>
      <c r="CO1" s="334"/>
      <c r="CP1" s="334"/>
      <c r="CQ1" s="334"/>
      <c r="CR1" s="334"/>
      <c r="CS1" s="334"/>
      <c r="CT1" s="334"/>
      <c r="CU1" s="334"/>
      <c r="CV1" s="334"/>
      <c r="CW1" s="334"/>
      <c r="CX1" s="334"/>
      <c r="CY1" s="334"/>
      <c r="CZ1" s="334"/>
      <c r="DA1" s="334"/>
      <c r="DB1" s="334"/>
      <c r="DC1" s="334"/>
      <c r="DD1" s="334"/>
      <c r="DE1" s="334"/>
      <c r="DF1" s="334"/>
      <c r="DG1" s="334"/>
      <c r="DH1" s="334"/>
      <c r="DI1" s="334"/>
      <c r="DJ1" s="334"/>
      <c r="DK1" s="334"/>
      <c r="DL1" s="334"/>
      <c r="DM1" s="334"/>
      <c r="DN1" s="334"/>
      <c r="DO1" s="334"/>
      <c r="DP1" s="334"/>
      <c r="DQ1" s="334"/>
      <c r="DR1" s="334"/>
      <c r="DS1" s="334"/>
      <c r="DT1" s="334"/>
      <c r="DU1" s="334"/>
      <c r="DV1" s="334"/>
      <c r="DW1" s="334"/>
      <c r="DX1" s="334"/>
      <c r="DY1" s="334"/>
      <c r="DZ1" s="334"/>
      <c r="EA1" s="334"/>
      <c r="EB1" s="334"/>
      <c r="EC1" s="334"/>
      <c r="ED1" s="334"/>
      <c r="EE1" s="334"/>
      <c r="EF1" s="334"/>
      <c r="EG1" s="334"/>
      <c r="EH1" s="334"/>
      <c r="EI1" s="334"/>
      <c r="EJ1" s="334"/>
      <c r="EK1" s="334"/>
      <c r="EL1" s="334"/>
      <c r="EM1" s="334"/>
      <c r="EN1" s="334"/>
      <c r="EO1" s="334"/>
      <c r="EP1" s="334"/>
      <c r="EQ1" s="334"/>
      <c r="ER1" s="334"/>
      <c r="ES1" s="334"/>
      <c r="ET1" s="334"/>
      <c r="EU1" s="334"/>
      <c r="EV1" s="334"/>
      <c r="EW1" s="334"/>
      <c r="EX1" s="334"/>
      <c r="EY1" s="334"/>
      <c r="EZ1" s="334"/>
      <c r="FA1" s="334"/>
      <c r="FB1" s="334"/>
      <c r="FC1" s="334"/>
      <c r="FD1" s="334"/>
      <c r="FE1" s="334"/>
      <c r="FF1" s="334"/>
      <c r="FG1" s="334"/>
      <c r="FH1" s="334"/>
      <c r="FI1" s="334"/>
      <c r="FJ1" s="334"/>
      <c r="FK1" s="334"/>
      <c r="FL1" s="334"/>
      <c r="FM1" s="334"/>
      <c r="FN1" s="334"/>
      <c r="FO1" s="334"/>
      <c r="FP1" s="334"/>
      <c r="FQ1" s="334"/>
      <c r="FR1" s="334"/>
      <c r="FS1" s="334"/>
      <c r="FT1" s="334"/>
      <c r="FU1" s="334"/>
      <c r="FV1" s="334"/>
      <c r="FW1" s="334"/>
      <c r="FX1" s="334"/>
      <c r="FY1" s="334"/>
      <c r="FZ1" s="334"/>
      <c r="GA1" s="334"/>
      <c r="GB1" s="334"/>
      <c r="GC1" s="334"/>
      <c r="GD1" s="334"/>
      <c r="GE1" s="334"/>
      <c r="GF1" s="334"/>
      <c r="GG1" s="334"/>
      <c r="GH1" s="334"/>
      <c r="GI1" s="334"/>
      <c r="GJ1" s="334"/>
      <c r="GK1" s="334"/>
      <c r="GL1" s="334"/>
      <c r="GM1" s="334"/>
      <c r="GN1" s="334"/>
      <c r="GO1" s="334"/>
      <c r="GP1" s="334"/>
      <c r="GQ1" s="334"/>
      <c r="GR1" s="334"/>
      <c r="GS1" s="334"/>
      <c r="GT1" s="334"/>
      <c r="GU1" s="334"/>
      <c r="GV1" s="334"/>
      <c r="GW1" s="334"/>
      <c r="GX1" s="334"/>
      <c r="GY1" s="334"/>
      <c r="GZ1" s="334"/>
      <c r="HA1" s="334"/>
      <c r="HB1" s="334"/>
      <c r="HC1" s="334"/>
      <c r="HD1" s="334"/>
      <c r="HE1" s="334"/>
      <c r="HF1" s="334"/>
      <c r="HG1" s="334"/>
      <c r="HH1" s="334"/>
      <c r="HI1" s="334"/>
      <c r="HJ1" s="334"/>
      <c r="HK1" s="334"/>
      <c r="HL1" s="334"/>
      <c r="HM1" s="334"/>
      <c r="HN1" s="334"/>
      <c r="HO1" s="334"/>
      <c r="HP1" s="334"/>
      <c r="HQ1" s="334"/>
      <c r="HR1" s="334"/>
      <c r="HS1" s="334"/>
      <c r="HT1" s="334"/>
      <c r="HU1" s="334"/>
      <c r="HV1" s="334"/>
      <c r="HW1" s="334"/>
      <c r="HX1" s="334"/>
      <c r="HY1" s="334"/>
      <c r="HZ1" s="334"/>
      <c r="IA1" s="334"/>
      <c r="IB1" s="334"/>
      <c r="IC1" s="334"/>
      <c r="ID1" s="334"/>
      <c r="IE1" s="334"/>
      <c r="IF1" s="334"/>
      <c r="IG1" s="334"/>
      <c r="IH1" s="334"/>
      <c r="II1" s="334"/>
      <c r="IJ1" s="334"/>
      <c r="IK1" s="334"/>
      <c r="IL1" s="334"/>
      <c r="IM1" s="334"/>
      <c r="IN1" s="334"/>
      <c r="IO1" s="334"/>
      <c r="IP1" s="334"/>
      <c r="IQ1" s="334"/>
      <c r="IR1" s="334"/>
      <c r="IS1" s="334"/>
      <c r="IT1" s="334"/>
      <c r="IU1" s="334"/>
      <c r="IV1" s="334"/>
      <c r="IW1" s="334"/>
    </row>
    <row r="2" customFormat="false" ht="15.75" hidden="false" customHeight="false" outlineLevel="0" collapsed="false">
      <c r="B2" s="335" t="s">
        <v>162</v>
      </c>
      <c r="C2" s="336" t="n">
        <v>2000</v>
      </c>
      <c r="D2" s="336" t="n">
        <v>2001</v>
      </c>
      <c r="E2" s="336" t="n">
        <v>2002</v>
      </c>
      <c r="F2" s="336" t="n">
        <v>2003</v>
      </c>
      <c r="G2" s="336" t="n">
        <v>2004</v>
      </c>
      <c r="H2" s="336" t="n">
        <v>2005</v>
      </c>
      <c r="I2" s="336" t="n">
        <v>2006</v>
      </c>
      <c r="J2" s="336" t="n">
        <v>2007</v>
      </c>
      <c r="K2" s="336" t="n">
        <v>2008</v>
      </c>
      <c r="L2" s="336" t="n">
        <v>2009</v>
      </c>
      <c r="M2" s="336" t="n">
        <v>2010</v>
      </c>
      <c r="N2" s="336" t="n">
        <v>2011</v>
      </c>
      <c r="O2" s="336" t="n">
        <v>2012</v>
      </c>
      <c r="P2" s="336" t="n">
        <v>2013</v>
      </c>
      <c r="Q2" s="336" t="n">
        <v>2014</v>
      </c>
      <c r="R2" s="336" t="n">
        <v>2015</v>
      </c>
      <c r="S2" s="336" t="n">
        <v>2016</v>
      </c>
      <c r="T2" s="336" t="n">
        <v>2017</v>
      </c>
      <c r="U2" s="336" t="n">
        <v>2018</v>
      </c>
      <c r="V2" s="336" t="n">
        <v>2019</v>
      </c>
    </row>
    <row r="3" customFormat="false" ht="16.5" hidden="false" customHeight="false" outlineLevel="0" collapsed="false">
      <c r="B3" s="335" t="s">
        <v>163</v>
      </c>
      <c r="C3" s="354" t="n">
        <v>7</v>
      </c>
      <c r="D3" s="337" t="n">
        <v>12</v>
      </c>
      <c r="E3" s="337" t="n">
        <v>12</v>
      </c>
      <c r="F3" s="337" t="n">
        <v>12</v>
      </c>
      <c r="G3" s="337" t="n">
        <v>12</v>
      </c>
      <c r="H3" s="337" t="n">
        <v>12</v>
      </c>
      <c r="I3" s="337" t="n">
        <v>12</v>
      </c>
      <c r="J3" s="337" t="n">
        <v>12</v>
      </c>
      <c r="K3" s="337" t="n">
        <v>12</v>
      </c>
      <c r="L3" s="337" t="n">
        <v>12</v>
      </c>
      <c r="M3" s="337" t="n">
        <v>12</v>
      </c>
      <c r="N3" s="337" t="n">
        <v>12</v>
      </c>
      <c r="O3" s="337" t="n">
        <v>12</v>
      </c>
      <c r="P3" s="337" t="n">
        <v>12</v>
      </c>
      <c r="Q3" s="337" t="n">
        <v>12</v>
      </c>
      <c r="R3" s="337" t="n">
        <v>12</v>
      </c>
      <c r="S3" s="337" t="n">
        <v>12</v>
      </c>
      <c r="T3" s="337" t="n">
        <v>12</v>
      </c>
      <c r="U3" s="337" t="n">
        <v>12</v>
      </c>
      <c r="V3" s="337" t="n">
        <v>12</v>
      </c>
    </row>
    <row r="4" customFormat="false" ht="15.75" hidden="false" customHeight="false" outlineLevel="0" collapsed="false">
      <c r="B4" s="335"/>
      <c r="C4" s="35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5"/>
      <c r="P4" s="335"/>
      <c r="Q4" s="335"/>
      <c r="R4" s="335"/>
      <c r="S4" s="335"/>
      <c r="T4" s="335"/>
      <c r="U4" s="335"/>
      <c r="V4" s="335"/>
    </row>
    <row r="5" customFormat="false" ht="15.75" hidden="false" customHeight="false" outlineLevel="0" collapsed="false">
      <c r="A5" s="334" t="n">
        <v>1</v>
      </c>
      <c r="B5" s="333" t="s">
        <v>164</v>
      </c>
      <c r="D5" s="352" t="n">
        <v>3.83541667</v>
      </c>
      <c r="E5" s="352" t="n">
        <v>3.83541667</v>
      </c>
      <c r="F5" s="352" t="n">
        <v>3.83541667</v>
      </c>
      <c r="G5" s="352" t="n">
        <v>3.83541667</v>
      </c>
      <c r="H5" s="352" t="n">
        <v>3.83541667</v>
      </c>
      <c r="I5" s="352" t="n">
        <v>3.83541667</v>
      </c>
      <c r="J5" s="352" t="n">
        <v>3.83541667</v>
      </c>
      <c r="K5" s="352" t="n">
        <v>3.83541667</v>
      </c>
      <c r="L5" s="352" t="n">
        <v>3.83541667</v>
      </c>
      <c r="M5" s="352" t="n">
        <v>3.83541667</v>
      </c>
      <c r="N5" s="352" t="n">
        <v>3.83541667</v>
      </c>
      <c r="O5" s="352" t="n">
        <v>3.83541667</v>
      </c>
      <c r="P5" s="352" t="n">
        <v>3.83541667</v>
      </c>
      <c r="Q5" s="352" t="n">
        <v>3.83541667</v>
      </c>
      <c r="R5" s="352" t="n">
        <v>3.9375</v>
      </c>
      <c r="S5" s="352" t="n">
        <v>3.9375</v>
      </c>
      <c r="T5" s="352" t="n">
        <v>3.9375</v>
      </c>
      <c r="U5" s="352" t="n">
        <v>3.9375</v>
      </c>
      <c r="V5" s="352" t="n">
        <v>3.9375</v>
      </c>
      <c r="W5" s="352" t="n">
        <v>3.9375</v>
      </c>
    </row>
    <row r="6" customFormat="false" ht="15.75" hidden="false" customHeight="false" outlineLevel="0" collapsed="false">
      <c r="A6" s="334" t="n">
        <v>2</v>
      </c>
      <c r="B6" s="333" t="s">
        <v>165</v>
      </c>
      <c r="D6" s="352" t="n">
        <v>3.83541667</v>
      </c>
      <c r="E6" s="352" t="n">
        <v>3.83541667</v>
      </c>
      <c r="F6" s="352" t="n">
        <v>3.83541667</v>
      </c>
      <c r="G6" s="352" t="n">
        <v>3.83541667</v>
      </c>
      <c r="H6" s="352" t="n">
        <v>3.83541667</v>
      </c>
      <c r="I6" s="352" t="n">
        <v>3.83541667</v>
      </c>
      <c r="J6" s="352" t="n">
        <v>3.83541667</v>
      </c>
      <c r="K6" s="352" t="n">
        <v>3.83541667</v>
      </c>
      <c r="L6" s="352" t="n">
        <v>3.83541667</v>
      </c>
      <c r="M6" s="352" t="n">
        <v>3.83541667</v>
      </c>
      <c r="N6" s="352" t="n">
        <v>3.83541667</v>
      </c>
      <c r="O6" s="352" t="n">
        <v>3.83541667</v>
      </c>
      <c r="P6" s="352" t="n">
        <v>3.83541667</v>
      </c>
      <c r="Q6" s="352" t="n">
        <v>3.83541667</v>
      </c>
      <c r="R6" s="352" t="n">
        <v>3.9375</v>
      </c>
      <c r="S6" s="352" t="n">
        <v>3.9375</v>
      </c>
      <c r="T6" s="352" t="n">
        <v>3.9375</v>
      </c>
      <c r="U6" s="352" t="n">
        <v>3.9375</v>
      </c>
      <c r="V6" s="352" t="n">
        <v>3.9375</v>
      </c>
      <c r="W6" s="352" t="n">
        <v>3.9375</v>
      </c>
    </row>
    <row r="7" customFormat="false" ht="15.75" hidden="false" customHeight="false" outlineLevel="0" collapsed="false">
      <c r="A7" s="334" t="n">
        <v>3</v>
      </c>
      <c r="B7" s="333" t="s">
        <v>166</v>
      </c>
      <c r="D7" s="352" t="n">
        <v>3.83541667</v>
      </c>
      <c r="E7" s="352" t="n">
        <v>3.83541667</v>
      </c>
      <c r="F7" s="352" t="n">
        <v>3.83541667</v>
      </c>
      <c r="G7" s="352" t="n">
        <v>3.83541667</v>
      </c>
      <c r="H7" s="352" t="n">
        <v>3.83541667</v>
      </c>
      <c r="I7" s="352" t="n">
        <v>3.83541667</v>
      </c>
      <c r="J7" s="352" t="n">
        <v>3.83541667</v>
      </c>
      <c r="K7" s="352" t="n">
        <v>3.83541667</v>
      </c>
      <c r="L7" s="352" t="n">
        <v>3.83541667</v>
      </c>
      <c r="M7" s="352" t="n">
        <v>3.83541667</v>
      </c>
      <c r="N7" s="352" t="n">
        <v>3.83541667</v>
      </c>
      <c r="O7" s="352" t="n">
        <v>3.83541667</v>
      </c>
      <c r="P7" s="352" t="n">
        <v>3.83541667</v>
      </c>
      <c r="Q7" s="352" t="n">
        <v>3.83541667</v>
      </c>
      <c r="R7" s="352" t="n">
        <v>3.9375</v>
      </c>
      <c r="S7" s="352" t="n">
        <v>3.9375</v>
      </c>
      <c r="T7" s="352" t="n">
        <v>3.9375</v>
      </c>
      <c r="U7" s="352" t="n">
        <v>3.9375</v>
      </c>
      <c r="V7" s="352" t="n">
        <v>3.9375</v>
      </c>
      <c r="W7" s="352" t="n">
        <v>3.9375</v>
      </c>
    </row>
    <row r="8" customFormat="false" ht="15.75" hidden="false" customHeight="false" outlineLevel="0" collapsed="false">
      <c r="A8" s="334" t="n">
        <v>4</v>
      </c>
      <c r="B8" s="333" t="s">
        <v>167</v>
      </c>
      <c r="D8" s="352" t="n">
        <v>3.98020833</v>
      </c>
      <c r="E8" s="352" t="n">
        <v>3.98020833</v>
      </c>
      <c r="F8" s="352" t="n">
        <v>3.98020833</v>
      </c>
      <c r="G8" s="352" t="n">
        <v>3.98020833</v>
      </c>
      <c r="H8" s="352" t="n">
        <v>3.98020833</v>
      </c>
      <c r="I8" s="352" t="n">
        <v>3.98020833</v>
      </c>
      <c r="J8" s="352" t="n">
        <v>3.98020833</v>
      </c>
      <c r="K8" s="352" t="n">
        <v>3.98020833</v>
      </c>
      <c r="L8" s="352" t="n">
        <v>3.98020833</v>
      </c>
      <c r="M8" s="352" t="n">
        <v>3.98020833</v>
      </c>
      <c r="N8" s="352" t="n">
        <v>3.98020833</v>
      </c>
      <c r="O8" s="352" t="n">
        <v>3.98020833</v>
      </c>
      <c r="P8" s="352" t="n">
        <v>3.98020833</v>
      </c>
      <c r="Q8" s="352" t="n">
        <v>3.98020833</v>
      </c>
      <c r="R8" s="352" t="n">
        <v>4.08229167</v>
      </c>
      <c r="S8" s="352" t="n">
        <v>4.08229167</v>
      </c>
      <c r="T8" s="352" t="n">
        <v>4.08229167</v>
      </c>
      <c r="U8" s="352" t="n">
        <v>4.08229167</v>
      </c>
      <c r="V8" s="352" t="n">
        <v>4.08229167</v>
      </c>
      <c r="W8" s="352" t="n">
        <v>4.08229167</v>
      </c>
    </row>
    <row r="9" customFormat="false" ht="15.75" hidden="false" customHeight="false" outlineLevel="0" collapsed="false">
      <c r="A9" s="334" t="n">
        <v>5</v>
      </c>
      <c r="B9" s="333" t="s">
        <v>29</v>
      </c>
      <c r="D9" s="352" t="n">
        <v>3.81770833</v>
      </c>
      <c r="E9" s="352" t="n">
        <v>3.81770833</v>
      </c>
      <c r="F9" s="352" t="n">
        <v>3.81770833</v>
      </c>
      <c r="G9" s="352" t="n">
        <v>3.81770833</v>
      </c>
      <c r="H9" s="352" t="n">
        <v>3.81770833</v>
      </c>
      <c r="I9" s="352" t="n">
        <v>3.81770833</v>
      </c>
      <c r="J9" s="352" t="n">
        <v>3.81770833</v>
      </c>
      <c r="K9" s="352" t="n">
        <v>3.81770833</v>
      </c>
      <c r="L9" s="352" t="n">
        <v>3.81770833</v>
      </c>
      <c r="M9" s="352" t="n">
        <v>3.81770833</v>
      </c>
      <c r="N9" s="352" t="n">
        <v>3.81770833</v>
      </c>
      <c r="O9" s="352" t="n">
        <v>3.81770833</v>
      </c>
      <c r="P9" s="352" t="n">
        <v>3.81770833</v>
      </c>
      <c r="Q9" s="352" t="n">
        <v>3.81770833</v>
      </c>
      <c r="R9" s="352" t="n">
        <v>3.91979167</v>
      </c>
      <c r="S9" s="352" t="n">
        <v>3.91979167</v>
      </c>
      <c r="T9" s="352" t="n">
        <v>3.91979167</v>
      </c>
      <c r="U9" s="352" t="n">
        <v>3.91979167</v>
      </c>
      <c r="V9" s="352" t="n">
        <v>3.91979167</v>
      </c>
      <c r="W9" s="352" t="n">
        <v>3.91979167</v>
      </c>
    </row>
    <row r="10" customFormat="false" ht="15.75" hidden="false" customHeight="false" outlineLevel="0" collapsed="false">
      <c r="A10" s="334" t="n">
        <v>6</v>
      </c>
      <c r="B10" s="333" t="s">
        <v>168</v>
      </c>
      <c r="C10" s="352" t="n">
        <v>4.23229167</v>
      </c>
      <c r="D10" s="352" t="n">
        <v>3.809375</v>
      </c>
      <c r="E10" s="352" t="n">
        <v>3.809375</v>
      </c>
      <c r="F10" s="352" t="n">
        <v>3.809375</v>
      </c>
      <c r="G10" s="352" t="n">
        <v>3.809375</v>
      </c>
      <c r="H10" s="352" t="n">
        <v>3.809375</v>
      </c>
      <c r="I10" s="352" t="n">
        <v>3.809375</v>
      </c>
      <c r="J10" s="352" t="n">
        <v>3.809375</v>
      </c>
      <c r="K10" s="352" t="n">
        <v>3.809375</v>
      </c>
      <c r="L10" s="352" t="n">
        <v>3.809375</v>
      </c>
      <c r="M10" s="352" t="n">
        <v>3.809375</v>
      </c>
      <c r="N10" s="352" t="n">
        <v>3.809375</v>
      </c>
      <c r="O10" s="352" t="n">
        <v>3.809375</v>
      </c>
      <c r="P10" s="352" t="n">
        <v>3.809375</v>
      </c>
      <c r="Q10" s="352" t="n">
        <v>3.809375</v>
      </c>
      <c r="R10" s="352" t="n">
        <v>3.9125</v>
      </c>
      <c r="S10" s="352" t="n">
        <v>3.9125</v>
      </c>
      <c r="T10" s="352" t="n">
        <v>3.9125</v>
      </c>
      <c r="U10" s="352" t="n">
        <v>3.9125</v>
      </c>
      <c r="V10" s="352" t="n">
        <v>3.9125</v>
      </c>
      <c r="W10" s="352" t="n">
        <v>3.9125</v>
      </c>
    </row>
    <row r="11" customFormat="false" ht="15.75" hidden="false" customHeight="false" outlineLevel="0" collapsed="false">
      <c r="A11" s="334" t="n">
        <v>7</v>
      </c>
      <c r="B11" s="333" t="s">
        <v>169</v>
      </c>
      <c r="C11" s="352" t="n">
        <v>4.190625</v>
      </c>
      <c r="D11" s="352" t="n">
        <v>3.771875</v>
      </c>
      <c r="E11" s="352" t="n">
        <v>3.771875</v>
      </c>
      <c r="F11" s="352" t="n">
        <v>3.771875</v>
      </c>
      <c r="G11" s="352" t="n">
        <v>3.771875</v>
      </c>
      <c r="H11" s="352" t="n">
        <v>3.771875</v>
      </c>
      <c r="I11" s="352" t="n">
        <v>3.771875</v>
      </c>
      <c r="J11" s="352" t="n">
        <v>3.771875</v>
      </c>
      <c r="K11" s="352" t="n">
        <v>3.771875</v>
      </c>
      <c r="L11" s="352" t="n">
        <v>3.771875</v>
      </c>
      <c r="M11" s="352" t="n">
        <v>3.771875</v>
      </c>
      <c r="N11" s="352" t="n">
        <v>3.771875</v>
      </c>
      <c r="O11" s="352" t="n">
        <v>3.771875</v>
      </c>
      <c r="P11" s="352" t="n">
        <v>3.771875</v>
      </c>
      <c r="Q11" s="352" t="n">
        <v>3.771875</v>
      </c>
      <c r="R11" s="352" t="n">
        <v>3.87395833</v>
      </c>
      <c r="S11" s="352" t="n">
        <v>3.87395833</v>
      </c>
      <c r="T11" s="352" t="n">
        <v>3.87395833</v>
      </c>
      <c r="U11" s="352" t="n">
        <v>3.87395833</v>
      </c>
      <c r="V11" s="352" t="n">
        <v>3.87395833</v>
      </c>
      <c r="W11" s="352" t="n">
        <v>3.87395833</v>
      </c>
    </row>
    <row r="12" customFormat="false" ht="15.75" hidden="false" customHeight="false" outlineLevel="0" collapsed="false">
      <c r="A12" s="334" t="n">
        <v>8</v>
      </c>
      <c r="B12" s="333" t="s">
        <v>170</v>
      </c>
      <c r="C12" s="352" t="n">
        <v>4.190625</v>
      </c>
      <c r="D12" s="352" t="n">
        <v>3.771875</v>
      </c>
      <c r="E12" s="352" t="n">
        <v>3.771875</v>
      </c>
      <c r="F12" s="352" t="n">
        <v>3.771875</v>
      </c>
      <c r="G12" s="352" t="n">
        <v>3.771875</v>
      </c>
      <c r="H12" s="352" t="n">
        <v>3.771875</v>
      </c>
      <c r="I12" s="352" t="n">
        <v>3.771875</v>
      </c>
      <c r="J12" s="352" t="n">
        <v>3.771875</v>
      </c>
      <c r="K12" s="352" t="n">
        <v>3.771875</v>
      </c>
      <c r="L12" s="352" t="n">
        <v>3.771875</v>
      </c>
      <c r="M12" s="352" t="n">
        <v>3.771875</v>
      </c>
      <c r="N12" s="352" t="n">
        <v>3.771875</v>
      </c>
      <c r="O12" s="352" t="n">
        <v>3.771875</v>
      </c>
      <c r="P12" s="352" t="n">
        <v>3.771875</v>
      </c>
      <c r="Q12" s="352" t="n">
        <v>3.771875</v>
      </c>
      <c r="R12" s="352" t="n">
        <v>3.87395833</v>
      </c>
      <c r="S12" s="352" t="n">
        <v>3.87395833</v>
      </c>
      <c r="T12" s="352" t="n">
        <v>3.87395833</v>
      </c>
      <c r="U12" s="352" t="n">
        <v>3.87395833</v>
      </c>
      <c r="V12" s="352" t="n">
        <v>3.87395833</v>
      </c>
      <c r="W12" s="352" t="n">
        <v>3.87395833</v>
      </c>
    </row>
    <row r="13" customFormat="false" ht="15.75" hidden="false" customHeight="false" outlineLevel="0" collapsed="false">
      <c r="A13" s="334" t="n">
        <v>9</v>
      </c>
      <c r="B13" s="333" t="s">
        <v>171</v>
      </c>
      <c r="C13" s="352" t="n">
        <v>4.24166667</v>
      </c>
      <c r="D13" s="352" t="n">
        <v>3.81770833</v>
      </c>
      <c r="E13" s="352" t="n">
        <v>3.81770833</v>
      </c>
      <c r="F13" s="352" t="n">
        <v>3.81770833</v>
      </c>
      <c r="G13" s="352" t="n">
        <v>3.81770833</v>
      </c>
      <c r="H13" s="352" t="n">
        <v>3.81770833</v>
      </c>
      <c r="I13" s="352" t="n">
        <v>3.81770833</v>
      </c>
      <c r="J13" s="352" t="n">
        <v>3.81770833</v>
      </c>
      <c r="K13" s="352" t="n">
        <v>3.81770833</v>
      </c>
      <c r="L13" s="352" t="n">
        <v>3.81770833</v>
      </c>
      <c r="M13" s="352" t="n">
        <v>3.81770833</v>
      </c>
      <c r="N13" s="352" t="n">
        <v>3.81770833</v>
      </c>
      <c r="O13" s="352" t="n">
        <v>3.81770833</v>
      </c>
      <c r="P13" s="352" t="n">
        <v>3.81770833</v>
      </c>
      <c r="Q13" s="352" t="n">
        <v>3.81770833</v>
      </c>
      <c r="R13" s="352" t="n">
        <v>3.91979167</v>
      </c>
      <c r="S13" s="352" t="n">
        <v>3.91979167</v>
      </c>
      <c r="T13" s="352" t="n">
        <v>3.91979167</v>
      </c>
      <c r="U13" s="352" t="n">
        <v>3.91979167</v>
      </c>
      <c r="V13" s="352" t="n">
        <v>3.91979167</v>
      </c>
      <c r="W13" s="352" t="n">
        <v>3.91979167</v>
      </c>
    </row>
    <row r="14" customFormat="false" ht="15.75" hidden="false" customHeight="false" outlineLevel="0" collapsed="false">
      <c r="A14" s="334" t="n">
        <v>10</v>
      </c>
      <c r="B14" s="333" t="s">
        <v>172</v>
      </c>
      <c r="C14" s="352" t="n">
        <v>4.196875</v>
      </c>
      <c r="D14" s="352" t="n">
        <v>3.778125</v>
      </c>
      <c r="E14" s="352" t="n">
        <v>3.778125</v>
      </c>
      <c r="F14" s="352" t="n">
        <v>3.778125</v>
      </c>
      <c r="G14" s="352" t="n">
        <v>3.778125</v>
      </c>
      <c r="H14" s="352" t="n">
        <v>3.778125</v>
      </c>
      <c r="I14" s="352" t="n">
        <v>3.778125</v>
      </c>
      <c r="J14" s="352" t="n">
        <v>3.778125</v>
      </c>
      <c r="K14" s="352" t="n">
        <v>3.778125</v>
      </c>
      <c r="L14" s="352" t="n">
        <v>3.778125</v>
      </c>
      <c r="M14" s="352" t="n">
        <v>3.778125</v>
      </c>
      <c r="N14" s="352" t="n">
        <v>3.778125</v>
      </c>
      <c r="O14" s="352" t="n">
        <v>3.778125</v>
      </c>
      <c r="P14" s="352" t="n">
        <v>3.778125</v>
      </c>
      <c r="Q14" s="352" t="n">
        <v>3.778125</v>
      </c>
      <c r="R14" s="352" t="n">
        <v>3.88020833</v>
      </c>
      <c r="S14" s="352" t="n">
        <v>3.88020833</v>
      </c>
      <c r="T14" s="352" t="n">
        <v>3.88020833</v>
      </c>
      <c r="U14" s="352" t="n">
        <v>3.88020833</v>
      </c>
      <c r="V14" s="352" t="n">
        <v>3.88020833</v>
      </c>
      <c r="W14" s="352" t="n">
        <v>3.88020833</v>
      </c>
    </row>
    <row r="15" customFormat="false" ht="15.75" hidden="false" customHeight="false" outlineLevel="0" collapsed="false">
      <c r="A15" s="334" t="n">
        <v>11</v>
      </c>
      <c r="B15" s="333" t="s">
        <v>173</v>
      </c>
      <c r="C15" s="352" t="n">
        <v>4.196875</v>
      </c>
      <c r="D15" s="352" t="n">
        <v>3.778125</v>
      </c>
      <c r="E15" s="352" t="n">
        <v>3.778125</v>
      </c>
      <c r="F15" s="352" t="n">
        <v>3.778125</v>
      </c>
      <c r="G15" s="352" t="n">
        <v>3.778125</v>
      </c>
      <c r="H15" s="352" t="n">
        <v>3.778125</v>
      </c>
      <c r="I15" s="352" t="n">
        <v>3.778125</v>
      </c>
      <c r="J15" s="352" t="n">
        <v>3.778125</v>
      </c>
      <c r="K15" s="352" t="n">
        <v>3.778125</v>
      </c>
      <c r="L15" s="352" t="n">
        <v>3.778125</v>
      </c>
      <c r="M15" s="352" t="n">
        <v>3.778125</v>
      </c>
      <c r="N15" s="352" t="n">
        <v>3.778125</v>
      </c>
      <c r="O15" s="352" t="n">
        <v>3.778125</v>
      </c>
      <c r="P15" s="352" t="n">
        <v>3.778125</v>
      </c>
      <c r="Q15" s="352" t="n">
        <v>3.778125</v>
      </c>
      <c r="R15" s="352" t="n">
        <v>3.88020833</v>
      </c>
      <c r="S15" s="352" t="n">
        <v>3.88020833</v>
      </c>
      <c r="T15" s="352" t="n">
        <v>3.88020833</v>
      </c>
      <c r="U15" s="352" t="n">
        <v>3.88020833</v>
      </c>
      <c r="V15" s="352" t="n">
        <v>3.88020833</v>
      </c>
      <c r="W15" s="352" t="n">
        <v>3.88020833</v>
      </c>
    </row>
    <row r="16" customFormat="false" ht="15.75" hidden="false" customHeight="false" outlineLevel="0" collapsed="false">
      <c r="A16" s="334" t="n">
        <v>12</v>
      </c>
      <c r="B16" s="333" t="s">
        <v>174</v>
      </c>
      <c r="C16" s="352" t="n">
        <v>4.196875</v>
      </c>
      <c r="D16" s="352" t="n">
        <v>3.778125</v>
      </c>
      <c r="E16" s="352" t="n">
        <v>3.778125</v>
      </c>
      <c r="F16" s="352" t="n">
        <v>3.778125</v>
      </c>
      <c r="G16" s="352" t="n">
        <v>3.778125</v>
      </c>
      <c r="H16" s="352" t="n">
        <v>3.778125</v>
      </c>
      <c r="I16" s="352" t="n">
        <v>3.778125</v>
      </c>
      <c r="J16" s="352" t="n">
        <v>3.778125</v>
      </c>
      <c r="K16" s="352" t="n">
        <v>3.778125</v>
      </c>
      <c r="L16" s="352" t="n">
        <v>3.778125</v>
      </c>
      <c r="M16" s="352" t="n">
        <v>3.778125</v>
      </c>
      <c r="N16" s="352" t="n">
        <v>3.778125</v>
      </c>
      <c r="O16" s="352" t="n">
        <v>3.778125</v>
      </c>
      <c r="P16" s="352" t="n">
        <v>3.778125</v>
      </c>
      <c r="Q16" s="352" t="n">
        <v>3.778125</v>
      </c>
      <c r="R16" s="352" t="n">
        <v>3.88020833</v>
      </c>
      <c r="S16" s="352" t="n">
        <v>3.88020833</v>
      </c>
      <c r="T16" s="352" t="n">
        <v>3.88020833</v>
      </c>
      <c r="U16" s="352" t="n">
        <v>3.88020833</v>
      </c>
      <c r="V16" s="352" t="n">
        <v>3.88020833</v>
      </c>
      <c r="W16" s="352" t="n">
        <v>3.88020833</v>
      </c>
    </row>
    <row r="17" customFormat="false" ht="16.5" hidden="false" customHeight="false" outlineLevel="0" collapsed="false">
      <c r="B17" s="340" t="s">
        <v>59</v>
      </c>
      <c r="C17" s="356" t="n">
        <f aca="false">SUM(C5:C16)</f>
        <v>29.44583334</v>
      </c>
      <c r="D17" s="356" t="n">
        <f aca="false">SUM(D5:D16)</f>
        <v>45.809375</v>
      </c>
      <c r="E17" s="356" t="n">
        <f aca="false">SUM(E5:E16)</f>
        <v>45.809375</v>
      </c>
      <c r="F17" s="356" t="n">
        <f aca="false">SUM(F5:F16)</f>
        <v>45.809375</v>
      </c>
      <c r="G17" s="356" t="n">
        <f aca="false">SUM(G5:G16)</f>
        <v>45.809375</v>
      </c>
      <c r="H17" s="356" t="n">
        <f aca="false">SUM(H5:H16)</f>
        <v>45.809375</v>
      </c>
      <c r="I17" s="356" t="n">
        <f aca="false">SUM(I5:I16)</f>
        <v>45.809375</v>
      </c>
      <c r="J17" s="356" t="n">
        <f aca="false">SUM(J5:J16)</f>
        <v>45.809375</v>
      </c>
      <c r="K17" s="356" t="n">
        <f aca="false">SUM(K5:K16)</f>
        <v>45.809375</v>
      </c>
      <c r="L17" s="356" t="n">
        <f aca="false">SUM(L5:L16)</f>
        <v>45.809375</v>
      </c>
      <c r="M17" s="356" t="n">
        <f aca="false">SUM(M5:M16)</f>
        <v>45.809375</v>
      </c>
      <c r="N17" s="356" t="n">
        <f aca="false">SUM(N5:N16)</f>
        <v>45.809375</v>
      </c>
      <c r="O17" s="356" t="n">
        <f aca="false">SUM(O5:O16)</f>
        <v>45.809375</v>
      </c>
      <c r="P17" s="356" t="n">
        <f aca="false">SUM(P5:P16)</f>
        <v>45.809375</v>
      </c>
      <c r="Q17" s="356" t="n">
        <f aca="false">SUM(Q5:Q16)</f>
        <v>45.809375</v>
      </c>
      <c r="R17" s="356" t="n">
        <f aca="false">SUM(R5:R16)</f>
        <v>47.03541666</v>
      </c>
      <c r="S17" s="356" t="n">
        <f aca="false">SUM(S5:S16)</f>
        <v>47.03541666</v>
      </c>
      <c r="T17" s="356" t="n">
        <f aca="false">SUM(T5:T16)</f>
        <v>47.03541666</v>
      </c>
      <c r="U17" s="356" t="n">
        <f aca="false">SUM(U5:U16)</f>
        <v>47.03541666</v>
      </c>
      <c r="V17" s="356" t="n">
        <f aca="false">SUM(V5:V16)</f>
        <v>47.03541666</v>
      </c>
      <c r="W17" s="356" t="n">
        <f aca="false">SUM(C17:V17)</f>
        <v>905.95416664</v>
      </c>
    </row>
    <row r="18" customFormat="false" ht="16.5" hidden="false" customHeight="false" outlineLevel="0" collapsed="false">
      <c r="W18" s="352" t="n">
        <f aca="false">SUM(C20:C259)</f>
        <v>905.95416664</v>
      </c>
    </row>
    <row r="20" customFormat="false" ht="15.75" hidden="false" customHeight="false" outlineLevel="0" collapsed="false">
      <c r="A20" s="334" t="n">
        <v>1</v>
      </c>
      <c r="B20" s="269" t="n">
        <v>36526</v>
      </c>
      <c r="C20" s="352" t="n">
        <f aca="false">VLOOKUP(A20,$A$5:$C$16,3)</f>
        <v>0</v>
      </c>
    </row>
    <row r="21" customFormat="false" ht="15.75" hidden="false" customHeight="false" outlineLevel="0" collapsed="false">
      <c r="A21" s="334" t="n">
        <v>2</v>
      </c>
      <c r="B21" s="269" t="n">
        <v>36557</v>
      </c>
      <c r="C21" s="352" t="n">
        <f aca="false">VLOOKUP(A21,$A$5:$C$16,3)</f>
        <v>0</v>
      </c>
    </row>
    <row r="22" customFormat="false" ht="15.75" hidden="false" customHeight="false" outlineLevel="0" collapsed="false">
      <c r="A22" s="334" t="n">
        <v>3</v>
      </c>
      <c r="B22" s="269" t="n">
        <v>36586</v>
      </c>
      <c r="C22" s="352" t="n">
        <f aca="false">VLOOKUP(A22,$A$5:$C$16,3)</f>
        <v>0</v>
      </c>
    </row>
    <row r="23" customFormat="false" ht="15.75" hidden="false" customHeight="false" outlineLevel="0" collapsed="false">
      <c r="A23" s="334" t="n">
        <v>4</v>
      </c>
      <c r="B23" s="269" t="n">
        <v>36617</v>
      </c>
      <c r="C23" s="352" t="n">
        <f aca="false">VLOOKUP(A23,$A$5:$C$16,3)</f>
        <v>0</v>
      </c>
    </row>
    <row r="24" customFormat="false" ht="15.75" hidden="false" customHeight="false" outlineLevel="0" collapsed="false">
      <c r="A24" s="334" t="n">
        <v>5</v>
      </c>
      <c r="B24" s="269" t="n">
        <v>36647</v>
      </c>
      <c r="C24" s="352" t="n">
        <f aca="false">VLOOKUP(A24,$A$5:$C$16,3)</f>
        <v>0</v>
      </c>
      <c r="E24" s="357"/>
    </row>
    <row r="25" customFormat="false" ht="15.75" hidden="false" customHeight="false" outlineLevel="0" collapsed="false">
      <c r="A25" s="334" t="n">
        <v>6</v>
      </c>
      <c r="B25" s="269" t="n">
        <v>36678</v>
      </c>
      <c r="C25" s="352" t="n">
        <f aca="false">VLOOKUP(A25,$A$5:$C$16,3)</f>
        <v>4.23229167</v>
      </c>
      <c r="E25" s="349" t="n">
        <f aca="false">((C25+'Curve Analysis - Base Case'!G4)*'Revenues &amp; Expenses'!$S$2)/1000</f>
        <v>59.9560323117709</v>
      </c>
    </row>
    <row r="26" customFormat="false" ht="15.75" hidden="false" customHeight="false" outlineLevel="0" collapsed="false">
      <c r="A26" s="334" t="n">
        <v>7</v>
      </c>
      <c r="B26" s="269" t="n">
        <v>36708</v>
      </c>
      <c r="C26" s="352" t="n">
        <f aca="false">VLOOKUP(A26,$A$5:$C$16,3)</f>
        <v>4.190625</v>
      </c>
      <c r="E26" s="349" t="n">
        <f aca="false">((C26+'Curve Analysis - Base Case'!G5)*'Revenues &amp; Expenses'!$S$2)/1000</f>
        <v>59.6000593896242</v>
      </c>
    </row>
    <row r="27" customFormat="false" ht="15.75" hidden="false" customHeight="false" outlineLevel="0" collapsed="false">
      <c r="A27" s="334" t="n">
        <v>8</v>
      </c>
      <c r="B27" s="269" t="n">
        <v>36739</v>
      </c>
      <c r="C27" s="352" t="n">
        <f aca="false">VLOOKUP(A27,$A$5:$C$16,3)</f>
        <v>4.190625</v>
      </c>
      <c r="E27" s="349" t="n">
        <f aca="false">((C27+'Curve Analysis - Base Case'!G6)*'Revenues &amp; Expenses'!$S$2)/1000</f>
        <v>59.6433074104645</v>
      </c>
    </row>
    <row r="28" customFormat="false" ht="15.75" hidden="false" customHeight="false" outlineLevel="0" collapsed="false">
      <c r="A28" s="334" t="n">
        <v>9</v>
      </c>
      <c r="B28" s="269" t="n">
        <v>36770</v>
      </c>
      <c r="C28" s="352" t="n">
        <f aca="false">VLOOKUP(A28,$A$5:$C$16,3)</f>
        <v>4.24166667</v>
      </c>
      <c r="E28" s="349" t="n">
        <f aca="false">((C28+'Curve Analysis - Base Case'!G7)*'Revenues &amp; Expenses'!$S$2)/1000</f>
        <v>60.1755797124664</v>
      </c>
    </row>
    <row r="29" customFormat="false" ht="15.75" hidden="false" customHeight="false" outlineLevel="0" collapsed="false">
      <c r="A29" s="334" t="n">
        <v>10</v>
      </c>
      <c r="B29" s="269" t="n">
        <v>36800</v>
      </c>
      <c r="C29" s="352" t="n">
        <f aca="false">VLOOKUP(A29,$A$5:$C$16,3)</f>
        <v>4.196875</v>
      </c>
      <c r="E29" s="349" t="n">
        <f aca="false">((C29+'Curve Analysis - Base Case'!G8)*'Revenues &amp; Expenses'!$S$2)/1000</f>
        <v>59.7899607884881</v>
      </c>
    </row>
    <row r="30" customFormat="false" ht="15.75" hidden="false" customHeight="false" outlineLevel="0" collapsed="false">
      <c r="A30" s="334" t="n">
        <v>11</v>
      </c>
      <c r="B30" s="269" t="n">
        <v>36831</v>
      </c>
      <c r="C30" s="352" t="n">
        <f aca="false">VLOOKUP(A30,$A$5:$C$16,3)</f>
        <v>4.196875</v>
      </c>
      <c r="E30" s="349" t="n">
        <f aca="false">((C30+'Curve Analysis - Base Case'!G9)*'Revenues &amp; Expenses'!$S$2)/1000</f>
        <v>59.833497823443</v>
      </c>
    </row>
    <row r="31" customFormat="false" ht="15.75" hidden="false" customHeight="false" outlineLevel="0" collapsed="false">
      <c r="A31" s="334" t="n">
        <v>12</v>
      </c>
      <c r="B31" s="269" t="n">
        <v>36861</v>
      </c>
      <c r="C31" s="352" t="n">
        <f aca="false">VLOOKUP(A31,$A$5:$C$16,3)</f>
        <v>4.196875</v>
      </c>
      <c r="D31" s="342" t="n">
        <f aca="false">SUM(C20:C31)</f>
        <v>29.44583334</v>
      </c>
      <c r="E31" s="349" t="n">
        <f aca="false">((C31+'Curve Analysis - Base Case'!G10)*'Revenues &amp; Expenses'!$S$2)/1000</f>
        <v>59.877131625</v>
      </c>
    </row>
    <row r="32" customFormat="false" ht="15.75" hidden="false" customHeight="false" outlineLevel="0" collapsed="false">
      <c r="A32" s="334" t="n">
        <v>1</v>
      </c>
      <c r="B32" s="269" t="n">
        <v>36892</v>
      </c>
      <c r="C32" s="352" t="n">
        <f aca="false">VLOOKUP(A32,$A$5:$D$16,4)</f>
        <v>3.83541667</v>
      </c>
      <c r="E32" s="349" t="n">
        <f aca="false">((C32+'Curve Analysis - Base Case'!G11)*'Revenues &amp; Expenses'!$S$2)/1000</f>
        <v>56.4584530651653</v>
      </c>
    </row>
    <row r="33" customFormat="false" ht="15.75" hidden="false" customHeight="false" outlineLevel="0" collapsed="false">
      <c r="A33" s="334" t="n">
        <v>2</v>
      </c>
      <c r="B33" s="269" t="n">
        <v>36923</v>
      </c>
      <c r="C33" s="352" t="n">
        <f aca="false">VLOOKUP(A33,$A$5:$D$16,4)</f>
        <v>3.83541667</v>
      </c>
      <c r="E33" s="349" t="n">
        <f aca="false">((C33+'Curve Analysis - Base Case'!G12)*'Revenues &amp; Expenses'!$S$2)/1000</f>
        <v>56.5022810456331</v>
      </c>
    </row>
    <row r="34" customFormat="false" ht="15.75" hidden="false" customHeight="false" outlineLevel="0" collapsed="false">
      <c r="A34" s="334" t="n">
        <v>3</v>
      </c>
      <c r="B34" s="269" t="n">
        <v>36951</v>
      </c>
      <c r="C34" s="352" t="n">
        <f aca="false">VLOOKUP(A34,$A$5:$D$16,4)</f>
        <v>3.83541667</v>
      </c>
      <c r="E34" s="349" t="n">
        <f aca="false">((C34+'Curve Analysis - Base Case'!G13)*'Revenues &amp; Expenses'!$S$2)/1000</f>
        <v>56.5462064393665</v>
      </c>
    </row>
    <row r="35" customFormat="false" ht="15.75" hidden="false" customHeight="false" outlineLevel="0" collapsed="false">
      <c r="A35" s="334" t="n">
        <v>4</v>
      </c>
      <c r="B35" s="269" t="n">
        <v>36982</v>
      </c>
      <c r="C35" s="352" t="n">
        <f aca="false">VLOOKUP(A35,$A$5:$D$16,4)</f>
        <v>3.98020833</v>
      </c>
      <c r="E35" s="349" t="n">
        <f aca="false">((C35+'Curve Analysis - Base Case'!G14)*'Revenues &amp; Expenses'!$S$2)/1000</f>
        <v>57.9771887740189</v>
      </c>
    </row>
    <row r="36" customFormat="false" ht="15.75" hidden="false" customHeight="false" outlineLevel="0" collapsed="false">
      <c r="A36" s="334" t="n">
        <v>5</v>
      </c>
      <c r="B36" s="269" t="n">
        <v>37012</v>
      </c>
      <c r="C36" s="352" t="n">
        <f aca="false">VLOOKUP(A36,$A$5:$D$16,4)</f>
        <v>3.81770833</v>
      </c>
      <c r="E36" s="349" t="n">
        <f aca="false">((C36+'Curve Analysis - Base Case'!G15)*'Revenues &amp; Expenses'!$S$2)/1000</f>
        <v>56.464722144305</v>
      </c>
    </row>
    <row r="37" customFormat="false" ht="15.75" hidden="false" customHeight="false" outlineLevel="0" collapsed="false">
      <c r="A37" s="334" t="n">
        <v>6</v>
      </c>
      <c r="B37" s="269" t="n">
        <v>37043</v>
      </c>
      <c r="C37" s="352" t="n">
        <f aca="false">VLOOKUP(A37,$A$5:$D$16,4)</f>
        <v>3.809375</v>
      </c>
      <c r="E37" s="349" t="n">
        <f aca="false">((C37+'Curve Analysis - Base Case'!G16)*'Revenues &amp; Expenses'!$S$2)/1000</f>
        <v>56.4291161107716</v>
      </c>
    </row>
    <row r="38" customFormat="false" ht="15.75" hidden="false" customHeight="false" outlineLevel="0" collapsed="false">
      <c r="A38" s="334" t="n">
        <v>7</v>
      </c>
      <c r="B38" s="269" t="n">
        <v>37073</v>
      </c>
      <c r="C38" s="352" t="n">
        <f aca="false">VLOOKUP(A38,$A$5:$D$16,4)</f>
        <v>3.771875</v>
      </c>
      <c r="E38" s="349" t="n">
        <f aca="false">((C38+'Curve Analysis - Base Case'!G17)*'Revenues &amp; Expenses'!$S$2)/1000</f>
        <v>56.1142208275191</v>
      </c>
    </row>
    <row r="39" customFormat="false" ht="15.75" hidden="false" customHeight="false" outlineLevel="0" collapsed="false">
      <c r="A39" s="334" t="n">
        <v>8</v>
      </c>
      <c r="B39" s="269" t="n">
        <v>37104</v>
      </c>
      <c r="C39" s="352" t="n">
        <f aca="false">VLOOKUP(A39,$A$5:$D$16,4)</f>
        <v>3.771875</v>
      </c>
      <c r="E39" s="349" t="n">
        <f aca="false">((C39+'Curve Analysis - Base Case'!G18)*'Revenues &amp; Expenses'!$S$2)/1000</f>
        <v>56.1586365449221</v>
      </c>
    </row>
    <row r="40" customFormat="false" ht="15.75" hidden="false" customHeight="false" outlineLevel="0" collapsed="false">
      <c r="A40" s="334" t="n">
        <v>9</v>
      </c>
      <c r="B40" s="269" t="n">
        <v>37135</v>
      </c>
      <c r="C40" s="352" t="n">
        <f aca="false">VLOOKUP(A40,$A$5:$D$16,4)</f>
        <v>3.81770833</v>
      </c>
      <c r="E40" s="349" t="n">
        <f aca="false">((C40+'Curve Analysis - Base Case'!G19)*'Revenues &amp; Expenses'!$S$2)/1000</f>
        <v>56.6421884499809</v>
      </c>
    </row>
    <row r="41" customFormat="false" ht="15.75" hidden="false" customHeight="false" outlineLevel="0" collapsed="false">
      <c r="A41" s="334" t="n">
        <v>10</v>
      </c>
      <c r="B41" s="269" t="n">
        <v>37165</v>
      </c>
      <c r="C41" s="352" t="n">
        <f aca="false">VLOOKUP(A41,$A$5:$D$16,4)</f>
        <v>3.778125</v>
      </c>
      <c r="E41" s="349" t="n">
        <f aca="false">((C41+'Curve Analysis - Base Case'!G20)*'Revenues &amp; Expenses'!$S$2)/1000</f>
        <v>56.3076331079023</v>
      </c>
    </row>
    <row r="42" customFormat="false" ht="15.75" hidden="false" customHeight="false" outlineLevel="0" collapsed="false">
      <c r="A42" s="334" t="n">
        <v>11</v>
      </c>
      <c r="B42" s="269" t="n">
        <v>37196</v>
      </c>
      <c r="C42" s="352" t="n">
        <f aca="false">VLOOKUP(A42,$A$5:$D$16,4)</f>
        <v>3.778125</v>
      </c>
      <c r="E42" s="349" t="n">
        <f aca="false">((C42+'Curve Analysis - Base Case'!G21)*'Revenues &amp; Expenses'!$S$2)/1000</f>
        <v>56.3523456428009</v>
      </c>
    </row>
    <row r="43" customFormat="false" ht="15.75" hidden="false" customHeight="false" outlineLevel="0" collapsed="false">
      <c r="A43" s="334" t="n">
        <v>12</v>
      </c>
      <c r="B43" s="269" t="n">
        <v>37226</v>
      </c>
      <c r="C43" s="352" t="n">
        <f aca="false">VLOOKUP(A43,$A$5:$D$16,4)</f>
        <v>3.778125</v>
      </c>
      <c r="D43" s="342" t="n">
        <f aca="false">SUM(C32:C43)</f>
        <v>45.809375</v>
      </c>
      <c r="E43" s="349" t="n">
        <f aca="false">((C43+'Curve Analysis - Base Case'!G22)*'Revenues &amp; Expenses'!$S$2)/1000</f>
        <v>56.397157557</v>
      </c>
    </row>
    <row r="44" customFormat="false" ht="15.75" hidden="false" customHeight="false" outlineLevel="0" collapsed="false">
      <c r="A44" s="334" t="n">
        <v>1</v>
      </c>
      <c r="B44" s="269" t="n">
        <v>37257</v>
      </c>
      <c r="C44" s="352" t="n">
        <f aca="false">VLOOKUP(A44,$A$5:$E$16,5)</f>
        <v>3.83541667</v>
      </c>
      <c r="E44" s="349" t="n">
        <f aca="false">((C44+'Curve Analysis - Base Case'!G23)*'Revenues &amp; Expenses'!$S$2)/1000</f>
        <v>56.9908659783127</v>
      </c>
    </row>
    <row r="45" customFormat="false" ht="15.75" hidden="false" customHeight="false" outlineLevel="0" collapsed="false">
      <c r="A45" s="334" t="n">
        <v>2</v>
      </c>
      <c r="B45" s="269" t="n">
        <v>37288</v>
      </c>
      <c r="C45" s="352" t="n">
        <f aca="false">VLOOKUP(A45,$A$5:$E$16,5)</f>
        <v>3.83541667</v>
      </c>
      <c r="E45" s="349" t="n">
        <f aca="false">((C45+'Curve Analysis - Base Case'!G24)*'Revenues &amp; Expenses'!$S$2)/1000</f>
        <v>57.0358773142531</v>
      </c>
    </row>
    <row r="46" customFormat="false" ht="15.75" hidden="false" customHeight="false" outlineLevel="0" collapsed="false">
      <c r="A46" s="334" t="n">
        <v>3</v>
      </c>
      <c r="B46" s="269" t="n">
        <v>37316</v>
      </c>
      <c r="C46" s="352" t="n">
        <f aca="false">VLOOKUP(A46,$A$5:$E$16,5)</f>
        <v>3.83541667</v>
      </c>
      <c r="E46" s="349" t="n">
        <f aca="false">((C46+'Curve Analysis - Base Case'!G25)*'Revenues &amp; Expenses'!$S$2)/1000</f>
        <v>57.0809886936173</v>
      </c>
    </row>
    <row r="47" customFormat="false" ht="15.75" hidden="false" customHeight="false" outlineLevel="0" collapsed="false">
      <c r="A47" s="334" t="n">
        <v>4</v>
      </c>
      <c r="B47" s="269" t="n">
        <v>37347</v>
      </c>
      <c r="C47" s="352" t="n">
        <f aca="false">VLOOKUP(A47,$A$5:$E$16,5)</f>
        <v>3.98020833</v>
      </c>
      <c r="E47" s="349" t="n">
        <f aca="false">((C47+'Curve Analysis - Base Case'!G26)*'Revenues &amp; Expenses'!$S$2)/1000</f>
        <v>58.5131596499046</v>
      </c>
    </row>
    <row r="48" customFormat="false" ht="15.75" hidden="false" customHeight="false" outlineLevel="0" collapsed="false">
      <c r="A48" s="334" t="n">
        <v>5</v>
      </c>
      <c r="B48" s="269" t="n">
        <v>37377</v>
      </c>
      <c r="C48" s="352" t="n">
        <f aca="false">VLOOKUP(A48,$A$5:$E$16,5)</f>
        <v>3.81770833</v>
      </c>
      <c r="E48" s="349" t="n">
        <f aca="false">((C48+'Curve Analysis - Base Case'!G27)*'Revenues &amp; Expenses'!$S$2)/1000</f>
        <v>57.0018842836883</v>
      </c>
    </row>
    <row r="49" customFormat="false" ht="15.75" hidden="false" customHeight="false" outlineLevel="0" collapsed="false">
      <c r="A49" s="334" t="n">
        <v>6</v>
      </c>
      <c r="B49" s="269" t="n">
        <v>37408</v>
      </c>
      <c r="C49" s="352" t="n">
        <f aca="false">VLOOKUP(A49,$A$5:$E$16,5)</f>
        <v>3.809375</v>
      </c>
      <c r="E49" s="349" t="n">
        <f aca="false">((C49+'Curve Analysis - Base Case'!G28)*'Revenues &amp; Expenses'!$S$2)/1000</f>
        <v>56.9674721613875</v>
      </c>
    </row>
    <row r="50" customFormat="false" ht="15.75" hidden="false" customHeight="false" outlineLevel="0" collapsed="false">
      <c r="A50" s="334" t="n">
        <v>7</v>
      </c>
      <c r="B50" s="269" t="n">
        <v>37438</v>
      </c>
      <c r="C50" s="352" t="n">
        <f aca="false">VLOOKUP(A50,$A$5:$E$16,5)</f>
        <v>3.771875</v>
      </c>
      <c r="E50" s="349" t="n">
        <f aca="false">((C50+'Curve Analysis - Base Case'!G29)*'Revenues &amp; Expenses'!$S$2)/1000</f>
        <v>56.6537734429871</v>
      </c>
    </row>
    <row r="51" customFormat="false" ht="15.75" hidden="false" customHeight="false" outlineLevel="0" collapsed="false">
      <c r="A51" s="334" t="n">
        <v>8</v>
      </c>
      <c r="B51" s="269" t="n">
        <v>37469</v>
      </c>
      <c r="C51" s="352" t="n">
        <f aca="false">VLOOKUP(A51,$A$5:$E$16,5)</f>
        <v>3.771875</v>
      </c>
      <c r="E51" s="349" t="n">
        <f aca="false">((C51+'Curve Analysis - Base Case'!G30)*'Revenues &amp; Expenses'!$S$2)/1000</f>
        <v>56.69938838476</v>
      </c>
    </row>
    <row r="52" customFormat="false" ht="15.75" hidden="false" customHeight="false" outlineLevel="0" collapsed="false">
      <c r="A52" s="334" t="n">
        <v>9</v>
      </c>
      <c r="B52" s="269" t="n">
        <v>37500</v>
      </c>
      <c r="C52" s="352" t="n">
        <f aca="false">VLOOKUP(A52,$A$5:$E$16,5)</f>
        <v>3.81770833</v>
      </c>
      <c r="E52" s="349" t="n">
        <f aca="false">((C52+'Curve Analysis - Base Case'!G31)*'Revenues &amp; Expenses'!$S$2)/1000</f>
        <v>57.1841421796175</v>
      </c>
    </row>
    <row r="53" customFormat="false" ht="15.75" hidden="false" customHeight="false" outlineLevel="0" collapsed="false">
      <c r="A53" s="334" t="n">
        <v>10</v>
      </c>
      <c r="B53" s="269" t="n">
        <v>37530</v>
      </c>
      <c r="C53" s="352" t="n">
        <f aca="false">VLOOKUP(A53,$A$5:$E$16,5)</f>
        <v>3.778125</v>
      </c>
      <c r="E53" s="349" t="n">
        <f aca="false">((C53+'Curve Analysis - Base Case'!G32)*'Revenues &amp; Expenses'!$S$2)/1000</f>
        <v>56.8507913986907</v>
      </c>
    </row>
    <row r="54" customFormat="false" ht="15.75" hidden="false" customHeight="false" outlineLevel="0" collapsed="false">
      <c r="A54" s="334" t="n">
        <v>11</v>
      </c>
      <c r="B54" s="269" t="n">
        <v>37561</v>
      </c>
      <c r="C54" s="352" t="n">
        <f aca="false">VLOOKUP(A54,$A$5:$E$16,5)</f>
        <v>3.778125</v>
      </c>
      <c r="E54" s="349" t="n">
        <f aca="false">((C54+'Curve Analysis - Base Case'!G33)*'Revenues &amp; Expenses'!$S$2)/1000</f>
        <v>56.8967111720315</v>
      </c>
    </row>
    <row r="55" customFormat="false" ht="15.75" hidden="false" customHeight="false" outlineLevel="0" collapsed="false">
      <c r="A55" s="334" t="n">
        <v>12</v>
      </c>
      <c r="B55" s="269" t="n">
        <v>37591</v>
      </c>
      <c r="C55" s="352" t="n">
        <f aca="false">VLOOKUP(A55,$A$5:$E$16,5)</f>
        <v>3.778125</v>
      </c>
      <c r="D55" s="342" t="n">
        <f aca="false">SUM(C44:C55)</f>
        <v>45.809375</v>
      </c>
      <c r="E55" s="349" t="n">
        <f aca="false">((C55+'Curve Analysis - Base Case'!G34)*'Revenues &amp; Expenses'!$S$2)/1000</f>
        <v>56.942733007914</v>
      </c>
    </row>
    <row r="56" customFormat="false" ht="15.75" hidden="false" customHeight="false" outlineLevel="0" collapsed="false">
      <c r="A56" s="334" t="n">
        <v>1</v>
      </c>
      <c r="B56" s="269" t="n">
        <v>37622</v>
      </c>
      <c r="C56" s="352" t="n">
        <f aca="false">VLOOKUP(A56,$A$5:$F$16,6)</f>
        <v>3.83541667</v>
      </c>
      <c r="E56" s="349" t="n">
        <f aca="false">((C56+'Curve Analysis - Base Case'!G35)*'Revenues &amp; Expenses'!$S$2)/1000</f>
        <v>57.537654040115</v>
      </c>
    </row>
    <row r="57" customFormat="false" ht="15.75" hidden="false" customHeight="false" outlineLevel="0" collapsed="false">
      <c r="A57" s="334" t="n">
        <v>2</v>
      </c>
      <c r="B57" s="269" t="n">
        <v>37653</v>
      </c>
      <c r="C57" s="352" t="n">
        <f aca="false">VLOOKUP(A57,$A$5:$F$16,6)</f>
        <v>3.83541667</v>
      </c>
      <c r="E57" s="349" t="n">
        <f aca="false">((C57+'Curve Analysis - Base Case'!G36)*'Revenues &amp; Expenses'!$S$2)/1000</f>
        <v>57.5838806821258</v>
      </c>
    </row>
    <row r="58" customFormat="false" ht="15.75" hidden="false" customHeight="false" outlineLevel="0" collapsed="false">
      <c r="A58" s="334" t="n">
        <v>3</v>
      </c>
      <c r="B58" s="269" t="n">
        <v>37681</v>
      </c>
      <c r="C58" s="352" t="n">
        <f aca="false">VLOOKUP(A58,$A$5:$F$16,6)</f>
        <v>3.83541667</v>
      </c>
      <c r="E58" s="349" t="n">
        <f aca="false">((C58+'Curve Analysis - Base Case'!G37)*'Revenues &amp; Expenses'!$S$2)/1000</f>
        <v>57.6302100687328</v>
      </c>
    </row>
    <row r="59" customFormat="false" ht="15.75" hidden="false" customHeight="false" outlineLevel="0" collapsed="false">
      <c r="A59" s="334" t="n">
        <v>4</v>
      </c>
      <c r="B59" s="269" t="n">
        <v>37712</v>
      </c>
      <c r="C59" s="352" t="n">
        <f aca="false">VLOOKUP(A59,$A$5:$F$16,6)</f>
        <v>3.98020833</v>
      </c>
      <c r="E59" s="349" t="n">
        <f aca="false">((C59+'Curve Analysis - Base Case'!G38)*'Revenues &amp; Expenses'!$S$2)/1000</f>
        <v>59.0636017394391</v>
      </c>
    </row>
    <row r="60" customFormat="false" ht="15.75" hidden="false" customHeight="false" outlineLevel="0" collapsed="false">
      <c r="A60" s="334" t="n">
        <v>5</v>
      </c>
      <c r="B60" s="269" t="n">
        <v>37742</v>
      </c>
      <c r="C60" s="352" t="n">
        <f aca="false">VLOOKUP(A60,$A$5:$F$16,6)</f>
        <v>3.81770833</v>
      </c>
      <c r="E60" s="349" t="n">
        <f aca="false">((C60+'Curve Analysis - Base Case'!G39)*'Revenues &amp; Expenses'!$S$2)/1000</f>
        <v>57.553549800835</v>
      </c>
    </row>
    <row r="61" customFormat="false" ht="15.75" hidden="false" customHeight="false" outlineLevel="0" collapsed="false">
      <c r="A61" s="334" t="n">
        <v>6</v>
      </c>
      <c r="B61" s="269" t="n">
        <v>37773</v>
      </c>
      <c r="C61" s="352" t="n">
        <f aca="false">VLOOKUP(A61,$A$5:$F$16,6)</f>
        <v>3.809375</v>
      </c>
      <c r="E61" s="349" t="n">
        <f aca="false">((C61+'Curve Analysis - Base Case'!G40)*'Revenues &amp; Expenses'!$S$2)/1000</f>
        <v>57.5203638253699</v>
      </c>
    </row>
    <row r="62" customFormat="false" ht="15.75" hidden="false" customHeight="false" outlineLevel="0" collapsed="false">
      <c r="A62" s="334" t="n">
        <v>7</v>
      </c>
      <c r="B62" s="269" t="n">
        <v>37803</v>
      </c>
      <c r="C62" s="352" t="n">
        <f aca="false">VLOOKUP(A62,$A$5:$F$16,6)</f>
        <v>3.771875</v>
      </c>
      <c r="E62" s="349" t="n">
        <f aca="false">((C62+'Curve Analysis - Base Case'!G41)*'Revenues &amp; Expenses'!$S$2)/1000</f>
        <v>57.2078939790727</v>
      </c>
    </row>
    <row r="63" customFormat="false" ht="15.75" hidden="false" customHeight="false" outlineLevel="0" collapsed="false">
      <c r="A63" s="334" t="n">
        <v>8</v>
      </c>
      <c r="B63" s="269" t="n">
        <v>37834</v>
      </c>
      <c r="C63" s="352" t="n">
        <f aca="false">VLOOKUP(A63,$A$5:$F$16,6)</f>
        <v>3.771875</v>
      </c>
      <c r="E63" s="349" t="n">
        <f aca="false">((C63+'Curve Analysis - Base Case'!G42)*'Revenues &amp; Expenses'!$S$2)/1000</f>
        <v>57.2547405242735</v>
      </c>
    </row>
    <row r="64" customFormat="false" ht="15.75" hidden="false" customHeight="false" outlineLevel="0" collapsed="false">
      <c r="A64" s="334" t="n">
        <v>9</v>
      </c>
      <c r="B64" s="269" t="n">
        <v>37865</v>
      </c>
      <c r="C64" s="352" t="n">
        <f aca="false">VLOOKUP(A64,$A$5:$F$16,6)</f>
        <v>3.81770833</v>
      </c>
      <c r="E64" s="349" t="n">
        <f aca="false">((C64+'Curve Analysis - Base Case'!G43)*'Revenues &amp; Expenses'!$S$2)/1000</f>
        <v>57.7407286599542</v>
      </c>
    </row>
    <row r="65" customFormat="false" ht="15.75" hidden="false" customHeight="false" outlineLevel="0" collapsed="false">
      <c r="A65" s="334" t="n">
        <v>10</v>
      </c>
      <c r="B65" s="269" t="n">
        <v>37895</v>
      </c>
      <c r="C65" s="352" t="n">
        <f aca="false">VLOOKUP(A65,$A$5:$F$16,6)</f>
        <v>3.778125</v>
      </c>
      <c r="E65" s="349" t="n">
        <f aca="false">((C65+'Curve Analysis - Base Case'!G44)*'Revenues &amp; Expenses'!$S$2)/1000</f>
        <v>57.4086149633303</v>
      </c>
    </row>
    <row r="66" customFormat="false" ht="15.75" hidden="false" customHeight="false" outlineLevel="0" collapsed="false">
      <c r="A66" s="334" t="n">
        <v>11</v>
      </c>
      <c r="B66" s="269" t="n">
        <v>37926</v>
      </c>
      <c r="C66" s="352" t="n">
        <f aca="false">VLOOKUP(A66,$A$5:$F$16,6)</f>
        <v>3.778125</v>
      </c>
      <c r="E66" s="349" t="n">
        <f aca="false">((C66+'Curve Analysis - Base Case'!G45)*'Revenues &amp; Expenses'!$S$2)/1000</f>
        <v>57.4557745705514</v>
      </c>
    </row>
    <row r="67" customFormat="false" ht="15.75" hidden="false" customHeight="false" outlineLevel="0" collapsed="false">
      <c r="A67" s="334" t="n">
        <v>12</v>
      </c>
      <c r="B67" s="269" t="n">
        <v>37956</v>
      </c>
      <c r="C67" s="352" t="n">
        <f aca="false">VLOOKUP(A67,$A$5:$F$16,6)</f>
        <v>3.778125</v>
      </c>
      <c r="D67" s="342" t="n">
        <f aca="false">SUM(C56:C67)</f>
        <v>45.809375</v>
      </c>
      <c r="E67" s="349" t="n">
        <f aca="false">((C67+'Curve Analysis - Base Case'!G46)*'Revenues &amp; Expenses'!$S$2)/1000</f>
        <v>57.5030389960027</v>
      </c>
    </row>
    <row r="68" customFormat="false" ht="15.75" hidden="false" customHeight="false" outlineLevel="0" collapsed="false">
      <c r="A68" s="334" t="n">
        <v>1</v>
      </c>
      <c r="B68" s="269" t="n">
        <v>37987</v>
      </c>
      <c r="C68" s="352" t="n">
        <f aca="false">VLOOKUP(A68,$A$5:$G$16,7)</f>
        <v>3.83541667</v>
      </c>
      <c r="E68" s="349" t="n">
        <f aca="false">((C68+'Curve Analysis - Base Case'!G47)*'Revenues &amp; Expenses'!$S$2)/1000</f>
        <v>58.099205379586</v>
      </c>
    </row>
    <row r="69" customFormat="false" ht="15.75" hidden="false" customHeight="false" outlineLevel="0" collapsed="false">
      <c r="A69" s="334" t="n">
        <v>2</v>
      </c>
      <c r="B69" s="269" t="n">
        <v>38018</v>
      </c>
      <c r="C69" s="352" t="n">
        <f aca="false">VLOOKUP(A69,$A$5:$G$16,7)</f>
        <v>3.83541667</v>
      </c>
      <c r="E69" s="349" t="n">
        <f aca="false">((C69+'Curve Analysis - Base Case'!G48)*'Revenues &amp; Expenses'!$S$2)/1000</f>
        <v>58.1466801409311</v>
      </c>
    </row>
    <row r="70" customFormat="false" ht="15.75" hidden="false" customHeight="false" outlineLevel="0" collapsed="false">
      <c r="A70" s="334" t="n">
        <v>3</v>
      </c>
      <c r="B70" s="269" t="n">
        <v>38047</v>
      </c>
      <c r="C70" s="352" t="n">
        <f aca="false">VLOOKUP(A70,$A$5:$G$16,7)</f>
        <v>3.83541667</v>
      </c>
      <c r="E70" s="349" t="n">
        <f aca="false">((C70+'Curve Analysis - Base Case'!G49)*'Revenues &amp; Expenses'!$S$2)/1000</f>
        <v>58.1942604209765</v>
      </c>
    </row>
    <row r="71" customFormat="false" ht="15.75" hidden="false" customHeight="false" outlineLevel="0" collapsed="false">
      <c r="A71" s="334" t="n">
        <v>4</v>
      </c>
      <c r="B71" s="269" t="n">
        <v>38078</v>
      </c>
      <c r="C71" s="352" t="n">
        <f aca="false">VLOOKUP(A71,$A$5:$G$16,7)</f>
        <v>3.98020833</v>
      </c>
      <c r="E71" s="349" t="n">
        <f aca="false">((C71+'Curve Analysis - Base Case'!G50)*'Revenues &amp; Expenses'!$S$2)/1000</f>
        <v>59.628905765391</v>
      </c>
    </row>
    <row r="72" customFormat="false" ht="15.75" hidden="false" customHeight="false" outlineLevel="0" collapsed="false">
      <c r="A72" s="334" t="n">
        <v>5</v>
      </c>
      <c r="B72" s="269" t="n">
        <v>38108</v>
      </c>
      <c r="C72" s="352" t="n">
        <f aca="false">VLOOKUP(A72,$A$5:$G$16,7)</f>
        <v>3.81770833</v>
      </c>
      <c r="E72" s="349" t="n">
        <f aca="false">((C72+'Curve Analysis - Base Case'!G51)*'Revenues &amp; Expenses'!$S$2)/1000</f>
        <v>58.1201102869447</v>
      </c>
    </row>
    <row r="73" customFormat="false" ht="15.75" hidden="false" customHeight="false" outlineLevel="0" collapsed="false">
      <c r="A73" s="334" t="n">
        <v>6</v>
      </c>
      <c r="B73" s="269" t="n">
        <v>38139</v>
      </c>
      <c r="C73" s="352" t="n">
        <f aca="false">VLOOKUP(A73,$A$5:$G$16,7)</f>
        <v>3.809375</v>
      </c>
      <c r="E73" s="349" t="n">
        <f aca="false">((C73+'Curve Analysis - Base Case'!G52)*'Revenues &amp; Expenses'!$S$2)/1000</f>
        <v>58.0881835642799</v>
      </c>
    </row>
    <row r="74" customFormat="false" ht="15.75" hidden="false" customHeight="false" outlineLevel="0" collapsed="false">
      <c r="A74" s="334" t="n">
        <v>7</v>
      </c>
      <c r="B74" s="269" t="n">
        <v>38169</v>
      </c>
      <c r="C74" s="352" t="n">
        <f aca="false">VLOOKUP(A74,$A$5:$G$16,7)</f>
        <v>3.771875</v>
      </c>
      <c r="E74" s="349" t="n">
        <f aca="false">((C74+'Curve Analysis - Base Case'!G53)*'Revenues &amp; Expenses'!$S$2)/1000</f>
        <v>57.7769757696327</v>
      </c>
    </row>
    <row r="75" customFormat="false" ht="15.75" hidden="false" customHeight="false" outlineLevel="0" collapsed="false">
      <c r="A75" s="334" t="n">
        <v>8</v>
      </c>
      <c r="B75" s="269" t="n">
        <v>38200</v>
      </c>
      <c r="C75" s="352" t="n">
        <f aca="false">VLOOKUP(A75,$A$5:$G$16,7)</f>
        <v>3.771875</v>
      </c>
      <c r="E75" s="349" t="n">
        <f aca="false">((C75+'Curve Analysis - Base Case'!G54)*'Revenues &amp; Expenses'!$S$2)/1000</f>
        <v>57.8250871715539</v>
      </c>
    </row>
    <row r="76" customFormat="false" ht="15.75" hidden="false" customHeight="false" outlineLevel="0" collapsed="false">
      <c r="A76" s="334" t="n">
        <v>9</v>
      </c>
      <c r="B76" s="269" t="n">
        <v>38231</v>
      </c>
      <c r="C76" s="352" t="n">
        <f aca="false">VLOOKUP(A76,$A$5:$G$16,7)</f>
        <v>3.81770833</v>
      </c>
      <c r="E76" s="349" t="n">
        <f aca="false">((C76+'Curve Analysis - Base Case'!G55)*'Revenues &amp; Expenses'!$S$2)/1000</f>
        <v>58.3123429752601</v>
      </c>
    </row>
    <row r="77" customFormat="false" ht="15.75" hidden="false" customHeight="false" outlineLevel="0" collapsed="false">
      <c r="A77" s="334" t="n">
        <v>10</v>
      </c>
      <c r="B77" s="269" t="n">
        <v>38261</v>
      </c>
      <c r="C77" s="352" t="n">
        <f aca="false">VLOOKUP(A77,$A$5:$G$16,7)</f>
        <v>3.778125</v>
      </c>
      <c r="E77" s="349" t="n">
        <f aca="false">((C77+'Curve Analysis - Base Case'!G56)*'Revenues &amp; Expenses'!$S$2)/1000</f>
        <v>57.9814997642152</v>
      </c>
    </row>
    <row r="78" customFormat="false" ht="15.75" hidden="false" customHeight="false" outlineLevel="0" collapsed="false">
      <c r="A78" s="334" t="n">
        <v>11</v>
      </c>
      <c r="B78" s="269" t="n">
        <v>38292</v>
      </c>
      <c r="C78" s="352" t="n">
        <f aca="false">VLOOKUP(A78,$A$5:$G$16,7)</f>
        <v>3.778125</v>
      </c>
      <c r="E78" s="349" t="n">
        <f aca="false">((C78+'Curve Analysis - Base Case'!G57)*'Revenues &amp; Expenses'!$S$2)/1000</f>
        <v>58.0299326808313</v>
      </c>
    </row>
    <row r="79" customFormat="false" ht="15.75" hidden="false" customHeight="false" outlineLevel="0" collapsed="false">
      <c r="A79" s="334" t="n">
        <v>12</v>
      </c>
      <c r="B79" s="269" t="n">
        <v>38322</v>
      </c>
      <c r="C79" s="352" t="n">
        <f aca="false">VLOOKUP(A79,$A$5:$G$16,7)</f>
        <v>3.778125</v>
      </c>
      <c r="D79" s="342" t="n">
        <f aca="false">SUM(C68:C79)</f>
        <v>45.809375</v>
      </c>
      <c r="E79" s="349" t="n">
        <f aca="false">((C79+'Curve Analysis - Base Case'!G58)*'Revenues &amp; Expenses'!$S$2)/1000</f>
        <v>58.0784732457697</v>
      </c>
    </row>
    <row r="80" customFormat="false" ht="15.75" hidden="false" customHeight="false" outlineLevel="0" collapsed="false">
      <c r="A80" s="334" t="n">
        <v>1</v>
      </c>
      <c r="B80" s="269" t="n">
        <v>38353</v>
      </c>
      <c r="C80" s="352" t="n">
        <f aca="false">VLOOKUP(A80,$A$5:$H$16,8)</f>
        <v>3.83541667</v>
      </c>
      <c r="E80" s="349" t="n">
        <f aca="false">((C80+'Curve Analysis - Base Case'!G59)*'Revenues &amp; Expenses'!$S$2)/1000</f>
        <v>58.6759186052227</v>
      </c>
    </row>
    <row r="81" customFormat="false" ht="15.75" hidden="false" customHeight="false" outlineLevel="0" collapsed="false">
      <c r="A81" s="334" t="n">
        <v>2</v>
      </c>
      <c r="B81" s="269" t="n">
        <v>38384</v>
      </c>
      <c r="C81" s="352" t="n">
        <f aca="false">VLOOKUP(A81,$A$5:$H$16,8)</f>
        <v>3.83541667</v>
      </c>
      <c r="E81" s="349" t="n">
        <f aca="false">((C81+'Curve Analysis - Base Case'!G60)*'Revenues &amp; Expenses'!$S$2)/1000</f>
        <v>58.7246751851241</v>
      </c>
    </row>
    <row r="82" customFormat="false" ht="15.75" hidden="false" customHeight="false" outlineLevel="0" collapsed="false">
      <c r="A82" s="334" t="n">
        <v>3</v>
      </c>
      <c r="B82" s="269" t="n">
        <v>38412</v>
      </c>
      <c r="C82" s="352" t="n">
        <f aca="false">VLOOKUP(A82,$A$5:$H$16,8)</f>
        <v>3.83541667</v>
      </c>
      <c r="E82" s="349" t="n">
        <f aca="false">((C82+'Curve Analysis - Base Case'!G61)*'Revenues &amp; Expenses'!$S$2)/1000</f>
        <v>58.7735401327308</v>
      </c>
    </row>
    <row r="83" customFormat="false" ht="15.75" hidden="false" customHeight="false" outlineLevel="0" collapsed="false">
      <c r="A83" s="334" t="n">
        <v>4</v>
      </c>
      <c r="B83" s="269" t="n">
        <v>38443</v>
      </c>
      <c r="C83" s="352" t="n">
        <f aca="false">VLOOKUP(A83,$A$5:$H$16,8)</f>
        <v>3.98020833</v>
      </c>
      <c r="E83" s="349" t="n">
        <f aca="false">((C83+'Curve Analysis - Base Case'!G62)*'Revenues &amp; Expenses'!$S$2)/1000</f>
        <v>60.2094730000437</v>
      </c>
    </row>
    <row r="84" customFormat="false" ht="15.75" hidden="false" customHeight="false" outlineLevel="0" collapsed="false">
      <c r="A84" s="334" t="n">
        <v>5</v>
      </c>
      <c r="B84" s="269" t="n">
        <v>38473</v>
      </c>
      <c r="C84" s="352" t="n">
        <f aca="false">VLOOKUP(A84,$A$5:$H$16,8)</f>
        <v>3.81770833</v>
      </c>
      <c r="E84" s="349" t="n">
        <f aca="false">((C84+'Curve Analysis - Base Case'!G63)*'Revenues &amp; Expenses'!$S$2)/1000</f>
        <v>58.7019679061793</v>
      </c>
    </row>
    <row r="85" customFormat="false" ht="15.75" hidden="false" customHeight="false" outlineLevel="0" collapsed="false">
      <c r="A85" s="334" t="n">
        <v>6</v>
      </c>
      <c r="B85" s="269" t="n">
        <v>38504</v>
      </c>
      <c r="C85" s="352" t="n">
        <f aca="false">VLOOKUP(A85,$A$5:$H$16,8)</f>
        <v>3.809375</v>
      </c>
      <c r="E85" s="349" t="n">
        <f aca="false">((C85+'Curve Analysis - Base Case'!G64)*'Revenues &amp; Expenses'!$S$2)/1000</f>
        <v>58.6713344361405</v>
      </c>
    </row>
    <row r="86" customFormat="false" ht="15.75" hidden="false" customHeight="false" outlineLevel="0" collapsed="false">
      <c r="A86" s="334" t="n">
        <v>7</v>
      </c>
      <c r="B86" s="269" t="n">
        <v>38534</v>
      </c>
      <c r="C86" s="352" t="n">
        <f aca="false">VLOOKUP(A86,$A$5:$H$16,8)</f>
        <v>3.771875</v>
      </c>
      <c r="E86" s="349" t="n">
        <f aca="false">((C86+'Curve Analysis - Base Case'!G65)*'Revenues &amp; Expenses'!$S$2)/1000</f>
        <v>58.3614227685378</v>
      </c>
    </row>
    <row r="87" customFormat="false" ht="15.75" hidden="false" customHeight="false" outlineLevel="0" collapsed="false">
      <c r="A87" s="334" t="n">
        <v>8</v>
      </c>
      <c r="B87" s="269" t="n">
        <v>38565</v>
      </c>
      <c r="C87" s="352" t="n">
        <f aca="false">VLOOKUP(A87,$A$5:$H$16,8)</f>
        <v>3.771875</v>
      </c>
      <c r="E87" s="349" t="n">
        <f aca="false">((C87+'Curve Analysis - Base Case'!G66)*'Revenues &amp; Expenses'!$S$2)/1000</f>
        <v>58.4108331783108</v>
      </c>
    </row>
    <row r="88" customFormat="false" ht="15.75" hidden="false" customHeight="false" outlineLevel="0" collapsed="false">
      <c r="A88" s="334" t="n">
        <v>9</v>
      </c>
      <c r="B88" s="269" t="n">
        <v>38596</v>
      </c>
      <c r="C88" s="352" t="n">
        <f aca="false">VLOOKUP(A88,$A$5:$H$16,8)</f>
        <v>3.81770833</v>
      </c>
      <c r="E88" s="349" t="n">
        <f aca="false">((C88+'Curve Analysis - Base Case'!G67)*'Revenues &amp; Expenses'!$S$2)/1000</f>
        <v>58.8993908770792</v>
      </c>
    </row>
    <row r="89" customFormat="false" ht="15.75" hidden="false" customHeight="false" outlineLevel="0" collapsed="false">
      <c r="A89" s="334" t="n">
        <v>10</v>
      </c>
      <c r="B89" s="269" t="n">
        <v>38626</v>
      </c>
      <c r="C89" s="352" t="n">
        <f aca="false">VLOOKUP(A89,$A$5:$H$16,8)</f>
        <v>3.778125</v>
      </c>
      <c r="E89" s="349" t="n">
        <f aca="false">((C89+'Curve Analysis - Base Case'!G68)*'Revenues &amp; Expenses'!$S$2)/1000</f>
        <v>58.569852454724</v>
      </c>
    </row>
    <row r="90" customFormat="false" ht="15.75" hidden="false" customHeight="false" outlineLevel="0" collapsed="false">
      <c r="A90" s="334" t="n">
        <v>11</v>
      </c>
      <c r="B90" s="269" t="n">
        <v>38657</v>
      </c>
      <c r="C90" s="352" t="n">
        <f aca="false">VLOOKUP(A90,$A$5:$H$16,8)</f>
        <v>3.778125</v>
      </c>
      <c r="E90" s="349" t="n">
        <f aca="false">((C90+'Curve Analysis - Base Case'!G69)*'Revenues &amp; Expenses'!$S$2)/1000</f>
        <v>58.6195930600887</v>
      </c>
    </row>
    <row r="91" customFormat="false" ht="15.75" hidden="false" customHeight="false" outlineLevel="0" collapsed="false">
      <c r="A91" s="334" t="n">
        <v>12</v>
      </c>
      <c r="B91" s="269" t="n">
        <v>38687</v>
      </c>
      <c r="C91" s="352" t="n">
        <f aca="false">VLOOKUP(A91,$A$5:$H$16,8)</f>
        <v>3.778125</v>
      </c>
      <c r="D91" s="342" t="n">
        <f aca="false">SUM(C80:C91)</f>
        <v>45.809375</v>
      </c>
      <c r="E91" s="349" t="n">
        <f aca="false">((C91+'Curve Analysis - Base Case'!G70)*'Revenues &amp; Expenses'!$S$2)/1000</f>
        <v>58.6694442202805</v>
      </c>
    </row>
    <row r="92" customFormat="false" ht="15.75" hidden="false" customHeight="false" outlineLevel="0" collapsed="false">
      <c r="A92" s="334" t="n">
        <v>1</v>
      </c>
      <c r="B92" s="269" t="n">
        <v>38718</v>
      </c>
      <c r="C92" s="352" t="n">
        <f aca="false">VLOOKUP(A92,$A$5:$I$16,9)</f>
        <v>3.83541667</v>
      </c>
      <c r="E92" s="349" t="n">
        <f aca="false">((C92+'Curve Analysis - Base Case'!G71)*'Revenues &amp; Expenses'!$S$2)/1000</f>
        <v>59.2682030879516</v>
      </c>
    </row>
    <row r="93" customFormat="false" ht="15.75" hidden="false" customHeight="false" outlineLevel="0" collapsed="false">
      <c r="A93" s="334" t="n">
        <v>2</v>
      </c>
      <c r="B93" s="269" t="n">
        <v>38749</v>
      </c>
      <c r="C93" s="352" t="n">
        <f aca="false">VLOOKUP(A93,$A$5:$I$16,9)</f>
        <v>3.83541667</v>
      </c>
      <c r="E93" s="349" t="n">
        <f aca="false">((C93+'Curve Analysis - Base Case'!G72)*'Revenues &amp; Expenses'!$S$2)/1000</f>
        <v>59.3182760955103</v>
      </c>
    </row>
    <row r="94" customFormat="false" ht="15.75" hidden="false" customHeight="false" outlineLevel="0" collapsed="false">
      <c r="A94" s="334" t="n">
        <v>3</v>
      </c>
      <c r="B94" s="269" t="n">
        <v>38777</v>
      </c>
      <c r="C94" s="352" t="n">
        <f aca="false">VLOOKUP(A94,$A$5:$I$16,9)</f>
        <v>3.83541667</v>
      </c>
      <c r="E94" s="349" t="n">
        <f aca="false">((C94+'Curve Analysis - Base Case'!G73)*'Revenues &amp; Expenses'!$S$2)/1000</f>
        <v>59.3684603967024</v>
      </c>
    </row>
    <row r="95" customFormat="false" ht="15.75" hidden="false" customHeight="false" outlineLevel="0" collapsed="false">
      <c r="A95" s="334" t="n">
        <v>4</v>
      </c>
      <c r="B95" s="269" t="n">
        <v>38808</v>
      </c>
      <c r="C95" s="352" t="n">
        <f aca="false">VLOOKUP(A95,$A$5:$I$16,9)</f>
        <v>3.98020833</v>
      </c>
      <c r="E95" s="349" t="n">
        <f aca="false">((C95+'Curve Analysis - Base Case'!G74)*'Revenues &amp; Expenses'!$S$2)/1000</f>
        <v>60.805715550032</v>
      </c>
    </row>
    <row r="96" customFormat="false" ht="15.75" hidden="false" customHeight="false" outlineLevel="0" collapsed="false">
      <c r="A96" s="334" t="n">
        <v>5</v>
      </c>
      <c r="B96" s="269" t="n">
        <v>38838</v>
      </c>
      <c r="C96" s="352" t="n">
        <f aca="false">VLOOKUP(A96,$A$5:$I$16,9)</f>
        <v>3.81770833</v>
      </c>
      <c r="E96" s="349" t="n">
        <f aca="false">((C96+'Curve Analysis - Base Case'!G75)*'Revenues &amp; Expenses'!$S$2)/1000</f>
        <v>59.2995356811332</v>
      </c>
    </row>
    <row r="97" customFormat="false" ht="15.75" hidden="false" customHeight="false" outlineLevel="0" collapsed="false">
      <c r="A97" s="334" t="n">
        <v>6</v>
      </c>
      <c r="B97" s="269" t="n">
        <v>38869</v>
      </c>
      <c r="C97" s="352" t="n">
        <f aca="false">VLOOKUP(A97,$A$5:$I$16,9)</f>
        <v>3.809375</v>
      </c>
      <c r="E97" s="349" t="n">
        <f aca="false">((C97+'Curve Analysis - Base Case'!G76)*'Revenues &amp; Expenses'!$S$2)/1000</f>
        <v>59.2702303815412</v>
      </c>
    </row>
    <row r="98" customFormat="false" ht="15.75" hidden="false" customHeight="false" outlineLevel="0" collapsed="false">
      <c r="A98" s="334" t="n">
        <v>7</v>
      </c>
      <c r="B98" s="269" t="n">
        <v>38899</v>
      </c>
      <c r="C98" s="352" t="n">
        <f aca="false">VLOOKUP(A98,$A$5:$I$16,9)</f>
        <v>3.771875</v>
      </c>
      <c r="E98" s="349" t="n">
        <f aca="false">((C98+'Curve Analysis - Base Case'!G77)*'Revenues &amp; Expenses'!$S$2)/1000</f>
        <v>58.9616498364133</v>
      </c>
    </row>
    <row r="99" customFormat="false" ht="15.75" hidden="false" customHeight="false" outlineLevel="0" collapsed="false">
      <c r="A99" s="334" t="n">
        <v>8</v>
      </c>
      <c r="B99" s="269" t="n">
        <v>38930</v>
      </c>
      <c r="C99" s="352" t="n">
        <f aca="false">VLOOKUP(A99,$A$5:$I$16,9)</f>
        <v>3.771875</v>
      </c>
      <c r="E99" s="349" t="n">
        <f aca="false">((C99+'Curve Analysis - Base Case'!G78)*'Revenues &amp; Expenses'!$S$2)/1000</f>
        <v>59.0123943272502</v>
      </c>
    </row>
    <row r="100" customFormat="false" ht="15.75" hidden="false" customHeight="false" outlineLevel="0" collapsed="false">
      <c r="A100" s="334" t="n">
        <v>9</v>
      </c>
      <c r="B100" s="269" t="n">
        <v>38961</v>
      </c>
      <c r="C100" s="352" t="n">
        <f aca="false">VLOOKUP(A100,$A$5:$I$16,9)</f>
        <v>3.81770833</v>
      </c>
      <c r="E100" s="349" t="n">
        <f aca="false">((C100+'Curve Analysis - Base Case'!G79)*'Revenues &amp; Expenses'!$S$2)/1000</f>
        <v>59.5022890722475</v>
      </c>
    </row>
    <row r="101" customFormat="false" ht="15.75" hidden="false" customHeight="false" outlineLevel="0" collapsed="false">
      <c r="A101" s="334" t="n">
        <v>10</v>
      </c>
      <c r="B101" s="269" t="n">
        <v>38991</v>
      </c>
      <c r="C101" s="352" t="n">
        <f aca="false">VLOOKUP(A101,$A$5:$I$16,9)</f>
        <v>3.778125</v>
      </c>
      <c r="E101" s="349" t="n">
        <f aca="false">((C101+'Curve Analysis - Base Case'!G80)*'Revenues &amp; Expenses'!$S$2)/1000</f>
        <v>59.1740906678766</v>
      </c>
    </row>
    <row r="102" customFormat="false" ht="15.75" hidden="false" customHeight="false" outlineLevel="0" collapsed="false">
      <c r="A102" s="334" t="n">
        <v>11</v>
      </c>
      <c r="B102" s="269" t="n">
        <v>39022</v>
      </c>
      <c r="C102" s="352" t="n">
        <f aca="false">VLOOKUP(A102,$A$5:$I$16,9)</f>
        <v>3.778125</v>
      </c>
      <c r="E102" s="349" t="n">
        <f aca="false">((C102+'Curve Analysis - Base Case'!G81)*'Revenues &amp; Expenses'!$S$2)/1000</f>
        <v>59.2251742695861</v>
      </c>
    </row>
    <row r="103" customFormat="false" ht="15.75" hidden="false" customHeight="false" outlineLevel="0" collapsed="false">
      <c r="A103" s="334" t="n">
        <v>12</v>
      </c>
      <c r="B103" s="269" t="n">
        <v>39052</v>
      </c>
      <c r="C103" s="352" t="n">
        <f aca="false">VLOOKUP(A103,$A$5:$I$16,9)</f>
        <v>3.778125</v>
      </c>
      <c r="D103" s="342" t="n">
        <f aca="false">SUM(C92:C103)</f>
        <v>45.809375</v>
      </c>
      <c r="E103" s="349" t="n">
        <f aca="false">((C103+'Curve Analysis - Base Case'!G82)*'Revenues &amp; Expenses'!$S$2)/1000</f>
        <v>59.2763714111031</v>
      </c>
    </row>
    <row r="104" customFormat="false" ht="15.75" hidden="false" customHeight="false" outlineLevel="0" collapsed="false">
      <c r="A104" s="334" t="n">
        <v>1</v>
      </c>
      <c r="B104" s="269" t="n">
        <v>39083</v>
      </c>
      <c r="C104" s="352" t="n">
        <f aca="false">VLOOKUP(A116,$A$5:$J$16,10)</f>
        <v>3.83541667</v>
      </c>
      <c r="E104" s="349" t="n">
        <f aca="false">((C104+'Curve Analysis - Base Case'!G83)*'Revenues &amp; Expenses'!$S$2)/1000</f>
        <v>59.8764792517142</v>
      </c>
    </row>
    <row r="105" customFormat="false" ht="15.75" hidden="false" customHeight="false" outlineLevel="0" collapsed="false">
      <c r="A105" s="334" t="n">
        <v>2</v>
      </c>
      <c r="B105" s="269" t="n">
        <v>39114</v>
      </c>
      <c r="C105" s="352" t="n">
        <f aca="false">VLOOKUP(A117,$A$5:$J$16,10)</f>
        <v>3.83541667</v>
      </c>
      <c r="E105" s="349" t="n">
        <f aca="false">((C105+'Curve Analysis - Base Case'!G84)*'Revenues &amp; Expenses'!$S$2)/1000</f>
        <v>59.927904230477</v>
      </c>
    </row>
    <row r="106" customFormat="false" ht="15.75" hidden="false" customHeight="false" outlineLevel="0" collapsed="false">
      <c r="A106" s="334" t="n">
        <v>3</v>
      </c>
      <c r="B106" s="269" t="n">
        <v>39142</v>
      </c>
      <c r="C106" s="352" t="n">
        <f aca="false">VLOOKUP(A118,$A$5:$J$16,10)</f>
        <v>3.83541667</v>
      </c>
      <c r="E106" s="349" t="n">
        <f aca="false">((C106+'Curve Analysis - Base Case'!G85)*'Revenues &amp; Expenses'!$S$2)/1000</f>
        <v>59.9794435078012</v>
      </c>
    </row>
    <row r="107" customFormat="false" ht="15.75" hidden="false" customHeight="false" outlineLevel="0" collapsed="false">
      <c r="A107" s="334" t="n">
        <v>4</v>
      </c>
      <c r="B107" s="269" t="n">
        <v>39173</v>
      </c>
      <c r="C107" s="352" t="n">
        <f aca="false">VLOOKUP(A119,$A$5:$J$16,10)</f>
        <v>3.98020833</v>
      </c>
      <c r="E107" s="349" t="n">
        <f aca="false">((C107+'Curve Analysis - Base Case'!G86)*'Revenues &amp; Expenses'!$S$2)/1000</f>
        <v>61.41805664887</v>
      </c>
    </row>
    <row r="108" customFormat="false" ht="15.75" hidden="false" customHeight="false" outlineLevel="0" collapsed="false">
      <c r="A108" s="334" t="n">
        <v>5</v>
      </c>
      <c r="B108" s="269" t="n">
        <v>39203</v>
      </c>
      <c r="C108" s="352" t="n">
        <f aca="false">VLOOKUP(A120,$A$5:$J$16,10)</f>
        <v>3.81770833</v>
      </c>
      <c r="E108" s="349" t="n">
        <f aca="false">((C108+'Curve Analysis - Base Case'!G87)*'Revenues &amp; Expenses'!$S$2)/1000</f>
        <v>59.913237786011</v>
      </c>
    </row>
    <row r="109" customFormat="false" ht="15.75" hidden="false" customHeight="false" outlineLevel="0" collapsed="false">
      <c r="A109" s="334" t="n">
        <v>6</v>
      </c>
      <c r="B109" s="269" t="n">
        <v>39234</v>
      </c>
      <c r="C109" s="352" t="n">
        <f aca="false">VLOOKUP(A121,$A$5:$J$16,10)</f>
        <v>3.809375</v>
      </c>
      <c r="E109" s="349" t="n">
        <f aca="false">((C109+'Curve Analysis - Base Case'!G88)*'Revenues &amp; Expenses'!$S$2)/1000</f>
        <v>59.8852965174679</v>
      </c>
    </row>
    <row r="110" customFormat="false" ht="15.75" hidden="false" customHeight="false" outlineLevel="0" collapsed="false">
      <c r="A110" s="334" t="n">
        <v>7</v>
      </c>
      <c r="B110" s="269" t="n">
        <v>39264</v>
      </c>
      <c r="C110" s="352" t="n">
        <f aca="false">VLOOKUP(A122,$A$5:$J$16,10)</f>
        <v>3.771875</v>
      </c>
      <c r="E110" s="349" t="n">
        <f aca="false">((C110+'Curve Analysis - Base Case'!G89)*'Revenues &amp; Expenses'!$S$2)/1000</f>
        <v>59.5780830351214</v>
      </c>
    </row>
    <row r="111" customFormat="false" ht="15.75" hidden="false" customHeight="false" outlineLevel="0" collapsed="false">
      <c r="A111" s="334" t="n">
        <v>8</v>
      </c>
      <c r="B111" s="269" t="n">
        <v>39295</v>
      </c>
      <c r="C111" s="352" t="n">
        <f aca="false">VLOOKUP(A123,$A$5:$J$16,10)</f>
        <v>3.771875</v>
      </c>
      <c r="E111" s="349" t="n">
        <f aca="false">((C111+'Curve Analysis - Base Case'!G90)*'Revenues &amp; Expenses'!$S$2)/1000</f>
        <v>59.630197627211</v>
      </c>
    </row>
    <row r="112" customFormat="false" ht="15.75" hidden="false" customHeight="false" outlineLevel="0" collapsed="false">
      <c r="A112" s="334" t="n">
        <v>9</v>
      </c>
      <c r="B112" s="269" t="n">
        <v>39326</v>
      </c>
      <c r="C112" s="352" t="n">
        <f aca="false">VLOOKUP(A124,$A$5:$J$16,10)</f>
        <v>3.81770833</v>
      </c>
      <c r="E112" s="349" t="n">
        <f aca="false">((C112+'Curve Analysis - Base Case'!G91)*'Revenues &amp; Expenses'!$S$2)/1000</f>
        <v>60.1214655186853</v>
      </c>
    </row>
    <row r="113" customFormat="false" ht="15.75" hidden="false" customHeight="false" outlineLevel="0" collapsed="false">
      <c r="A113" s="334" t="n">
        <v>10</v>
      </c>
      <c r="B113" s="269" t="n">
        <v>39356</v>
      </c>
      <c r="C113" s="352" t="n">
        <f aca="false">VLOOKUP(A125,$A$5:$J$16,10)</f>
        <v>3.778125</v>
      </c>
      <c r="E113" s="349" t="n">
        <f aca="false">((C113+'Curve Analysis - Base Case'!G92)*'Revenues &amp; Expenses'!$S$2)/1000</f>
        <v>59.7946433127842</v>
      </c>
    </row>
    <row r="114" customFormat="false" ht="15.75" hidden="false" customHeight="false" outlineLevel="0" collapsed="false">
      <c r="A114" s="334" t="n">
        <v>11</v>
      </c>
      <c r="B114" s="269" t="n">
        <v>39387</v>
      </c>
      <c r="C114" s="352" t="n">
        <f aca="false">VLOOKUP(A126,$A$5:$J$16,10)</f>
        <v>3.778125</v>
      </c>
      <c r="E114" s="349" t="n">
        <f aca="false">((C114+'Curve Analysis - Base Case'!G93)*'Revenues &amp; Expenses'!$S$2)/1000</f>
        <v>59.8471061717399</v>
      </c>
    </row>
    <row r="115" customFormat="false" ht="15.75" hidden="false" customHeight="false" outlineLevel="0" collapsed="false">
      <c r="A115" s="334" t="n">
        <v>12</v>
      </c>
      <c r="B115" s="269" t="n">
        <v>39417</v>
      </c>
      <c r="C115" s="352" t="n">
        <f aca="false">VLOOKUP(A127,$A$5:$J$16,10)</f>
        <v>3.778125</v>
      </c>
      <c r="D115" s="342" t="n">
        <f aca="false">SUM(C104:C115)</f>
        <v>45.809375</v>
      </c>
      <c r="E115" s="349" t="n">
        <f aca="false">((C115+'Curve Analysis - Base Case'!G94)*'Revenues &amp; Expenses'!$S$2)/1000</f>
        <v>59.8996856360779</v>
      </c>
    </row>
    <row r="116" customFormat="false" ht="15.75" hidden="false" customHeight="false" outlineLevel="0" collapsed="false">
      <c r="A116" s="334" t="n">
        <v>1</v>
      </c>
      <c r="B116" s="269" t="n">
        <v>39448</v>
      </c>
      <c r="C116" s="352" t="n">
        <f aca="false">VLOOKUP(A128,$A$5:$K$16,11)</f>
        <v>3.83541667</v>
      </c>
      <c r="E116" s="349" t="n">
        <f aca="false">((C116+'Curve Analysis - Base Case'!G95)*'Revenues &amp; Expenses'!$S$2)/1000</f>
        <v>60.5011788718984</v>
      </c>
    </row>
    <row r="117" customFormat="false" ht="15.75" hidden="false" customHeight="false" outlineLevel="0" collapsed="false">
      <c r="A117" s="334" t="n">
        <v>2</v>
      </c>
      <c r="B117" s="269" t="n">
        <v>39479</v>
      </c>
      <c r="C117" s="352" t="n">
        <f aca="false">VLOOKUP(A129,$A$5:$K$16,11)</f>
        <v>3.83541667</v>
      </c>
      <c r="E117" s="349" t="n">
        <f aca="false">((C117+'Curve Analysis - Base Case'!G96)*'Revenues &amp; Expenses'!$S$2)/1000</f>
        <v>60.5539923250878</v>
      </c>
    </row>
    <row r="118" customFormat="false" ht="15.75" hidden="false" customHeight="false" outlineLevel="0" collapsed="false">
      <c r="A118" s="334" t="n">
        <v>3</v>
      </c>
      <c r="B118" s="269" t="n">
        <v>39508</v>
      </c>
      <c r="C118" s="352" t="n">
        <f aca="false">VLOOKUP(A130,$A$5:$K$16,11)</f>
        <v>3.83541667</v>
      </c>
      <c r="E118" s="349" t="n">
        <f aca="false">((C118+'Curve Analysis - Base Case'!G97)*'Revenues &amp; Expenses'!$S$2)/1000</f>
        <v>60.6069231628998</v>
      </c>
    </row>
    <row r="119" customFormat="false" ht="15.75" hidden="false" customHeight="false" outlineLevel="0" collapsed="false">
      <c r="A119" s="334" t="n">
        <v>4</v>
      </c>
      <c r="B119" s="269" t="n">
        <v>39539</v>
      </c>
      <c r="C119" s="352" t="n">
        <f aca="false">VLOOKUP(A131,$A$5:$K$16,11)</f>
        <v>3.98020833</v>
      </c>
      <c r="E119" s="349" t="n">
        <f aca="false">((C119+'Curve Analysis - Base Case'!G98)*'Revenues &amp; Expenses'!$S$2)/1000</f>
        <v>62.0469309573766</v>
      </c>
    </row>
    <row r="120" customFormat="false" ht="15.75" hidden="false" customHeight="false" outlineLevel="0" collapsed="false">
      <c r="A120" s="334" t="n">
        <v>5</v>
      </c>
      <c r="B120" s="269" t="n">
        <v>39569</v>
      </c>
      <c r="C120" s="352" t="n">
        <f aca="false">VLOOKUP(A132,$A$5:$K$16,11)</f>
        <v>3.81770833</v>
      </c>
      <c r="E120" s="349" t="n">
        <f aca="false">((C120+'Curve Analysis - Base Case'!G99)*'Revenues &amp; Expenses'!$S$2)/1000</f>
        <v>60.5435098477204</v>
      </c>
    </row>
    <row r="121" customFormat="false" ht="15.75" hidden="false" customHeight="false" outlineLevel="0" collapsed="false">
      <c r="A121" s="334" t="n">
        <v>6</v>
      </c>
      <c r="B121" s="269" t="n">
        <v>39600</v>
      </c>
      <c r="C121" s="352" t="n">
        <f aca="false">VLOOKUP(A133,$A$5:$K$16,11)</f>
        <v>3.809375</v>
      </c>
      <c r="E121" s="349" t="n">
        <f aca="false">((C121+'Curve Analysis - Base Case'!G100)*'Revenues &amp; Expenses'!$S$2)/1000</f>
        <v>60.5169694390645</v>
      </c>
    </row>
    <row r="122" customFormat="false" ht="15.75" hidden="false" customHeight="false" outlineLevel="0" collapsed="false">
      <c r="A122" s="334" t="n">
        <v>7</v>
      </c>
      <c r="B122" s="269" t="n">
        <v>39630</v>
      </c>
      <c r="C122" s="352" t="n">
        <f aca="false">VLOOKUP(A134,$A$5:$K$16,11)</f>
        <v>3.771875</v>
      </c>
      <c r="E122" s="349" t="n">
        <f aca="false">((C122+'Curve Analysis - Base Case'!G101)*'Revenues &amp; Expenses'!$S$2)/1000</f>
        <v>60.2111599301947</v>
      </c>
    </row>
    <row r="123" customFormat="false" ht="15.75" hidden="false" customHeight="false" outlineLevel="0" collapsed="false">
      <c r="A123" s="334" t="n">
        <v>8</v>
      </c>
      <c r="B123" s="269" t="n">
        <v>39661</v>
      </c>
      <c r="C123" s="352" t="n">
        <f aca="false">VLOOKUP(A135,$A$5:$K$16,11)</f>
        <v>3.771875</v>
      </c>
      <c r="E123" s="349" t="n">
        <f aca="false">((C123+'Curve Analysis - Base Case'!G102)*'Revenues &amp; Expenses'!$S$2)/1000</f>
        <v>60.2646816162706</v>
      </c>
    </row>
    <row r="124" customFormat="false" ht="15.75" hidden="false" customHeight="false" outlineLevel="0" collapsed="false">
      <c r="A124" s="334" t="n">
        <v>9</v>
      </c>
      <c r="B124" s="269" t="n">
        <v>39692</v>
      </c>
      <c r="C124" s="352" t="n">
        <f aca="false">VLOOKUP(A136,$A$5:$K$16,11)</f>
        <v>3.81770833</v>
      </c>
      <c r="E124" s="349" t="n">
        <f aca="false">((C124+'Curve Analysis - Base Case'!G103)*'Revenues &amp; Expenses'!$S$2)/1000</f>
        <v>60.7573597291769</v>
      </c>
    </row>
    <row r="125" customFormat="false" ht="15.75" hidden="false" customHeight="false" outlineLevel="0" collapsed="false">
      <c r="A125" s="334" t="n">
        <v>10</v>
      </c>
      <c r="B125" s="269" t="n">
        <v>39722</v>
      </c>
      <c r="C125" s="352" t="n">
        <f aca="false">VLOOKUP(A137,$A$5:$K$16,11)</f>
        <v>3.778125</v>
      </c>
      <c r="E125" s="349" t="n">
        <f aca="false">((C125+'Curve Analysis - Base Case'!G104)*'Revenues &amp; Expenses'!$S$2)/1000</f>
        <v>60.4319508791044</v>
      </c>
    </row>
    <row r="126" customFormat="false" ht="15.75" hidden="false" customHeight="false" outlineLevel="0" collapsed="false">
      <c r="A126" s="334" t="n">
        <v>11</v>
      </c>
      <c r="B126" s="269" t="n">
        <v>39753</v>
      </c>
      <c r="C126" s="352" t="n">
        <f aca="false">VLOOKUP(A138,$A$5:$K$16,11)</f>
        <v>3.778125</v>
      </c>
      <c r="E126" s="349" t="n">
        <f aca="false">((C126+'Curve Analysis - Base Case'!G105)*'Revenues &amp; Expenses'!$S$2)/1000</f>
        <v>60.4858302352519</v>
      </c>
    </row>
    <row r="127" customFormat="false" ht="15.75" hidden="false" customHeight="false" outlineLevel="0" collapsed="false">
      <c r="A127" s="334" t="n">
        <v>12</v>
      </c>
      <c r="B127" s="269" t="n">
        <v>39783</v>
      </c>
      <c r="C127" s="352" t="n">
        <f aca="false">VLOOKUP(A139,$A$5:$K$16,11)</f>
        <v>3.778125</v>
      </c>
      <c r="D127" s="342" t="n">
        <f aca="false">SUM(C116:C127)</f>
        <v>45.809375</v>
      </c>
      <c r="E127" s="349" t="n">
        <f aca="false">((C127+'Curve Analysis - Base Case'!G106)*'Revenues &amp; Expenses'!$S$2)/1000</f>
        <v>60.539829345127</v>
      </c>
    </row>
    <row r="128" customFormat="false" ht="15.75" hidden="false" customHeight="false" outlineLevel="0" collapsed="false">
      <c r="A128" s="334" t="n">
        <v>1</v>
      </c>
      <c r="B128" s="269" t="n">
        <v>39814</v>
      </c>
      <c r="C128" s="352" t="n">
        <f aca="false">VLOOKUP(A140,$A$5:$L$16,12)</f>
        <v>3.83541667</v>
      </c>
      <c r="E128" s="349" t="n">
        <f aca="false">((C128+'Curve Analysis - Base Case'!G107)*'Revenues &amp; Expenses'!$S$2)/1000</f>
        <v>61.1427453818275</v>
      </c>
    </row>
    <row r="129" customFormat="false" ht="15.75" hidden="false" customHeight="false" outlineLevel="0" collapsed="false">
      <c r="A129" s="334" t="n">
        <v>2</v>
      </c>
      <c r="B129" s="269" t="n">
        <v>39845</v>
      </c>
      <c r="C129" s="352" t="n">
        <f aca="false">VLOOKUP(A141,$A$5:$L$16,12)</f>
        <v>3.83541667</v>
      </c>
      <c r="E129" s="349" t="n">
        <f aca="false">((C129+'Curve Analysis - Base Case'!G108)*'Revenues &amp; Expenses'!$S$2)/1000</f>
        <v>61.196984798253</v>
      </c>
    </row>
    <row r="130" customFormat="false" ht="15.75" hidden="false" customHeight="false" outlineLevel="0" collapsed="false">
      <c r="A130" s="334" t="n">
        <v>3</v>
      </c>
      <c r="B130" s="269" t="n">
        <v>39873</v>
      </c>
      <c r="C130" s="352" t="n">
        <f aca="false">VLOOKUP(A142,$A$5:$L$16,12)</f>
        <v>3.83541667</v>
      </c>
      <c r="E130" s="349" t="n">
        <f aca="false">((C130+'Curve Analysis - Base Case'!G109)*'Revenues &amp; Expenses'!$S$2)/1000</f>
        <v>61.2513447686859</v>
      </c>
    </row>
    <row r="131" customFormat="false" ht="15.75" hidden="false" customHeight="false" outlineLevel="0" collapsed="false">
      <c r="A131" s="334" t="n">
        <v>4</v>
      </c>
      <c r="B131" s="269" t="n">
        <v>39904</v>
      </c>
      <c r="C131" s="352" t="n">
        <f aca="false">VLOOKUP(A143,$A$5:$L$16,12)</f>
        <v>3.98020833</v>
      </c>
      <c r="E131" s="349" t="n">
        <f aca="false">((C131+'Curve Analysis - Base Case'!G110)*'Revenues &amp; Expenses'!$S$2)/1000</f>
        <v>62.6927848722129</v>
      </c>
    </row>
    <row r="132" customFormat="false" ht="15.75" hidden="false" customHeight="false" outlineLevel="0" collapsed="false">
      <c r="A132" s="334" t="n">
        <v>5</v>
      </c>
      <c r="B132" s="269" t="n">
        <v>39934</v>
      </c>
      <c r="C132" s="352" t="n">
        <f aca="false">VLOOKUP(A144,$A$5:$L$16,12)</f>
        <v>3.81770833</v>
      </c>
      <c r="E132" s="349" t="n">
        <f aca="false">((C132+'Curve Analysis - Base Case'!G111)*'Revenues &amp; Expenses'!$S$2)/1000</f>
        <v>61.1907992550959</v>
      </c>
    </row>
    <row r="133" customFormat="false" ht="15.75" hidden="false" customHeight="false" outlineLevel="0" collapsed="false">
      <c r="A133" s="334" t="n">
        <v>6</v>
      </c>
      <c r="B133" s="269" t="n">
        <v>39965</v>
      </c>
      <c r="C133" s="352" t="n">
        <f aca="false">VLOOKUP(A145,$A$5:$L$16,12)</f>
        <v>3.809375</v>
      </c>
      <c r="E133" s="349" t="n">
        <f aca="false">((C133+'Curve Analysis - Base Case'!G112)*'Revenues &amp; Expenses'!$S$2)/1000</f>
        <v>61.1656975295442</v>
      </c>
    </row>
    <row r="134" customFormat="false" ht="15.75" hidden="false" customHeight="false" outlineLevel="0" collapsed="false">
      <c r="A134" s="334" t="n">
        <v>7</v>
      </c>
      <c r="B134" s="269" t="n">
        <v>39995</v>
      </c>
      <c r="C134" s="352" t="n">
        <f aca="false">VLOOKUP(A146,$A$5:$L$16,12)</f>
        <v>3.771875</v>
      </c>
      <c r="E134" s="349" t="n">
        <f aca="false">((C134+'Curve Analysis - Base Case'!G113)*'Revenues &amp; Expenses'!$S$2)/1000</f>
        <v>60.861329901435</v>
      </c>
    </row>
    <row r="135" customFormat="false" ht="15.75" hidden="false" customHeight="false" outlineLevel="0" collapsed="false">
      <c r="A135" s="334" t="n">
        <v>8</v>
      </c>
      <c r="B135" s="269" t="n">
        <v>40026</v>
      </c>
      <c r="C135" s="352" t="n">
        <f aca="false">VLOOKUP(A147,$A$5:$L$16,12)</f>
        <v>3.771875</v>
      </c>
      <c r="E135" s="349" t="n">
        <f aca="false">((C135+'Curve Analysis - Base Case'!G114)*'Revenues &amp; Expenses'!$S$2)/1000</f>
        <v>60.916296673035</v>
      </c>
    </row>
    <row r="136" customFormat="false" ht="15.75" hidden="false" customHeight="false" outlineLevel="0" collapsed="false">
      <c r="A136" s="334" t="n">
        <v>9</v>
      </c>
      <c r="B136" s="269" t="n">
        <v>40057</v>
      </c>
      <c r="C136" s="352" t="n">
        <f aca="false">VLOOKUP(A148,$A$5:$L$16,12)</f>
        <v>3.81770833</v>
      </c>
      <c r="E136" s="349" t="n">
        <f aca="false">((C136+'Curve Analysis - Base Case'!G115)*'Revenues &amp; Expenses'!$S$2)/1000</f>
        <v>61.4104230833518</v>
      </c>
    </row>
    <row r="137" customFormat="false" ht="15.75" hidden="false" customHeight="false" outlineLevel="0" collapsed="false">
      <c r="A137" s="334" t="n">
        <v>10</v>
      </c>
      <c r="B137" s="269" t="n">
        <v>40087</v>
      </c>
      <c r="C137" s="352" t="n">
        <f aca="false">VLOOKUP(A149,$A$5:$L$16,12)</f>
        <v>3.778125</v>
      </c>
      <c r="E137" s="349" t="n">
        <f aca="false">((C137+'Curve Analysis - Base Case'!G116)*'Revenues &amp; Expenses'!$S$2)/1000</f>
        <v>61.0864657497152</v>
      </c>
    </row>
    <row r="138" customFormat="false" ht="15.75" hidden="false" customHeight="false" outlineLevel="0" collapsed="false">
      <c r="A138" s="334" t="n">
        <v>11</v>
      </c>
      <c r="B138" s="269" t="n">
        <v>40118</v>
      </c>
      <c r="C138" s="352" t="n">
        <f aca="false">VLOOKUP(A150,$A$5:$L$16,12)</f>
        <v>3.778125</v>
      </c>
      <c r="E138" s="349" t="n">
        <f aca="false">((C138+'Curve Analysis - Base Case'!G117)*'Revenues &amp; Expenses'!$S$2)/1000</f>
        <v>61.1417998484787</v>
      </c>
    </row>
    <row r="139" customFormat="false" ht="15.75" hidden="false" customHeight="false" outlineLevel="0" collapsed="false">
      <c r="A139" s="334" t="n">
        <v>12</v>
      </c>
      <c r="B139" s="269" t="n">
        <v>40148</v>
      </c>
      <c r="C139" s="352" t="n">
        <f aca="false">VLOOKUP(A151,$A$5:$L$16,12)</f>
        <v>3.778125</v>
      </c>
      <c r="D139" s="342" t="n">
        <f aca="false">SUM(C128:C139)</f>
        <v>45.809375</v>
      </c>
      <c r="E139" s="349" t="n">
        <f aca="false">((C139+'Curve Analysis - Base Case'!G118)*'Revenues &amp; Expenses'!$S$2)/1000</f>
        <v>61.1972569343204</v>
      </c>
    </row>
    <row r="140" customFormat="false" ht="15.75" hidden="false" customHeight="false" outlineLevel="0" collapsed="false">
      <c r="A140" s="334" t="n">
        <v>1</v>
      </c>
      <c r="B140" s="269" t="n">
        <v>40179</v>
      </c>
      <c r="C140" s="352" t="n">
        <f aca="false">VLOOKUP(A152,$A$5:$M$16,13)</f>
        <v>3.83541667</v>
      </c>
      <c r="E140" s="349" t="n">
        <f aca="false">((C140+'Curve Analysis - Base Case'!G119)*'Revenues &amp; Expenses'!$S$2)/1000</f>
        <v>61.8016341875248</v>
      </c>
    </row>
    <row r="141" customFormat="false" ht="15.75" hidden="false" customHeight="false" outlineLevel="0" collapsed="false">
      <c r="A141" s="334" t="n">
        <v>2</v>
      </c>
      <c r="B141" s="269" t="n">
        <v>40210</v>
      </c>
      <c r="C141" s="352" t="n">
        <f aca="false">VLOOKUP(A153,$A$5:$M$16,13)</f>
        <v>3.83541667</v>
      </c>
      <c r="E141" s="349" t="n">
        <f aca="false">((C141+'Curve Analysis - Base Case'!G120)*'Revenues &amp; Expenses'!$S$2)/1000</f>
        <v>61.8573380681938</v>
      </c>
    </row>
    <row r="142" customFormat="false" ht="15.75" hidden="false" customHeight="false" outlineLevel="0" collapsed="false">
      <c r="A142" s="334" t="n">
        <v>3</v>
      </c>
      <c r="B142" s="269" t="n">
        <v>40238</v>
      </c>
      <c r="C142" s="352" t="n">
        <f aca="false">VLOOKUP(A154,$A$5:$M$16,13)</f>
        <v>3.83541667</v>
      </c>
      <c r="E142" s="349" t="n">
        <f aca="false">((C142+'Curve Analysis - Base Case'!G121)*'Revenues &amp; Expenses'!$S$2)/1000</f>
        <v>61.9131657578283</v>
      </c>
    </row>
    <row r="143" customFormat="false" ht="15.75" hidden="false" customHeight="false" outlineLevel="0" collapsed="false">
      <c r="A143" s="334" t="n">
        <v>4</v>
      </c>
      <c r="B143" s="269" t="n">
        <v>40269</v>
      </c>
      <c r="C143" s="352" t="n">
        <f aca="false">VLOOKUP(A155,$A$5:$M$16,13)</f>
        <v>3.98020833</v>
      </c>
      <c r="E143" s="349" t="n">
        <f aca="false">((C143+'Curve Analysis - Base Case'!G122)*'Revenues &amp; Expenses'!$S$2)/1000</f>
        <v>63.3560768427497</v>
      </c>
    </row>
    <row r="144" customFormat="false" ht="15.75" hidden="false" customHeight="false" outlineLevel="0" collapsed="false">
      <c r="A144" s="334" t="n">
        <v>5</v>
      </c>
      <c r="B144" s="269" t="n">
        <v>40299</v>
      </c>
      <c r="C144" s="352" t="n">
        <f aca="false">VLOOKUP(A156,$A$5:$M$16,13)</f>
        <v>3.81770833</v>
      </c>
      <c r="E144" s="349" t="n">
        <f aca="false">((C144+'Curve Analysis - Base Case'!G123)*'Revenues &amp; Expenses'!$S$2)/1000</f>
        <v>61.8555654764706</v>
      </c>
    </row>
    <row r="145" customFormat="false" ht="15.75" hidden="false" customHeight="false" outlineLevel="0" collapsed="false">
      <c r="A145" s="334" t="n">
        <v>6</v>
      </c>
      <c r="B145" s="269" t="n">
        <v>40330</v>
      </c>
      <c r="C145" s="352" t="n">
        <f aca="false">VLOOKUP(A157,$A$5:$M$16,13)</f>
        <v>3.809375</v>
      </c>
      <c r="E145" s="349" t="n">
        <f aca="false">((C145+'Curve Analysis - Base Case'!G124)*'Revenues &amp; Expenses'!$S$2)/1000</f>
        <v>61.8319412784669</v>
      </c>
    </row>
    <row r="146" customFormat="false" ht="15.75" hidden="false" customHeight="false" outlineLevel="0" collapsed="false">
      <c r="A146" s="334" t="n">
        <v>7</v>
      </c>
      <c r="B146" s="269" t="n">
        <v>40360</v>
      </c>
      <c r="C146" s="352" t="n">
        <f aca="false">VLOOKUP(A158,$A$5:$M$16,13)</f>
        <v>3.771875</v>
      </c>
      <c r="E146" s="349" t="n">
        <f aca="false">((C146+'Curve Analysis - Base Case'!G125)*'Revenues &amp; Expenses'!$S$2)/1000</f>
        <v>61.5290544618987</v>
      </c>
    </row>
    <row r="147" customFormat="false" ht="15.75" hidden="false" customHeight="false" outlineLevel="0" collapsed="false">
      <c r="A147" s="334" t="n">
        <v>8</v>
      </c>
      <c r="B147" s="269" t="n">
        <v>40391</v>
      </c>
      <c r="C147" s="352" t="n">
        <f aca="false">VLOOKUP(A159,$A$5:$M$16,13)</f>
        <v>3.771875</v>
      </c>
      <c r="E147" s="349" t="n">
        <f aca="false">((C147+'Curve Analysis - Base Case'!G126)*'Revenues &amp; Expenses'!$S$2)/1000</f>
        <v>61.5855053363319</v>
      </c>
    </row>
    <row r="148" customFormat="false" ht="15.75" hidden="false" customHeight="false" outlineLevel="0" collapsed="false">
      <c r="A148" s="334" t="n">
        <v>9</v>
      </c>
      <c r="B148" s="269" t="n">
        <v>40422</v>
      </c>
      <c r="C148" s="352" t="n">
        <f aca="false">VLOOKUP(A160,$A$5:$M$16,13)</f>
        <v>3.81770833</v>
      </c>
      <c r="E148" s="349" t="n">
        <f aca="false">((C148+'Curve Analysis - Base Case'!G127)*'Revenues &amp; Expenses'!$S$2)/1000</f>
        <v>62.0811191480894</v>
      </c>
    </row>
    <row r="149" customFormat="false" ht="15.75" hidden="false" customHeight="false" outlineLevel="0" collapsed="false">
      <c r="A149" s="334" t="n">
        <v>10</v>
      </c>
      <c r="B149" s="269" t="n">
        <v>40452</v>
      </c>
      <c r="C149" s="352" t="n">
        <f aca="false">VLOOKUP(A161,$A$5:$M$16,13)</f>
        <v>3.778125</v>
      </c>
      <c r="E149" s="349" t="n">
        <f aca="false">((C149+'Curve Analysis - Base Case'!G128)*'Revenues &amp; Expenses'!$S$2)/1000</f>
        <v>61.7586525218326</v>
      </c>
    </row>
    <row r="150" customFormat="false" ht="15.75" hidden="false" customHeight="false" outlineLevel="0" collapsed="false">
      <c r="A150" s="334" t="n">
        <v>11</v>
      </c>
      <c r="B150" s="269" t="n">
        <v>40483</v>
      </c>
      <c r="C150" s="352" t="n">
        <f aca="false">VLOOKUP(A162,$A$5:$M$16,13)</f>
        <v>3.778125</v>
      </c>
      <c r="E150" s="349" t="n">
        <f aca="false">((C150+'Curve Analysis - Base Case'!G129)*'Revenues &amp; Expenses'!$S$2)/1000</f>
        <v>61.8154806412626</v>
      </c>
    </row>
    <row r="151" customFormat="false" ht="15.75" hidden="false" customHeight="false" outlineLevel="0" collapsed="false">
      <c r="A151" s="334" t="n">
        <v>12</v>
      </c>
      <c r="B151" s="269" t="n">
        <v>40513</v>
      </c>
      <c r="C151" s="352" t="n">
        <f aca="false">VLOOKUP(A163,$A$5:$M$16,13)</f>
        <v>3.778125</v>
      </c>
      <c r="D151" s="342" t="n">
        <f aca="false">SUM(C140:C151)</f>
        <v>45.809375</v>
      </c>
      <c r="E151" s="349" t="n">
        <f aca="false">((C151+'Curve Analysis - Base Case'!G130)*'Revenues &amp; Expenses'!$S$2)/1000</f>
        <v>61.8724350684221</v>
      </c>
    </row>
    <row r="152" customFormat="false" ht="15.75" hidden="false" customHeight="false" outlineLevel="0" collapsed="false">
      <c r="A152" s="334" t="n">
        <v>1</v>
      </c>
      <c r="B152" s="269" t="n">
        <v>40544</v>
      </c>
      <c r="C152" s="352" t="n">
        <f aca="false">VLOOKUP(A164,$A$5:$N$16,14)</f>
        <v>3.83541667</v>
      </c>
      <c r="E152" s="349" t="n">
        <f aca="false">((C152+'Curve Analysis - Base Case'!G131)*'Revenues &amp; Expenses'!$S$2)/1000</f>
        <v>62.4783129909758</v>
      </c>
    </row>
    <row r="153" customFormat="false" ht="15.75" hidden="false" customHeight="false" outlineLevel="0" collapsed="false">
      <c r="A153" s="334" t="n">
        <v>2</v>
      </c>
      <c r="B153" s="269" t="n">
        <v>40575</v>
      </c>
      <c r="C153" s="352" t="n">
        <f aca="false">VLOOKUP(A165,$A$5:$N$16,14)</f>
        <v>3.83541667</v>
      </c>
      <c r="E153" s="349" t="n">
        <f aca="false">((C153+'Curve Analysis - Base Case'!G132)*'Revenues &amp; Expenses'!$S$2)/1000</f>
        <v>62.5355208764229</v>
      </c>
    </row>
    <row r="154" customFormat="false" ht="15.75" hidden="false" customHeight="false" outlineLevel="0" collapsed="false">
      <c r="A154" s="334" t="n">
        <v>3</v>
      </c>
      <c r="B154" s="269" t="n">
        <v>40603</v>
      </c>
      <c r="C154" s="352" t="n">
        <f aca="false">VLOOKUP(A166,$A$5:$N$16,14)</f>
        <v>3.83541667</v>
      </c>
      <c r="E154" s="349" t="n">
        <f aca="false">((C154+'Curve Analysis - Base Case'!G133)*'Revenues &amp; Expenses'!$S$2)/1000</f>
        <v>62.5928559136776</v>
      </c>
    </row>
    <row r="155" customFormat="false" ht="15.75" hidden="false" customHeight="false" outlineLevel="0" collapsed="false">
      <c r="A155" s="334" t="n">
        <v>4</v>
      </c>
      <c r="B155" s="269" t="n">
        <v>40634</v>
      </c>
      <c r="C155" s="352" t="n">
        <f aca="false">VLOOKUP(A167,$A$5:$N$16,14)</f>
        <v>3.98020833</v>
      </c>
      <c r="E155" s="349" t="n">
        <f aca="false">((C155+'Curve Analysis - Base Case'!G134)*'Revenues &amp; Expenses'!$S$2)/1000</f>
        <v>64.0372776964911</v>
      </c>
    </row>
    <row r="156" customFormat="false" ht="15.75" hidden="false" customHeight="false" outlineLevel="0" collapsed="false">
      <c r="A156" s="334" t="n">
        <v>5</v>
      </c>
      <c r="B156" s="269" t="n">
        <v>40664</v>
      </c>
      <c r="C156" s="352" t="n">
        <f aca="false">VLOOKUP(A168,$A$5:$N$16,14)</f>
        <v>3.81770833</v>
      </c>
      <c r="E156" s="349" t="n">
        <f aca="false">((C156+'Curve Analysis - Base Case'!G135)*'Revenues &amp; Expenses'!$S$2)/1000</f>
        <v>62.5382803858224</v>
      </c>
    </row>
    <row r="157" customFormat="false" ht="15.75" hidden="false" customHeight="false" outlineLevel="0" collapsed="false">
      <c r="A157" s="334" t="n">
        <v>6</v>
      </c>
      <c r="B157" s="269" t="n">
        <v>40695</v>
      </c>
      <c r="C157" s="352" t="n">
        <f aca="false">VLOOKUP(A169,$A$5:$N$16,14)</f>
        <v>3.809375</v>
      </c>
      <c r="E157" s="349" t="n">
        <f aca="false">((C157+'Curve Analysis - Base Case'!G136)*'Revenues &amp; Expenses'!$S$2)/1000</f>
        <v>62.5161736086105</v>
      </c>
    </row>
    <row r="158" customFormat="false" ht="15.75" hidden="false" customHeight="false" outlineLevel="0" collapsed="false">
      <c r="A158" s="334" t="n">
        <v>7</v>
      </c>
      <c r="B158" s="269" t="n">
        <v>40725</v>
      </c>
      <c r="C158" s="352" t="n">
        <f aca="false">VLOOKUP(A170,$A$5:$N$16,14)</f>
        <v>3.771875</v>
      </c>
      <c r="E158" s="349" t="n">
        <f aca="false">((C158+'Curve Analysis - Base Case'!G137)*'Revenues &amp; Expenses'!$S$2)/1000</f>
        <v>62.214807585495</v>
      </c>
    </row>
    <row r="159" customFormat="false" ht="15.75" hidden="false" customHeight="false" outlineLevel="0" collapsed="false">
      <c r="A159" s="334" t="n">
        <v>8</v>
      </c>
      <c r="B159" s="269" t="n">
        <v>40756</v>
      </c>
      <c r="C159" s="352" t="n">
        <f aca="false">VLOOKUP(A171,$A$5:$N$16,14)</f>
        <v>3.771875</v>
      </c>
      <c r="E159" s="349" t="n">
        <f aca="false">((C159+'Curve Analysis - Base Case'!G138)*'Revenues &amp; Expenses'!$S$2)/1000</f>
        <v>62.2727826335379</v>
      </c>
    </row>
    <row r="160" customFormat="false" ht="15.75" hidden="false" customHeight="false" outlineLevel="0" collapsed="false">
      <c r="A160" s="334" t="n">
        <v>9</v>
      </c>
      <c r="B160" s="269" t="n">
        <v>40787</v>
      </c>
      <c r="C160" s="352" t="n">
        <f aca="false">VLOOKUP(A172,$A$5:$N$16,14)</f>
        <v>3.81770833</v>
      </c>
      <c r="E160" s="349" t="n">
        <f aca="false">((C160+'Curve Analysis - Base Case'!G139)*'Revenues &amp; Expenses'!$S$2)/1000</f>
        <v>62.7699240065749</v>
      </c>
    </row>
    <row r="161" customFormat="false" ht="15.75" hidden="false" customHeight="false" outlineLevel="0" collapsed="false">
      <c r="A161" s="334" t="n">
        <v>10</v>
      </c>
      <c r="B161" s="269" t="n">
        <v>40817</v>
      </c>
      <c r="C161" s="352" t="n">
        <f aca="false">VLOOKUP(A173,$A$5:$N$16,14)</f>
        <v>3.778125</v>
      </c>
      <c r="E161" s="349" t="n">
        <f aca="false">((C161+'Curve Analysis - Base Case'!G140)*'Revenues &amp; Expenses'!$S$2)/1000</f>
        <v>62.448988336797</v>
      </c>
    </row>
    <row r="162" customFormat="false" ht="15.75" hidden="false" customHeight="false" outlineLevel="0" collapsed="false">
      <c r="A162" s="334" t="n">
        <v>11</v>
      </c>
      <c r="B162" s="269" t="n">
        <v>40848</v>
      </c>
      <c r="C162" s="352" t="n">
        <f aca="false">VLOOKUP(A174,$A$5:$N$16,14)</f>
        <v>3.778125</v>
      </c>
      <c r="E162" s="349" t="n">
        <f aca="false">((C162+'Curve Analysis - Base Case'!G141)*'Revenues &amp; Expenses'!$S$2)/1000</f>
        <v>62.5073508154517</v>
      </c>
    </row>
    <row r="163" customFormat="false" ht="15.75" hidden="false" customHeight="false" outlineLevel="0" collapsed="false">
      <c r="A163" s="334" t="n">
        <v>12</v>
      </c>
      <c r="B163" s="269" t="n">
        <v>40878</v>
      </c>
      <c r="C163" s="352" t="n">
        <f aca="false">VLOOKUP(A175,$A$5:$N$16,14)</f>
        <v>3.778125</v>
      </c>
      <c r="D163" s="342" t="n">
        <f aca="false">SUM(C152:C163)</f>
        <v>45.809375</v>
      </c>
      <c r="E163" s="349" t="n">
        <f aca="false">((C163+'Curve Analysis - Base Case'!G142)*'Revenues &amp; Expenses'!$S$2)/1000</f>
        <v>62.5658430121445</v>
      </c>
    </row>
    <row r="164" customFormat="false" ht="15.75" hidden="false" customHeight="false" outlineLevel="0" collapsed="false">
      <c r="A164" s="334" t="n">
        <v>1</v>
      </c>
      <c r="B164" s="269" t="n">
        <v>40909</v>
      </c>
      <c r="C164" s="352" t="n">
        <f aca="false">VLOOKUP(A176,$A$5:$O$16,15)</f>
        <v>3.83541667</v>
      </c>
      <c r="E164" s="349" t="n">
        <f aca="false">((C164+'Curve Analysis - Base Case'!G143)*'Revenues &amp; Expenses'!$S$2)/1000</f>
        <v>63.17326212212</v>
      </c>
    </row>
    <row r="165" customFormat="false" ht="15.75" hidden="false" customHeight="false" outlineLevel="0" collapsed="false">
      <c r="A165" s="334" t="n">
        <v>2</v>
      </c>
      <c r="B165" s="269" t="n">
        <v>40940</v>
      </c>
      <c r="C165" s="352" t="n">
        <f aca="false">VLOOKUP(A177,$A$5:$O$16,15)</f>
        <v>3.83541667</v>
      </c>
      <c r="E165" s="349" t="n">
        <f aca="false">((C165+'Curve Analysis - Base Case'!G144)*'Revenues &amp; Expenses'!$S$2)/1000</f>
        <v>63.2320146204742</v>
      </c>
    </row>
    <row r="166" customFormat="false" ht="15.75" hidden="false" customHeight="false" outlineLevel="0" collapsed="false">
      <c r="A166" s="334" t="n">
        <v>3</v>
      </c>
      <c r="B166" s="269" t="n">
        <v>40969</v>
      </c>
      <c r="C166" s="352" t="n">
        <f aca="false">VLOOKUP(A178,$A$5:$O$16,15)</f>
        <v>3.83541667</v>
      </c>
      <c r="E166" s="349" t="n">
        <f aca="false">((C166+'Curve Analysis - Base Case'!G145)*'Revenues &amp; Expenses'!$S$2)/1000</f>
        <v>63.2908977037348</v>
      </c>
    </row>
    <row r="167" customFormat="false" ht="15.75" hidden="false" customHeight="false" outlineLevel="0" collapsed="false">
      <c r="A167" s="334" t="n">
        <v>4</v>
      </c>
      <c r="B167" s="269" t="n">
        <v>41000</v>
      </c>
      <c r="C167" s="352" t="n">
        <f aca="false">VLOOKUP(A179,$A$5:$O$16,15)</f>
        <v>3.98020833</v>
      </c>
      <c r="E167" s="349" t="n">
        <f aca="false">((C167+'Curve Analysis - Base Case'!G146)*'Revenues &amp; Expenses'!$S$2)/1000</f>
        <v>64.7368709732834</v>
      </c>
    </row>
    <row r="168" customFormat="false" ht="15.75" hidden="false" customHeight="false" outlineLevel="0" collapsed="false">
      <c r="A168" s="334" t="n">
        <v>5</v>
      </c>
      <c r="B168" s="269" t="n">
        <v>41030</v>
      </c>
      <c r="C168" s="352" t="n">
        <f aca="false">VLOOKUP(A180,$A$5:$O$16,15)</f>
        <v>3.81770833</v>
      </c>
      <c r="E168" s="349" t="n">
        <f aca="false">((C168+'Curve Analysis - Base Case'!G147)*'Revenues &amp; Expenses'!$S$2)/1000</f>
        <v>63.2394285977267</v>
      </c>
    </row>
    <row r="169" customFormat="false" ht="15.75" hidden="false" customHeight="false" outlineLevel="0" collapsed="false">
      <c r="A169" s="334" t="n">
        <v>6</v>
      </c>
      <c r="B169" s="269" t="n">
        <v>41061</v>
      </c>
      <c r="C169" s="352" t="n">
        <f aca="false">VLOOKUP(A181,$A$5:$O$16,15)</f>
        <v>3.809375</v>
      </c>
      <c r="E169" s="349" t="n">
        <f aca="false">((C169+'Curve Analysis - Base Case'!G148)*'Revenues &amp; Expenses'!$S$2)/1000</f>
        <v>63.218880211668</v>
      </c>
    </row>
    <row r="170" customFormat="false" ht="15.75" hidden="false" customHeight="false" outlineLevel="0" collapsed="false">
      <c r="A170" s="334" t="n">
        <v>7</v>
      </c>
      <c r="B170" s="269" t="n">
        <v>41091</v>
      </c>
      <c r="C170" s="352" t="n">
        <f aca="false">VLOOKUP(A182,$A$5:$O$16,15)</f>
        <v>3.771875</v>
      </c>
      <c r="E170" s="349" t="n">
        <f aca="false">((C170+'Curve Analysis - Base Case'!G149)*'Revenues &amp; Expenses'!$S$2)/1000</f>
        <v>62.9190760434283</v>
      </c>
    </row>
    <row r="171" customFormat="false" ht="15.75" hidden="false" customHeight="false" outlineLevel="0" collapsed="false">
      <c r="A171" s="334" t="n">
        <v>8</v>
      </c>
      <c r="B171" s="269" t="n">
        <v>41122</v>
      </c>
      <c r="C171" s="352" t="n">
        <f aca="false">VLOOKUP(A183,$A$5:$O$16,15)</f>
        <v>3.771875</v>
      </c>
      <c r="E171" s="349" t="n">
        <f aca="false">((C171+'Curve Analysis - Base Case'!G150)*'Revenues &amp; Expenses'!$S$2)/1000</f>
        <v>62.9786164177684</v>
      </c>
    </row>
    <row r="172" customFormat="false" ht="15.75" hidden="false" customHeight="false" outlineLevel="0" collapsed="false">
      <c r="A172" s="334" t="n">
        <v>9</v>
      </c>
      <c r="B172" s="269" t="n">
        <v>41153</v>
      </c>
      <c r="C172" s="352" t="n">
        <f aca="false">VLOOKUP(A184,$A$5:$O$16,15)</f>
        <v>3.81770833</v>
      </c>
      <c r="E172" s="349" t="n">
        <f aca="false">((C172+'Curve Analysis - Base Case'!G151)*'Revenues &amp; Expenses'!$S$2)/1000</f>
        <v>63.4773265962395</v>
      </c>
    </row>
    <row r="173" customFormat="false" ht="15.75" hidden="false" customHeight="false" outlineLevel="0" collapsed="false">
      <c r="A173" s="334" t="n">
        <v>10</v>
      </c>
      <c r="B173" s="269" t="n">
        <v>41183</v>
      </c>
      <c r="C173" s="352" t="n">
        <f aca="false">VLOOKUP(A185,$A$5:$O$16,15)</f>
        <v>3.778125</v>
      </c>
      <c r="E173" s="349" t="n">
        <f aca="false">((C173+'Curve Analysis - Base Case'!G152)*'Revenues &amp; Expenses'!$S$2)/1000</f>
        <v>63.1579632187655</v>
      </c>
    </row>
    <row r="174" customFormat="false" ht="15.75" hidden="false" customHeight="false" outlineLevel="0" collapsed="false">
      <c r="A174" s="334" t="n">
        <v>11</v>
      </c>
      <c r="B174" s="269" t="n">
        <v>41214</v>
      </c>
      <c r="C174" s="352" t="n">
        <f aca="false">VLOOKUP(A186,$A$5:$O$16,15)</f>
        <v>3.778125</v>
      </c>
      <c r="E174" s="349" t="n">
        <f aca="false">((C174+'Curve Analysis - Base Case'!G153)*'Revenues &amp; Expenses'!$S$2)/1000</f>
        <v>63.2179014843439</v>
      </c>
    </row>
    <row r="175" customFormat="false" ht="15.75" hidden="false" customHeight="false" outlineLevel="0" collapsed="false">
      <c r="A175" s="334" t="n">
        <v>12</v>
      </c>
      <c r="B175" s="269" t="n">
        <v>41244</v>
      </c>
      <c r="C175" s="352" t="n">
        <f aca="false">VLOOKUP(A187,$A$5:$O$16,15)</f>
        <v>3.778125</v>
      </c>
      <c r="D175" s="342" t="n">
        <f aca="false">SUM(C164:C175)</f>
        <v>45.809375</v>
      </c>
      <c r="E175" s="349" t="n">
        <f aca="false">((C175+'Curve Analysis - Base Case'!G154)*'Revenues &amp; Expenses'!$S$2)/1000</f>
        <v>63.2779729703473</v>
      </c>
    </row>
    <row r="176" customFormat="false" ht="15.75" hidden="false" customHeight="false" outlineLevel="0" collapsed="false">
      <c r="A176" s="334" t="n">
        <v>1</v>
      </c>
      <c r="B176" s="269" t="n">
        <v>41275</v>
      </c>
      <c r="C176" s="352" t="n">
        <f aca="false">VLOOKUP(A188,$A$5:$P$16,16)</f>
        <v>3.83541667</v>
      </c>
      <c r="E176" s="349" t="n">
        <f aca="false">((C176+'Curve Analysis - Base Case'!G155)*'Revenues &amp; Expenses'!$S$2)/1000</f>
        <v>63.8869748798052</v>
      </c>
    </row>
    <row r="177" customFormat="false" ht="15.75" hidden="false" customHeight="false" outlineLevel="0" collapsed="false">
      <c r="A177" s="334" t="n">
        <v>2</v>
      </c>
      <c r="B177" s="269" t="n">
        <v>41306</v>
      </c>
      <c r="C177" s="352" t="n">
        <f aca="false">VLOOKUP(A189,$A$5:$P$16,16)</f>
        <v>3.83541667</v>
      </c>
      <c r="E177" s="349" t="n">
        <f aca="false">((C177+'Curve Analysis - Base Case'!G156)*'Revenues &amp; Expenses'!$S$2)/1000</f>
        <v>63.9473136956149</v>
      </c>
    </row>
    <row r="178" customFormat="false" ht="15.75" hidden="false" customHeight="false" outlineLevel="0" collapsed="false">
      <c r="A178" s="334" t="n">
        <v>3</v>
      </c>
      <c r="B178" s="269" t="n">
        <v>41334</v>
      </c>
      <c r="C178" s="352" t="n">
        <f aca="false">VLOOKUP(A190,$A$5:$P$16,16)</f>
        <v>3.83541667</v>
      </c>
      <c r="E178" s="349" t="n">
        <f aca="false">((C178+'Curve Analysis - Base Case'!G157)*'Revenues &amp; Expenses'!$S$2)/1000</f>
        <v>64.0077866221235</v>
      </c>
    </row>
    <row r="179" customFormat="false" ht="15.75" hidden="false" customHeight="false" outlineLevel="0" collapsed="false">
      <c r="A179" s="334" t="n">
        <v>4</v>
      </c>
      <c r="B179" s="269" t="n">
        <v>41365</v>
      </c>
      <c r="C179" s="352" t="n">
        <f aca="false">VLOOKUP(A191,$A$5:$P$16,16)</f>
        <v>3.98020833</v>
      </c>
      <c r="E179" s="349" t="n">
        <f aca="false">((C179+'Curve Analysis - Base Case'!G158)*'Revenues &amp; Expenses'!$S$2)/1000</f>
        <v>65.4553532685492</v>
      </c>
    </row>
    <row r="180" customFormat="false" ht="15.75" hidden="false" customHeight="false" outlineLevel="0" collapsed="false">
      <c r="A180" s="334" t="n">
        <v>5</v>
      </c>
      <c r="B180" s="269" t="n">
        <v>41395</v>
      </c>
      <c r="C180" s="352" t="n">
        <f aca="false">VLOOKUP(A192,$A$5:$P$16,16)</f>
        <v>3.81770833</v>
      </c>
      <c r="E180" s="349" t="n">
        <f aca="false">((C180+'Curve Analysis - Base Case'!G159)*'Revenues &amp; Expenses'!$S$2)/1000</f>
        <v>63.9595078113525</v>
      </c>
    </row>
    <row r="181" customFormat="false" ht="15.75" hidden="false" customHeight="false" outlineLevel="0" collapsed="false">
      <c r="A181" s="334" t="n">
        <v>6</v>
      </c>
      <c r="B181" s="269" t="n">
        <v>41426</v>
      </c>
      <c r="C181" s="352" t="n">
        <f aca="false">VLOOKUP(A193,$A$5:$P$16,16)</f>
        <v>3.809375</v>
      </c>
      <c r="E181" s="349" t="n">
        <f aca="false">((C181+'Curve Analysis - Base Case'!G160)*'Revenues &amp; Expenses'!$S$2)/1000</f>
        <v>63.940559893008</v>
      </c>
    </row>
    <row r="182" customFormat="false" ht="15.75" hidden="false" customHeight="false" outlineLevel="0" collapsed="false">
      <c r="A182" s="334" t="n">
        <v>7</v>
      </c>
      <c r="B182" s="269" t="n">
        <v>41456</v>
      </c>
      <c r="C182" s="352" t="n">
        <f aca="false">VLOOKUP(A194,$A$5:$P$16,16)</f>
        <v>3.771875</v>
      </c>
      <c r="E182" s="349" t="n">
        <f aca="false">((C182+'Curve Analysis - Base Case'!G161)*'Revenues &amp; Expenses'!$S$2)/1000</f>
        <v>63.6423597497259</v>
      </c>
    </row>
    <row r="183" customFormat="false" ht="15.75" hidden="false" customHeight="false" outlineLevel="0" collapsed="false">
      <c r="A183" s="334" t="n">
        <v>8</v>
      </c>
      <c r="B183" s="269" t="n">
        <v>41487</v>
      </c>
      <c r="C183" s="352" t="n">
        <f aca="false">VLOOKUP(A195,$A$5:$P$16,16)</f>
        <v>3.771875</v>
      </c>
      <c r="E183" s="349" t="n">
        <f aca="false">((C183+'Curve Analysis - Base Case'!G162)*'Revenues &amp; Expenses'!$S$2)/1000</f>
        <v>63.7035077141731</v>
      </c>
    </row>
    <row r="184" customFormat="false" ht="15.75" hidden="false" customHeight="false" outlineLevel="0" collapsed="false">
      <c r="A184" s="334" t="n">
        <v>9</v>
      </c>
      <c r="B184" s="269" t="n">
        <v>41518</v>
      </c>
      <c r="C184" s="352" t="n">
        <f aca="false">VLOOKUP(A196,$A$5:$P$16,16)</f>
        <v>3.81770833</v>
      </c>
      <c r="E184" s="349" t="n">
        <f aca="false">((C184+'Curve Analysis - Base Case'!G163)*'Revenues &amp; Expenses'!$S$2)/1000</f>
        <v>64.2038290558251</v>
      </c>
    </row>
    <row r="185" customFormat="false" ht="15.75" hidden="false" customHeight="false" outlineLevel="0" collapsed="false">
      <c r="A185" s="334" t="n">
        <v>10</v>
      </c>
      <c r="B185" s="269" t="n">
        <v>41548</v>
      </c>
      <c r="C185" s="352" t="n">
        <f aca="false">VLOOKUP(A197,$A$5:$P$16,16)</f>
        <v>3.778125</v>
      </c>
      <c r="E185" s="349" t="n">
        <f aca="false">((C185+'Curve Analysis - Base Case'!G164)*'Revenues &amp; Expenses'!$S$2)/1000</f>
        <v>63.8860804225472</v>
      </c>
    </row>
    <row r="186" customFormat="false" ht="15.75" hidden="false" customHeight="false" outlineLevel="0" collapsed="false">
      <c r="A186" s="334" t="n">
        <v>11</v>
      </c>
      <c r="B186" s="269" t="n">
        <v>41579</v>
      </c>
      <c r="C186" s="352" t="n">
        <f aca="false">VLOOKUP(A198,$A$5:$P$16,16)</f>
        <v>3.778125</v>
      </c>
      <c r="E186" s="349" t="n">
        <f aca="false">((C186+'Curve Analysis - Base Case'!G165)*'Revenues &amp; Expenses'!$S$2)/1000</f>
        <v>63.9476370212962</v>
      </c>
    </row>
    <row r="187" customFormat="false" ht="15.75" hidden="false" customHeight="false" outlineLevel="0" collapsed="false">
      <c r="A187" s="334" t="n">
        <v>12</v>
      </c>
      <c r="B187" s="269" t="n">
        <v>41609</v>
      </c>
      <c r="C187" s="352" t="n">
        <f aca="false">VLOOKUP(A199,$A$5:$P$16,16)</f>
        <v>3.778125</v>
      </c>
      <c r="D187" s="342" t="n">
        <f aca="false">SUM(C176:C187)</f>
        <v>45.809375</v>
      </c>
      <c r="E187" s="349" t="n">
        <f aca="false">((C187+'Curve Analysis - Base Case'!G166)*'Revenues &amp; Expenses'!$S$2)/1000</f>
        <v>64.0093304374217</v>
      </c>
    </row>
    <row r="188" customFormat="false" ht="15.75" hidden="false" customHeight="false" outlineLevel="0" collapsed="false">
      <c r="A188" s="334" t="n">
        <v>1</v>
      </c>
      <c r="B188" s="269" t="n">
        <v>41640</v>
      </c>
      <c r="C188" s="352" t="n">
        <f aca="false">VLOOKUP(A200,$A$5:$Q$16,17)</f>
        <v>3.83541667</v>
      </c>
      <c r="E188" s="349" t="n">
        <f aca="false">((C188+'Curve Analysis - Base Case'!G167)*'Revenues &amp; Expenses'!$S$2)/1000</f>
        <v>64.6199578819478</v>
      </c>
    </row>
    <row r="189" customFormat="false" ht="15.75" hidden="false" customHeight="false" outlineLevel="0" collapsed="false">
      <c r="A189" s="334" t="n">
        <v>2</v>
      </c>
      <c r="B189" s="269" t="n">
        <v>41671</v>
      </c>
      <c r="C189" s="352" t="n">
        <f aca="false">VLOOKUP(A201,$A$5:$Q$16,17)</f>
        <v>3.83541667</v>
      </c>
      <c r="E189" s="349" t="n">
        <f aca="false">((C189+'Curve Analysis - Base Case'!G168)*'Revenues &amp; Expenses'!$S$2)/1000</f>
        <v>64.6819258457844</v>
      </c>
    </row>
    <row r="190" customFormat="false" ht="15.75" hidden="false" customHeight="false" outlineLevel="0" collapsed="false">
      <c r="A190" s="334" t="n">
        <v>3</v>
      </c>
      <c r="B190" s="269" t="n">
        <v>41699</v>
      </c>
      <c r="C190" s="352" t="n">
        <f aca="false">VLOOKUP(A202,$A$5:$Q$16,17)</f>
        <v>3.83541667</v>
      </c>
      <c r="E190" s="349" t="n">
        <f aca="false">((C190+'Curve Analysis - Base Case'!G169)*'Revenues &amp; Expenses'!$S$2)/1000</f>
        <v>64.7440315413087</v>
      </c>
    </row>
    <row r="191" customFormat="false" ht="15.75" hidden="false" customHeight="false" outlineLevel="0" collapsed="false">
      <c r="A191" s="334" t="n">
        <v>4</v>
      </c>
      <c r="B191" s="269" t="n">
        <v>41730</v>
      </c>
      <c r="C191" s="352" t="n">
        <f aca="false">VLOOKUP(A203,$A$5:$Q$16,17)</f>
        <v>3.98020833</v>
      </c>
      <c r="E191" s="349" t="n">
        <f aca="false">((C191+'Curve Analysis - Base Case'!G170)*'Revenues &amp; Expenses'!$S$2)/1000</f>
        <v>66.1932345857871</v>
      </c>
    </row>
    <row r="192" customFormat="false" ht="15.75" hidden="false" customHeight="false" outlineLevel="0" collapsed="false">
      <c r="A192" s="334" t="n">
        <v>5</v>
      </c>
      <c r="B192" s="269" t="n">
        <v>41760</v>
      </c>
      <c r="C192" s="352" t="n">
        <f aca="false">VLOOKUP(A204,$A$5:$Q$16,17)</f>
        <v>3.81770833</v>
      </c>
      <c r="E192" s="349" t="n">
        <f aca="false">((C192+'Curve Analysis - Base Case'!G171)*'Revenues &amp; Expenses'!$S$2)/1000</f>
        <v>64.6990291637461</v>
      </c>
    </row>
    <row r="193" customFormat="false" ht="15.75" hidden="false" customHeight="false" outlineLevel="0" collapsed="false">
      <c r="A193" s="334" t="n">
        <v>6</v>
      </c>
      <c r="B193" s="269" t="n">
        <v>41791</v>
      </c>
      <c r="C193" s="352" t="n">
        <f aca="false">VLOOKUP(A205,$A$5:$Q$16,17)</f>
        <v>3.809375</v>
      </c>
      <c r="E193" s="349" t="n">
        <f aca="false">((C193+'Curve Analysis - Base Case'!G172)*'Revenues &amp; Expenses'!$S$2)/1000</f>
        <v>64.6817249257443</v>
      </c>
    </row>
    <row r="194" customFormat="false" ht="15.75" hidden="false" customHeight="false" outlineLevel="0" collapsed="false">
      <c r="A194" s="334" t="n">
        <v>7</v>
      </c>
      <c r="B194" s="269" t="n">
        <v>41821</v>
      </c>
      <c r="C194" s="352" t="n">
        <f aca="false">VLOOKUP(A206,$A$5:$Q$16,17)</f>
        <v>3.771875</v>
      </c>
      <c r="E194" s="349" t="n">
        <f aca="false">((C194+'Curve Analysis - Base Case'!G173)*'Revenues &amp; Expenses'!$S$2)/1000</f>
        <v>64.3851721160935</v>
      </c>
    </row>
    <row r="195" customFormat="false" ht="15.75" hidden="false" customHeight="false" outlineLevel="0" collapsed="false">
      <c r="A195" s="334" t="n">
        <v>8</v>
      </c>
      <c r="B195" s="269" t="n">
        <v>41852</v>
      </c>
      <c r="C195" s="352" t="n">
        <f aca="false">VLOOKUP(A207,$A$5:$Q$16,17)</f>
        <v>3.771875</v>
      </c>
      <c r="E195" s="349" t="n">
        <f aca="false">((C195+'Curve Analysis - Base Case'!G174)*'Revenues &amp; Expenses'!$S$2)/1000</f>
        <v>64.4479710755808</v>
      </c>
    </row>
    <row r="196" customFormat="false" ht="15.75" hidden="false" customHeight="false" outlineLevel="0" collapsed="false">
      <c r="A196" s="334" t="n">
        <v>9</v>
      </c>
      <c r="B196" s="269" t="n">
        <v>41883</v>
      </c>
      <c r="C196" s="352" t="n">
        <f aca="false">VLOOKUP(A208,$A$5:$Q$16,17)</f>
        <v>3.81770833</v>
      </c>
      <c r="E196" s="349" t="n">
        <f aca="false">((C196+'Curve Analysis - Base Case'!G175)*'Revenues &amp; Expenses'!$S$2)/1000</f>
        <v>64.9499470818195</v>
      </c>
    </row>
    <row r="197" customFormat="false" ht="15.75" hidden="false" customHeight="false" outlineLevel="0" collapsed="false">
      <c r="A197" s="334" t="n">
        <v>10</v>
      </c>
      <c r="B197" s="269" t="n">
        <v>41913</v>
      </c>
      <c r="C197" s="352" t="n">
        <f aca="false">VLOOKUP(A209,$A$5:$Q$16,17)</f>
        <v>3.778125</v>
      </c>
      <c r="E197" s="349" t="n">
        <f aca="false">((C197+'Curve Analysis - Base Case'!G176)*'Revenues &amp; Expenses'!$S$2)/1000</f>
        <v>64.633856790831</v>
      </c>
    </row>
    <row r="198" customFormat="false" ht="15.75" hidden="false" customHeight="false" outlineLevel="0" collapsed="false">
      <c r="A198" s="334" t="n">
        <v>11</v>
      </c>
      <c r="B198" s="269" t="n">
        <v>41944</v>
      </c>
      <c r="C198" s="352" t="n">
        <f aca="false">VLOOKUP(A210,$A$5:$Q$16,17)</f>
        <v>3.778125</v>
      </c>
      <c r="E198" s="349" t="n">
        <f aca="false">((C198+'Curve Analysis - Base Case'!G177)*'Revenues &amp; Expenses'!$S$2)/1000</f>
        <v>64.6970754177462</v>
      </c>
    </row>
    <row r="199" customFormat="false" ht="15.75" hidden="false" customHeight="false" outlineLevel="0" collapsed="false">
      <c r="A199" s="334" t="n">
        <v>12</v>
      </c>
      <c r="B199" s="269" t="n">
        <v>41974</v>
      </c>
      <c r="C199" s="352" t="n">
        <f aca="false">VLOOKUP(A211,$A$5:$Q$16,17)</f>
        <v>3.778125</v>
      </c>
      <c r="D199" s="342" t="n">
        <f aca="false">SUM(C188:C199)</f>
        <v>45.809375</v>
      </c>
      <c r="E199" s="349" t="n">
        <f aca="false">((C199+'Curve Analysis - Base Case'!G178)*'Revenues &amp; Expenses'!$S$2)/1000</f>
        <v>64.7604345561071</v>
      </c>
    </row>
    <row r="200" customFormat="false" ht="15.75" hidden="false" customHeight="false" outlineLevel="0" collapsed="false">
      <c r="A200" s="334" t="n">
        <v>1</v>
      </c>
      <c r="B200" s="269" t="n">
        <v>42005</v>
      </c>
      <c r="C200" s="352" t="n">
        <f aca="false">VLOOKUP(A212,$A$5:$R$16,18)</f>
        <v>3.9375</v>
      </c>
      <c r="E200" s="349" t="n">
        <f aca="false">((C200+'Curve Analysis - Base Case'!G179)*'Revenues &amp; Expenses'!$S$2)/1000</f>
        <v>66.3505876432183</v>
      </c>
    </row>
    <row r="201" customFormat="false" ht="15.75" hidden="false" customHeight="false" outlineLevel="0" collapsed="false">
      <c r="A201" s="334" t="n">
        <v>2</v>
      </c>
      <c r="B201" s="269" t="n">
        <v>42036</v>
      </c>
      <c r="C201" s="352" t="n">
        <f aca="false">VLOOKUP(A213,$A$5:$R$16,18)</f>
        <v>3.9375</v>
      </c>
      <c r="E201" s="349" t="n">
        <f aca="false">((C201+'Curve Analysis - Base Case'!G180)*'Revenues &amp; Expenses'!$S$2)/1000</f>
        <v>66.4142287420784</v>
      </c>
    </row>
    <row r="202" customFormat="false" ht="15.75" hidden="false" customHeight="false" outlineLevel="0" collapsed="false">
      <c r="A202" s="334" t="n">
        <v>3</v>
      </c>
      <c r="B202" s="269" t="n">
        <v>42064</v>
      </c>
      <c r="C202" s="352" t="n">
        <f aca="false">VLOOKUP(A214,$A$5:$R$16,18)</f>
        <v>3.9375</v>
      </c>
      <c r="E202" s="349" t="n">
        <f aca="false">((C202+'Curve Analysis - Base Case'!G181)*'Revenues &amp; Expenses'!$S$2)/1000</f>
        <v>66.478011291382</v>
      </c>
    </row>
    <row r="203" customFormat="false" ht="15.75" hidden="false" customHeight="false" outlineLevel="0" collapsed="false">
      <c r="A203" s="334" t="n">
        <v>4</v>
      </c>
      <c r="B203" s="269" t="n">
        <v>42095</v>
      </c>
      <c r="C203" s="352" t="n">
        <f aca="false">VLOOKUP(A215,$A$5:$R$16,18)</f>
        <v>4.08229167</v>
      </c>
      <c r="E203" s="349" t="n">
        <f aca="false">((C203+'Curve Analysis - Base Case'!G182)*'Revenues &amp; Expenses'!$S$2)/1000</f>
        <v>67.9288950124505</v>
      </c>
    </row>
    <row r="204" customFormat="false" ht="15.75" hidden="false" customHeight="false" outlineLevel="0" collapsed="false">
      <c r="A204" s="334" t="n">
        <v>5</v>
      </c>
      <c r="B204" s="269" t="n">
        <v>42125</v>
      </c>
      <c r="C204" s="352" t="n">
        <f aca="false">VLOOKUP(A216,$A$5:$R$16,18)</f>
        <v>3.91979167</v>
      </c>
      <c r="E204" s="349" t="n">
        <f aca="false">((C204+'Curve Analysis - Base Case'!G183)*'Revenues &amp; Expenses'!$S$2)/1000</f>
        <v>66.4363739065144</v>
      </c>
    </row>
    <row r="205" customFormat="false" ht="15.75" hidden="false" customHeight="false" outlineLevel="0" collapsed="false">
      <c r="A205" s="334" t="n">
        <v>6</v>
      </c>
      <c r="B205" s="269" t="n">
        <v>42156</v>
      </c>
      <c r="C205" s="352" t="n">
        <f aca="false">VLOOKUP(A217,$A$5:$R$16,18)</f>
        <v>3.9125</v>
      </c>
      <c r="E205" s="349" t="n">
        <f aca="false">((C205+'Curve Analysis - Base Case'!G184)*'Revenues &amp; Expenses'!$S$2)/1000</f>
        <v>66.4307357893643</v>
      </c>
    </row>
    <row r="206" customFormat="false" ht="15.75" hidden="false" customHeight="false" outlineLevel="0" collapsed="false">
      <c r="A206" s="334" t="n">
        <v>7</v>
      </c>
      <c r="B206" s="269" t="n">
        <v>42186</v>
      </c>
      <c r="C206" s="352" t="n">
        <f aca="false">VLOOKUP(A218,$A$5:$R$16,18)</f>
        <v>3.87395833</v>
      </c>
      <c r="E206" s="349" t="n">
        <f aca="false">((C206+'Curve Analysis - Base Case'!G185)*'Revenues &amp; Expenses'!$S$2)/1000</f>
        <v>66.125896634423</v>
      </c>
    </row>
    <row r="207" customFormat="false" ht="15.75" hidden="false" customHeight="false" outlineLevel="0" collapsed="false">
      <c r="A207" s="334" t="n">
        <v>8</v>
      </c>
      <c r="B207" s="269" t="n">
        <v>42217</v>
      </c>
      <c r="C207" s="352" t="n">
        <f aca="false">VLOOKUP(A219,$A$5:$R$16,18)</f>
        <v>3.87395833</v>
      </c>
      <c r="E207" s="349" t="n">
        <f aca="false">((C207+'Curve Analysis - Base Case'!G186)*'Revenues &amp; Expenses'!$S$2)/1000</f>
        <v>66.1903911658165</v>
      </c>
    </row>
    <row r="208" customFormat="false" ht="15.75" hidden="false" customHeight="false" outlineLevel="0" collapsed="false">
      <c r="A208" s="334" t="n">
        <v>9</v>
      </c>
      <c r="B208" s="269" t="n">
        <v>42248</v>
      </c>
      <c r="C208" s="352" t="n">
        <f aca="false">VLOOKUP(A220,$A$5:$R$16,18)</f>
        <v>3.91979167</v>
      </c>
      <c r="E208" s="349" t="n">
        <f aca="false">((C208+'Curve Analysis - Base Case'!G187)*'Revenues &amp; Expenses'!$S$2)/1000</f>
        <v>66.6940666083757</v>
      </c>
    </row>
    <row r="209" customFormat="false" ht="15.75" hidden="false" customHeight="false" outlineLevel="0" collapsed="false">
      <c r="A209" s="334" t="n">
        <v>10</v>
      </c>
      <c r="B209" s="269" t="n">
        <v>42278</v>
      </c>
      <c r="C209" s="352" t="n">
        <f aca="false">VLOOKUP(A221,$A$5:$R$16,18)</f>
        <v>3.88020833</v>
      </c>
      <c r="E209" s="349" t="n">
        <f aca="false">((C209+'Curve Analysis - Base Case'!G188)*'Revenues &amp; Expenses'!$S$2)/1000</f>
        <v>66.3796793391284</v>
      </c>
    </row>
    <row r="210" customFormat="false" ht="15.75" hidden="false" customHeight="false" outlineLevel="0" collapsed="false">
      <c r="A210" s="334" t="n">
        <v>11</v>
      </c>
      <c r="B210" s="269" t="n">
        <v>42309</v>
      </c>
      <c r="C210" s="352" t="n">
        <f aca="false">VLOOKUP(A222,$A$5:$R$16,18)</f>
        <v>3.88020833</v>
      </c>
      <c r="E210" s="349" t="n">
        <f aca="false">((C210+'Curve Analysis - Base Case'!G189)*'Revenues &amp; Expenses'!$S$2)/1000</f>
        <v>66.4446048689703</v>
      </c>
    </row>
    <row r="211" customFormat="false" ht="15.75" hidden="false" customHeight="false" outlineLevel="0" collapsed="false">
      <c r="A211" s="334" t="n">
        <v>12</v>
      </c>
      <c r="B211" s="269" t="n">
        <v>42339</v>
      </c>
      <c r="C211" s="352" t="n">
        <f aca="false">VLOOKUP(A223,$A$5:$R$16,18)</f>
        <v>3.88020833</v>
      </c>
      <c r="D211" s="342" t="n">
        <f aca="false">SUM(C200:C211)</f>
        <v>47.03541666</v>
      </c>
      <c r="E211" s="349" t="n">
        <f aca="false">((C211+'Curve Analysis - Base Case'!G190)*'Revenues &amp; Expenses'!$S$2)/1000</f>
        <v>66.509674704067</v>
      </c>
    </row>
    <row r="212" customFormat="false" ht="15.75" hidden="false" customHeight="false" outlineLevel="0" collapsed="false">
      <c r="A212" s="334" t="n">
        <v>1</v>
      </c>
      <c r="B212" s="269" t="n">
        <v>42370</v>
      </c>
      <c r="C212" s="352" t="n">
        <f aca="false">VLOOKUP(A224,$A$5:$S$16,19)</f>
        <v>3.9375</v>
      </c>
      <c r="E212" s="349" t="n">
        <f aca="false">((C212+'Curve Analysis - Base Case'!G191)*'Revenues &amp; Expenses'!$S$2)/1000</f>
        <v>67.1236860720852</v>
      </c>
    </row>
    <row r="213" customFormat="false" ht="15.75" hidden="false" customHeight="false" outlineLevel="0" collapsed="false">
      <c r="A213" s="334" t="n">
        <v>2</v>
      </c>
      <c r="B213" s="269" t="n">
        <v>42401</v>
      </c>
      <c r="C213" s="352" t="n">
        <f aca="false">VLOOKUP(A225,$A$5:$S$16,19)</f>
        <v>3.9375</v>
      </c>
      <c r="E213" s="349" t="n">
        <f aca="false">((C213+'Curve Analysis - Base Case'!G192)*'Revenues &amp; Expenses'!$S$2)/1000</f>
        <v>67.1890454806146</v>
      </c>
    </row>
    <row r="214" customFormat="false" ht="15.75" hidden="false" customHeight="false" outlineLevel="0" collapsed="false">
      <c r="A214" s="334" t="n">
        <v>3</v>
      </c>
      <c r="B214" s="269" t="n">
        <v>42430</v>
      </c>
      <c r="C214" s="352" t="n">
        <f aca="false">VLOOKUP(A226,$A$5:$S$16,19)</f>
        <v>3.9375</v>
      </c>
      <c r="E214" s="349" t="n">
        <f aca="false">((C214+'Curve Analysis - Base Case'!G193)*'Revenues &amp; Expenses'!$S$2)/1000</f>
        <v>67.2545501587493</v>
      </c>
    </row>
    <row r="215" customFormat="false" ht="15.75" hidden="false" customHeight="false" outlineLevel="0" collapsed="false">
      <c r="A215" s="334" t="n">
        <v>4</v>
      </c>
      <c r="B215" s="269" t="n">
        <v>42461</v>
      </c>
      <c r="C215" s="352" t="n">
        <f aca="false">VLOOKUP(A227,$A$5:$S$16,19)</f>
        <v>4.08229167</v>
      </c>
      <c r="E215" s="349" t="n">
        <f aca="false">((C215+'Curve Analysis - Base Case'!G194)*'Revenues &amp; Expenses'!$S$2)/1000</f>
        <v>68.7071598362995</v>
      </c>
    </row>
    <row r="216" customFormat="false" ht="15.75" hidden="false" customHeight="false" outlineLevel="0" collapsed="false">
      <c r="A216" s="334" t="n">
        <v>5</v>
      </c>
      <c r="B216" s="269" t="n">
        <v>42491</v>
      </c>
      <c r="C216" s="352" t="n">
        <f aca="false">VLOOKUP(A228,$A$5:$S$16,19)</f>
        <v>3.91979167</v>
      </c>
      <c r="E216" s="349" t="n">
        <f aca="false">((C216+'Curve Analysis - Base Case'!G195)*'Revenues &amp; Expenses'!$S$2)/1000</f>
        <v>67.2163685230031</v>
      </c>
    </row>
    <row r="217" customFormat="false" ht="15.75" hidden="false" customHeight="false" outlineLevel="0" collapsed="false">
      <c r="A217" s="334" t="n">
        <v>6</v>
      </c>
      <c r="B217" s="269" t="n">
        <v>42522</v>
      </c>
      <c r="C217" s="352" t="n">
        <f aca="false">VLOOKUP(A229,$A$5:$S$16,19)</f>
        <v>3.9125</v>
      </c>
      <c r="E217" s="349" t="n">
        <f aca="false">((C217+'Curve Analysis - Base Case'!G196)*'Revenues &amp; Expenses'!$S$2)/1000</f>
        <v>67.2124640431772</v>
      </c>
    </row>
    <row r="218" customFormat="false" ht="15.75" hidden="false" customHeight="false" outlineLevel="0" collapsed="false">
      <c r="A218" s="334" t="n">
        <v>7</v>
      </c>
      <c r="B218" s="269" t="n">
        <v>42552</v>
      </c>
      <c r="C218" s="352" t="n">
        <f aca="false">VLOOKUP(A230,$A$5:$S$16,19)</f>
        <v>3.87395833</v>
      </c>
      <c r="E218" s="349" t="n">
        <f aca="false">((C218+'Curve Analysis - Base Case'!G197)*'Revenues &amp; Expenses'!$S$2)/1000</f>
        <v>66.9093623787896</v>
      </c>
    </row>
    <row r="219" customFormat="false" ht="15.75" hidden="false" customHeight="false" outlineLevel="0" collapsed="false">
      <c r="A219" s="334" t="n">
        <v>8</v>
      </c>
      <c r="B219" s="269" t="n">
        <v>42583</v>
      </c>
      <c r="C219" s="352" t="n">
        <f aca="false">VLOOKUP(A231,$A$5:$S$16,19)</f>
        <v>3.87395833</v>
      </c>
      <c r="E219" s="349" t="n">
        <f aca="false">((C219+'Curve Analysis - Base Case'!G198)*'Revenues &amp; Expenses'!$S$2)/1000</f>
        <v>66.9755982625306</v>
      </c>
    </row>
    <row r="220" customFormat="false" ht="15.75" hidden="false" customHeight="false" outlineLevel="0" collapsed="false">
      <c r="A220" s="334" t="n">
        <v>9</v>
      </c>
      <c r="B220" s="269" t="n">
        <v>42614</v>
      </c>
      <c r="C220" s="352" t="n">
        <f aca="false">VLOOKUP(A232,$A$5:$S$16,19)</f>
        <v>3.91979167</v>
      </c>
      <c r="E220" s="349" t="n">
        <f aca="false">((C220+'Curve Analysis - Base Case'!G199)*'Revenues &amp; Expenses'!$S$2)/1000</f>
        <v>67.4810189278147</v>
      </c>
    </row>
    <row r="221" customFormat="false" ht="15.75" hidden="false" customHeight="false" outlineLevel="0" collapsed="false">
      <c r="A221" s="334" t="n">
        <v>10</v>
      </c>
      <c r="B221" s="269" t="n">
        <v>42644</v>
      </c>
      <c r="C221" s="352" t="n">
        <f aca="false">VLOOKUP(A233,$A$5:$S$16,19)</f>
        <v>3.88020833</v>
      </c>
      <c r="E221" s="349" t="n">
        <f aca="false">((C221+'Curve Analysis - Base Case'!G200)*'Revenues &amp; Expenses'!$S$2)/1000</f>
        <v>67.168380760272</v>
      </c>
    </row>
    <row r="222" customFormat="false" ht="15.75" hidden="false" customHeight="false" outlineLevel="0" collapsed="false">
      <c r="A222" s="334" t="n">
        <v>11</v>
      </c>
      <c r="B222" s="269" t="n">
        <v>42675</v>
      </c>
      <c r="C222" s="352" t="n">
        <f aca="false">VLOOKUP(A234,$A$5:$S$16,19)</f>
        <v>3.88020833</v>
      </c>
      <c r="E222" s="349" t="n">
        <f aca="false">((C222+'Curve Analysis - Base Case'!G201)*'Revenues &amp; Expenses'!$S$2)/1000</f>
        <v>67.2350592794197</v>
      </c>
    </row>
    <row r="223" customFormat="false" ht="15.75" hidden="false" customHeight="false" outlineLevel="0" collapsed="false">
      <c r="A223" s="334" t="n">
        <v>12</v>
      </c>
      <c r="B223" s="269" t="n">
        <v>42705</v>
      </c>
      <c r="C223" s="352" t="n">
        <f aca="false">VLOOKUP(A235,$A$5:$S$16,19)</f>
        <v>3.88020833</v>
      </c>
      <c r="D223" s="342" t="n">
        <f aca="false">SUM(C212:C223)</f>
        <v>47.03541666</v>
      </c>
      <c r="E223" s="349" t="n">
        <f aca="false">((C223+'Curve Analysis - Base Case'!G202)*'Revenues &amp; Expenses'!$S$2)/1000</f>
        <v>67.3018860000639</v>
      </c>
    </row>
    <row r="224" customFormat="false" ht="15.75" hidden="false" customHeight="false" outlineLevel="0" collapsed="false">
      <c r="A224" s="334" t="n">
        <v>1</v>
      </c>
      <c r="B224" s="269" t="n">
        <v>42736</v>
      </c>
      <c r="C224" s="352" t="n">
        <f aca="false">VLOOKUP(A236,$A$5:$T$16,20)</f>
        <v>3.9375</v>
      </c>
      <c r="E224" s="349" t="n">
        <f aca="false">((C224+'Curve Analysis - Base Case'!G203)*'Revenues &amp; Expenses'!$S$2)/1000</f>
        <v>67.9176581585315</v>
      </c>
    </row>
    <row r="225" customFormat="false" ht="15.75" hidden="false" customHeight="false" outlineLevel="0" collapsed="false">
      <c r="A225" s="334" t="n">
        <v>2</v>
      </c>
      <c r="B225" s="269" t="n">
        <v>42767</v>
      </c>
      <c r="C225" s="352" t="n">
        <f aca="false">VLOOKUP(A237,$A$5:$T$16,20)</f>
        <v>3.9375</v>
      </c>
      <c r="E225" s="349" t="n">
        <f aca="false">((C225+'Curve Analysis - Base Case'!G204)*'Revenues &amp; Expenses'!$S$2)/1000</f>
        <v>67.9847822710912</v>
      </c>
    </row>
    <row r="226" customFormat="false" ht="15.75" hidden="false" customHeight="false" outlineLevel="0" collapsed="false">
      <c r="A226" s="334" t="n">
        <v>3</v>
      </c>
      <c r="B226" s="269" t="n">
        <v>42795</v>
      </c>
      <c r="C226" s="352" t="n">
        <f aca="false">VLOOKUP(A238,$A$5:$T$16,20)</f>
        <v>3.9375</v>
      </c>
      <c r="E226" s="349" t="n">
        <f aca="false">((C226+'Curve Analysis - Base Case'!G205)*'Revenues &amp; Expenses'!$S$2)/1000</f>
        <v>68.0520555755355</v>
      </c>
    </row>
    <row r="227" customFormat="false" ht="15.75" hidden="false" customHeight="false" outlineLevel="0" collapsed="false">
      <c r="A227" s="334" t="n">
        <v>4</v>
      </c>
      <c r="B227" s="269" t="n">
        <v>42826</v>
      </c>
      <c r="C227" s="352" t="n">
        <f aca="false">VLOOKUP(A239,$A$5:$T$16,20)</f>
        <v>4.08229167</v>
      </c>
      <c r="E227" s="349" t="n">
        <f aca="false">((C227+'Curve Analysis - Base Case'!G206)*'Revenues &amp; Expenses'!$S$2)/1000</f>
        <v>69.5064378103925</v>
      </c>
    </row>
    <row r="228" customFormat="false" ht="15.75" hidden="false" customHeight="false" outlineLevel="0" collapsed="false">
      <c r="A228" s="334" t="n">
        <v>5</v>
      </c>
      <c r="B228" s="269" t="n">
        <v>42856</v>
      </c>
      <c r="C228" s="352" t="n">
        <f aca="false">VLOOKUP(A240,$A$5:$T$16,20)</f>
        <v>3.91979167</v>
      </c>
      <c r="E228" s="349" t="n">
        <f aca="false">((C228+'Curve Analysis - Base Case'!G207)*'Revenues &amp; Expenses'!$S$2)/1000</f>
        <v>68.0174229941371</v>
      </c>
    </row>
    <row r="229" customFormat="false" ht="15.75" hidden="false" customHeight="false" outlineLevel="0" collapsed="false">
      <c r="A229" s="334" t="n">
        <v>6</v>
      </c>
      <c r="B229" s="269" t="n">
        <v>42887</v>
      </c>
      <c r="C229" s="352" t="n">
        <f aca="false">VLOOKUP(A241,$A$5:$T$16,20)</f>
        <v>3.9125</v>
      </c>
      <c r="E229" s="349" t="n">
        <f aca="false">((C229+'Curve Analysis - Base Case'!G208)*'Revenues &amp; Expenses'!$S$2)/1000</f>
        <v>68.015298959843</v>
      </c>
    </row>
    <row r="230" customFormat="false" ht="15.75" hidden="false" customHeight="false" outlineLevel="0" collapsed="false">
      <c r="A230" s="334" t="n">
        <v>7</v>
      </c>
      <c r="B230" s="269" t="n">
        <v>42917</v>
      </c>
      <c r="C230" s="352" t="n">
        <f aca="false">VLOOKUP(A242,$A$5:$T$16,20)</f>
        <v>3.87395833</v>
      </c>
      <c r="E230" s="349" t="n">
        <f aca="false">((C230+'Curve Analysis - Base Case'!G209)*'Revenues &amp; Expenses'!$S$2)/1000</f>
        <v>67.713981698254</v>
      </c>
    </row>
    <row r="231" customFormat="false" ht="15.75" hidden="false" customHeight="false" outlineLevel="0" collapsed="false">
      <c r="A231" s="334" t="n">
        <v>8</v>
      </c>
      <c r="B231" s="269" t="n">
        <v>42948</v>
      </c>
      <c r="C231" s="352" t="n">
        <f aca="false">VLOOKUP(A243,$A$5:$T$16,20)</f>
        <v>3.87395833</v>
      </c>
      <c r="E231" s="349" t="n">
        <f aca="false">((C231+'Curve Analysis - Base Case'!G210)*'Revenues &amp; Expenses'!$S$2)/1000</f>
        <v>67.7820059508561</v>
      </c>
    </row>
    <row r="232" customFormat="false" ht="15.75" hidden="false" customHeight="false" outlineLevel="0" collapsed="false">
      <c r="A232" s="334" t="n">
        <v>9</v>
      </c>
      <c r="B232" s="269" t="n">
        <v>42979</v>
      </c>
      <c r="C232" s="352" t="n">
        <f aca="false">VLOOKUP(A244,$A$5:$T$16,20)</f>
        <v>3.91979167</v>
      </c>
      <c r="E232" s="349" t="n">
        <f aca="false">((C232+'Curve Analysis - Base Case'!G211)*'Revenues &amp; Expenses'!$S$2)/1000</f>
        <v>68.2892189598786</v>
      </c>
    </row>
    <row r="233" customFormat="false" ht="15.75" hidden="false" customHeight="false" outlineLevel="0" collapsed="false">
      <c r="A233" s="334" t="n">
        <v>10</v>
      </c>
      <c r="B233" s="269" t="n">
        <v>43009</v>
      </c>
      <c r="C233" s="352" t="n">
        <f aca="false">VLOOKUP(A245,$A$5:$T$16,20)</f>
        <v>3.88020833</v>
      </c>
      <c r="E233" s="349" t="n">
        <f aca="false">((C233+'Curve Analysis - Base Case'!G212)*'Revenues &amp; Expenses'!$S$2)/1000</f>
        <v>67.9783771197864</v>
      </c>
    </row>
    <row r="234" customFormat="false" ht="15.75" hidden="false" customHeight="false" outlineLevel="0" collapsed="false">
      <c r="A234" s="334" t="n">
        <v>11</v>
      </c>
      <c r="B234" s="269" t="n">
        <v>43040</v>
      </c>
      <c r="C234" s="352" t="n">
        <f aca="false">VLOOKUP(A246,$A$5:$T$16,20)</f>
        <v>3.88020833</v>
      </c>
      <c r="E234" s="349" t="n">
        <f aca="false">((C234+'Curve Analysis - Base Case'!G213)*'Revenues &amp; Expenses'!$S$2)/1000</f>
        <v>68.0468559589511</v>
      </c>
    </row>
    <row r="235" customFormat="false" ht="15.75" hidden="false" customHeight="false" outlineLevel="0" collapsed="false">
      <c r="A235" s="334" t="n">
        <v>12</v>
      </c>
      <c r="B235" s="269" t="n">
        <v>43070</v>
      </c>
      <c r="C235" s="352" t="n">
        <f aca="false">VLOOKUP(A247,$A$5:$T$16,20)</f>
        <v>3.88020833</v>
      </c>
      <c r="D235" s="342" t="n">
        <f aca="false">SUM(C224:C235)</f>
        <v>47.03541666</v>
      </c>
      <c r="E235" s="349" t="n">
        <f aca="false">((C235+'Curve Analysis - Base Case'!G214)*'Revenues &amp; Expenses'!$S$2)/1000</f>
        <v>68.1154870010527</v>
      </c>
    </row>
    <row r="236" customFormat="false" ht="15.75" hidden="false" customHeight="false" outlineLevel="0" collapsed="false">
      <c r="A236" s="334" t="n">
        <v>1</v>
      </c>
      <c r="B236" s="269" t="n">
        <v>43101</v>
      </c>
      <c r="C236" s="352" t="n">
        <f aca="false">VLOOKUP(A248,$A$5:$U$16,21)</f>
        <v>3.9375</v>
      </c>
      <c r="E236" s="349" t="n">
        <f aca="false">((C236+'Curve Analysis - Base Case'!G215)*'Revenues &amp; Expenses'!$S$2)/1000</f>
        <v>68.7330674913118</v>
      </c>
    </row>
    <row r="237" customFormat="false" ht="15.75" hidden="false" customHeight="false" outlineLevel="0" collapsed="false">
      <c r="A237" s="334" t="n">
        <v>2</v>
      </c>
      <c r="B237" s="269" t="n">
        <v>43132</v>
      </c>
      <c r="C237" s="352" t="n">
        <f aca="false">VLOOKUP(A249,$A$5:$U$16,21)</f>
        <v>3.9375</v>
      </c>
      <c r="E237" s="349" t="n">
        <f aca="false">((C237+'Curve Analysis - Base Case'!G216)*'Revenues &amp; Expenses'!$S$2)/1000</f>
        <v>68.8020039549106</v>
      </c>
    </row>
    <row r="238" customFormat="false" ht="15.75" hidden="false" customHeight="false" outlineLevel="0" collapsed="false">
      <c r="A238" s="334" t="n">
        <v>3</v>
      </c>
      <c r="B238" s="269" t="n">
        <v>43160</v>
      </c>
      <c r="C238" s="352" t="n">
        <f aca="false">VLOOKUP(A250,$A$5:$U$16,21)</f>
        <v>3.9375</v>
      </c>
      <c r="E238" s="349" t="n">
        <f aca="false">((C238+'Curve Analysis - Base Case'!G217)*'Revenues &amp; Expenses'!$S$2)/1000</f>
        <v>68.871093638575</v>
      </c>
    </row>
    <row r="239" customFormat="false" ht="15.75" hidden="false" customHeight="false" outlineLevel="0" collapsed="false">
      <c r="A239" s="334" t="n">
        <v>4</v>
      </c>
      <c r="B239" s="269" t="n">
        <v>43191</v>
      </c>
      <c r="C239" s="352" t="n">
        <f aca="false">VLOOKUP(A251,$A$5:$U$16,21)</f>
        <v>4.08229167</v>
      </c>
      <c r="E239" s="349" t="n">
        <f aca="false">((C239+'Curve Analysis - Base Case'!G218)*'Revenues &amp; Expenses'!$S$2)/1000</f>
        <v>70.327296289786</v>
      </c>
    </row>
    <row r="240" customFormat="false" ht="15.75" hidden="false" customHeight="false" outlineLevel="0" collapsed="false">
      <c r="A240" s="334" t="n">
        <v>5</v>
      </c>
      <c r="B240" s="269" t="n">
        <v>43221</v>
      </c>
      <c r="C240" s="352" t="n">
        <f aca="false">VLOOKUP(A252,$A$5:$U$16,21)</f>
        <v>3.91979167</v>
      </c>
      <c r="E240" s="349" t="n">
        <f aca="false">((C240+'Curve Analysis - Base Case'!G219)*'Revenues &amp; Expenses'!$S$2)/1000</f>
        <v>68.8401059359917</v>
      </c>
    </row>
    <row r="241" customFormat="false" ht="15.75" hidden="false" customHeight="false" outlineLevel="0" collapsed="false">
      <c r="A241" s="334" t="n">
        <v>6</v>
      </c>
      <c r="B241" s="269" t="n">
        <v>43252</v>
      </c>
      <c r="C241" s="352" t="n">
        <f aca="false">VLOOKUP(A253,$A$5:$U$16,21)</f>
        <v>3.9125</v>
      </c>
      <c r="E241" s="349" t="n">
        <f aca="false">((C241+'Curve Analysis - Base Case'!G220)*'Revenues &amp; Expenses'!$S$2)/1000</f>
        <v>68.8398104192587</v>
      </c>
    </row>
    <row r="242" customFormat="false" ht="15.75" hidden="false" customHeight="false" outlineLevel="0" collapsed="false">
      <c r="A242" s="334" t="n">
        <v>7</v>
      </c>
      <c r="B242" s="269" t="n">
        <v>43282</v>
      </c>
      <c r="C242" s="352" t="n">
        <f aca="false">VLOOKUP(A254,$A$5:$U$16,21)</f>
        <v>3.87395833</v>
      </c>
      <c r="E242" s="349" t="n">
        <f aca="false">((C242+'Curve Analysis - Base Case'!G221)*'Revenues &amp; Expenses'!$S$2)/1000</f>
        <v>68.5403257393439</v>
      </c>
    </row>
    <row r="243" customFormat="false" ht="15.75" hidden="false" customHeight="false" outlineLevel="0" collapsed="false">
      <c r="A243" s="334" t="n">
        <v>8</v>
      </c>
      <c r="B243" s="269" t="n">
        <v>43313</v>
      </c>
      <c r="C243" s="352" t="n">
        <f aca="false">VLOOKUP(A255,$A$5:$U$16,21)</f>
        <v>3.87395833</v>
      </c>
      <c r="E243" s="349" t="n">
        <f aca="false">((C243+'Curve Analysis - Base Case'!G222)*'Revenues &amp; Expenses'!$S$2)/1000</f>
        <v>68.6101866467663</v>
      </c>
    </row>
    <row r="244" customFormat="false" ht="15.75" hidden="false" customHeight="false" outlineLevel="0" collapsed="false">
      <c r="A244" s="334" t="n">
        <v>9</v>
      </c>
      <c r="B244" s="269" t="n">
        <v>43344</v>
      </c>
      <c r="C244" s="352" t="n">
        <f aca="false">VLOOKUP(A256,$A$5:$U$16,21)</f>
        <v>3.91979167</v>
      </c>
      <c r="E244" s="349" t="n">
        <f aca="false">((C244+'Curve Analysis - Base Case'!G223)*'Revenues &amp; Expenses'!$S$2)/1000</f>
        <v>69.1192403928082</v>
      </c>
    </row>
    <row r="245" customFormat="false" ht="15.75" hidden="false" customHeight="false" outlineLevel="0" collapsed="false">
      <c r="A245" s="334" t="n">
        <v>10</v>
      </c>
      <c r="B245" s="269" t="n">
        <v>43374</v>
      </c>
      <c r="C245" s="352" t="n">
        <f aca="false">VLOOKUP(A257,$A$5:$U$16,21)</f>
        <v>3.88020833</v>
      </c>
      <c r="E245" s="349" t="n">
        <f aca="false">((C245+'Curve Analysis - Base Case'!G224)*'Revenues &amp; Expenses'!$S$2)/1000</f>
        <v>68.8102433810078</v>
      </c>
    </row>
    <row r="246" customFormat="false" ht="15.75" hidden="false" customHeight="false" outlineLevel="0" collapsed="false">
      <c r="A246" s="334" t="n">
        <v>11</v>
      </c>
      <c r="B246" s="269" t="n">
        <v>43405</v>
      </c>
      <c r="C246" s="352" t="n">
        <f aca="false">VLOOKUP(A258,$A$5:$U$16,21)</f>
        <v>3.88020833</v>
      </c>
      <c r="E246" s="349" t="n">
        <f aca="false">((C246+'Curve Analysis - Base Case'!G225)*'Revenues &amp; Expenses'!$S$2)/1000</f>
        <v>68.8805711488299</v>
      </c>
    </row>
    <row r="247" customFormat="false" ht="15.75" hidden="false" customHeight="false" outlineLevel="0" collapsed="false">
      <c r="A247" s="334" t="n">
        <v>12</v>
      </c>
      <c r="B247" s="269" t="n">
        <v>43435</v>
      </c>
      <c r="C247" s="352" t="n">
        <f aca="false">VLOOKUP(A259,$A$5:$U$16,21)</f>
        <v>3.88020833</v>
      </c>
      <c r="D247" s="342" t="n">
        <f aca="false">SUM(C236:C247)</f>
        <v>47.03541666</v>
      </c>
      <c r="E247" s="349" t="n">
        <f aca="false">((C247+'Curve Analysis - Base Case'!G226)*'Revenues &amp; Expenses'!$S$2)/1000</f>
        <v>68.9510552290683</v>
      </c>
    </row>
    <row r="248" customFormat="false" ht="15.75" hidden="false" customHeight="false" outlineLevel="0" collapsed="false">
      <c r="A248" s="334" t="n">
        <v>1</v>
      </c>
      <c r="B248" s="269" t="n">
        <v>43466</v>
      </c>
      <c r="C248" s="352" t="n">
        <f aca="false">VLOOKUP(A260,$A$5:$V$16,22)</f>
        <v>3.9375</v>
      </c>
      <c r="E248" s="349" t="n">
        <f aca="false">((C248+'Curve Analysis - Base Case'!G227)*'Revenues &amp; Expenses'!$S$2)/1000</f>
        <v>69.5704928760772</v>
      </c>
    </row>
    <row r="249" customFormat="false" ht="15.75" hidden="false" customHeight="false" outlineLevel="0" collapsed="false">
      <c r="A249" s="334" t="n">
        <v>2</v>
      </c>
      <c r="B249" s="269" t="n">
        <v>43497</v>
      </c>
      <c r="C249" s="352" t="n">
        <f aca="false">VLOOKUP(A261,$A$5:$V$16,22)</f>
        <v>3.9375</v>
      </c>
      <c r="E249" s="349" t="n">
        <f aca="false">((C249+'Curve Analysis - Base Case'!G228)*'Revenues &amp; Expenses'!$S$2)/1000</f>
        <v>69.6412906241932</v>
      </c>
    </row>
    <row r="250" customFormat="false" ht="15.75" hidden="false" customHeight="false" outlineLevel="0" collapsed="false">
      <c r="A250" s="334" t="n">
        <v>3</v>
      </c>
      <c r="B250" s="269" t="n">
        <v>43525</v>
      </c>
      <c r="C250" s="352" t="n">
        <f aca="false">VLOOKUP(A262,$A$5:$V$16,22)</f>
        <v>3.9375</v>
      </c>
      <c r="E250" s="349" t="n">
        <f aca="false">((C250+'Curve Analysis - Base Case'!G229)*'Revenues &amp; Expenses'!$S$2)/1000</f>
        <v>69.7122457293165</v>
      </c>
    </row>
    <row r="251" customFormat="false" ht="15.75" hidden="false" customHeight="false" outlineLevel="0" collapsed="false">
      <c r="A251" s="334" t="n">
        <v>4</v>
      </c>
      <c r="B251" s="269" t="n">
        <v>43556</v>
      </c>
      <c r="C251" s="352" t="n">
        <f aca="false">VLOOKUP(A263,$A$5:$V$16,22)</f>
        <v>4.08229167</v>
      </c>
      <c r="E251" s="349" t="n">
        <f aca="false">((C251+'Curve Analysis - Base Case'!G230)*'Revenues &amp; Expenses'!$S$2)/1000</f>
        <v>71.1703179481231</v>
      </c>
    </row>
    <row r="252" customFormat="false" ht="15.75" hidden="false" customHeight="false" outlineLevel="0" collapsed="false">
      <c r="A252" s="334" t="n">
        <v>5</v>
      </c>
      <c r="B252" s="269" t="n">
        <v>43586</v>
      </c>
      <c r="C252" s="352" t="n">
        <f aca="false">VLOOKUP(A264,$A$5:$V$16,22)</f>
        <v>3.91979167</v>
      </c>
      <c r="E252" s="349" t="n">
        <f aca="false">((C252+'Curve Analysis - Base Case'!G231)*'Revenues &amp; Expenses'!$S$2)/1000</f>
        <v>69.6850013172764</v>
      </c>
    </row>
    <row r="253" customFormat="false" ht="15.75" hidden="false" customHeight="false" outlineLevel="0" collapsed="false">
      <c r="A253" s="334" t="n">
        <v>6</v>
      </c>
      <c r="B253" s="269" t="n">
        <v>43617</v>
      </c>
      <c r="C253" s="352" t="n">
        <f aca="false">VLOOKUP(A265,$A$5:$V$16,22)</f>
        <v>3.9125</v>
      </c>
      <c r="E253" s="349" t="n">
        <f aca="false">((C253+'Curve Analysis - Base Case'!G232)*'Revenues &amp; Expenses'!$S$2)/1000</f>
        <v>69.6865836880787</v>
      </c>
    </row>
    <row r="254" customFormat="false" ht="15.75" hidden="false" customHeight="false" outlineLevel="0" collapsed="false">
      <c r="A254" s="334" t="n">
        <v>7</v>
      </c>
      <c r="B254" s="269" t="n">
        <v>43647</v>
      </c>
      <c r="C254" s="352" t="n">
        <f aca="false">VLOOKUP(A266,$A$5:$V$16,22)</f>
        <v>3.87395833</v>
      </c>
      <c r="E254" s="349" t="n">
        <f aca="false">((C254+'Curve Analysis - Base Case'!G233)*'Revenues &amp; Expenses'!$S$2)/1000</f>
        <v>69.3889810695433</v>
      </c>
    </row>
    <row r="255" customFormat="false" ht="15.75" hidden="false" customHeight="false" outlineLevel="0" collapsed="false">
      <c r="A255" s="334" t="n">
        <v>8</v>
      </c>
      <c r="B255" s="269" t="n">
        <v>43678</v>
      </c>
      <c r="C255" s="352" t="n">
        <f aca="false">VLOOKUP(A267,$A$5:$V$16,22)</f>
        <v>3.87395833</v>
      </c>
      <c r="E255" s="349" t="n">
        <f aca="false">((C255+'Curve Analysis - Base Case'!G234)*'Revenues &amp; Expenses'!$S$2)/1000</f>
        <v>69.4607282214661</v>
      </c>
    </row>
    <row r="256" customFormat="false" ht="15.75" hidden="false" customHeight="false" outlineLevel="0" collapsed="false">
      <c r="A256" s="334" t="n">
        <v>9</v>
      </c>
      <c r="B256" s="269" t="n">
        <v>43709</v>
      </c>
      <c r="C256" s="352" t="n">
        <f aca="false">VLOOKUP(A268,$A$5:$V$16,22)</f>
        <v>3.91979167</v>
      </c>
      <c r="E256" s="349" t="n">
        <f aca="false">((C256+'Curve Analysis - Base Case'!G235)*'Revenues &amp; Expenses'!$S$2)/1000</f>
        <v>69.971672404427</v>
      </c>
    </row>
    <row r="257" customFormat="false" ht="15.75" hidden="false" customHeight="false" outlineLevel="0" collapsed="false">
      <c r="A257" s="334" t="n">
        <v>10</v>
      </c>
      <c r="B257" s="269" t="n">
        <v>43739</v>
      </c>
      <c r="C257" s="352" t="n">
        <f aca="false">VLOOKUP(A269,$A$5:$V$16,22)</f>
        <v>3.88020833</v>
      </c>
      <c r="E257" s="349" t="n">
        <f aca="false">((C257+'Curve Analysis - Base Case'!G236)*'Revenues &amp; Expenses'!$S$2)/1000</f>
        <v>69.6645700312821</v>
      </c>
    </row>
    <row r="258" customFormat="false" ht="15.75" hidden="false" customHeight="false" outlineLevel="0" collapsed="false">
      <c r="A258" s="334" t="n">
        <v>11</v>
      </c>
      <c r="B258" s="269" t="n">
        <v>43770</v>
      </c>
      <c r="C258" s="352" t="n">
        <f aca="false">VLOOKUP(A270,$A$5:$V$16,22)</f>
        <v>3.88020833</v>
      </c>
      <c r="E258" s="349" t="n">
        <f aca="false">((C258+'Curve Analysis - Base Case'!G237)*'Revenues &amp; Expenses'!$S$2)/1000</f>
        <v>69.7367966488354</v>
      </c>
    </row>
    <row r="259" customFormat="false" ht="15.75" hidden="false" customHeight="false" outlineLevel="0" collapsed="false">
      <c r="A259" s="334" t="n">
        <v>12</v>
      </c>
      <c r="B259" s="269" t="n">
        <v>43800</v>
      </c>
      <c r="C259" s="352" t="n">
        <f aca="false">VLOOKUP(A271,$A$5:$V$16,22)</f>
        <v>3.88020833</v>
      </c>
      <c r="D259" s="342" t="n">
        <f aca="false">SUM(C248:C259)</f>
        <v>47.03541666</v>
      </c>
      <c r="E259" s="349" t="n">
        <f aca="false">((C259+'Curve Analysis - Base Case'!G238)*'Revenues &amp; Expenses'!$S$2)/1000</f>
        <v>69.8091837992402</v>
      </c>
    </row>
    <row r="260" customFormat="false" ht="15.75" hidden="false" customHeight="false" outlineLevel="0" collapsed="false">
      <c r="A260" s="334" t="n">
        <v>1</v>
      </c>
      <c r="B260" s="269" t="n">
        <v>43831</v>
      </c>
    </row>
    <row r="261" customFormat="false" ht="15.75" hidden="false" customHeight="false" outlineLevel="0" collapsed="false">
      <c r="A261" s="334" t="n">
        <v>2</v>
      </c>
      <c r="B261" s="269" t="n">
        <v>43862</v>
      </c>
    </row>
    <row r="262" customFormat="false" ht="15.75" hidden="false" customHeight="false" outlineLevel="0" collapsed="false">
      <c r="A262" s="334" t="n">
        <v>3</v>
      </c>
      <c r="B262" s="269" t="n">
        <v>43891</v>
      </c>
    </row>
    <row r="263" customFormat="false" ht="15.75" hidden="false" customHeight="false" outlineLevel="0" collapsed="false">
      <c r="A263" s="334" t="n">
        <v>4</v>
      </c>
      <c r="B263" s="269" t="n">
        <v>43922</v>
      </c>
    </row>
    <row r="264" customFormat="false" ht="15.75" hidden="false" customHeight="false" outlineLevel="0" collapsed="false">
      <c r="A264" s="334" t="n">
        <v>5</v>
      </c>
      <c r="B264" s="269" t="n">
        <v>43952</v>
      </c>
    </row>
    <row r="265" customFormat="false" ht="15.75" hidden="false" customHeight="false" outlineLevel="0" collapsed="false">
      <c r="A265" s="334" t="n">
        <v>6</v>
      </c>
      <c r="B265" s="269" t="n">
        <v>43983</v>
      </c>
    </row>
    <row r="266" customFormat="false" ht="15.75" hidden="false" customHeight="false" outlineLevel="0" collapsed="false">
      <c r="A266" s="334" t="n">
        <v>7</v>
      </c>
      <c r="B266" s="269" t="n">
        <v>44013</v>
      </c>
    </row>
    <row r="267" customFormat="false" ht="15.75" hidden="false" customHeight="false" outlineLevel="0" collapsed="false">
      <c r="A267" s="334" t="n">
        <v>8</v>
      </c>
      <c r="B267" s="269" t="n">
        <v>44044</v>
      </c>
    </row>
    <row r="268" customFormat="false" ht="15.75" hidden="false" customHeight="false" outlineLevel="0" collapsed="false">
      <c r="A268" s="334" t="n">
        <v>9</v>
      </c>
      <c r="B268" s="269" t="n">
        <v>44075</v>
      </c>
    </row>
    <row r="269" customFormat="false" ht="15.75" hidden="false" customHeight="false" outlineLevel="0" collapsed="false">
      <c r="A269" s="334" t="n">
        <v>10</v>
      </c>
      <c r="B269" s="269" t="n">
        <v>44105</v>
      </c>
    </row>
    <row r="270" customFormat="false" ht="15.75" hidden="false" customHeight="false" outlineLevel="0" collapsed="false">
      <c r="A270" s="334" t="n">
        <v>11</v>
      </c>
      <c r="B270" s="269" t="n">
        <v>44136</v>
      </c>
    </row>
    <row r="271" customFormat="false" ht="15.75" hidden="false" customHeight="false" outlineLevel="0" collapsed="false">
      <c r="A271" s="334" t="n">
        <v>12</v>
      </c>
      <c r="B271" s="269" t="n">
        <v>44166</v>
      </c>
    </row>
    <row r="272" customFormat="false" ht="15.75" hidden="false" customHeight="false" outlineLevel="0" collapsed="false">
      <c r="A272" s="334" t="n">
        <v>1</v>
      </c>
      <c r="B272" s="269" t="n">
        <v>44197</v>
      </c>
      <c r="C272" s="352" t="n">
        <f aca="false">VLOOKUP(A272,$A$5:$W$16,23)</f>
        <v>3.9375</v>
      </c>
    </row>
    <row r="273" customFormat="false" ht="15.75" hidden="false" customHeight="false" outlineLevel="0" collapsed="false">
      <c r="A273" s="334" t="n">
        <v>2</v>
      </c>
      <c r="B273" s="269" t="n">
        <v>44228</v>
      </c>
      <c r="C273" s="352" t="n">
        <f aca="false">VLOOKUP(A273,$A$5:$W$16,23)</f>
        <v>3.9375</v>
      </c>
    </row>
    <row r="274" customFormat="false" ht="15.75" hidden="false" customHeight="false" outlineLevel="0" collapsed="false">
      <c r="A274" s="334" t="n">
        <v>3</v>
      </c>
      <c r="B274" s="269" t="n">
        <v>44256</v>
      </c>
      <c r="C274" s="352" t="n">
        <f aca="false">VLOOKUP(A274,$A$5:$W$16,23)</f>
        <v>3.9375</v>
      </c>
    </row>
    <row r="275" customFormat="false" ht="15.75" hidden="false" customHeight="false" outlineLevel="0" collapsed="false">
      <c r="A275" s="334" t="n">
        <v>4</v>
      </c>
      <c r="B275" s="269" t="n">
        <v>44287</v>
      </c>
      <c r="C275" s="352" t="n">
        <f aca="false">VLOOKUP(A275,$A$5:$W$16,23)</f>
        <v>4.08229167</v>
      </c>
    </row>
    <row r="276" customFormat="false" ht="15.75" hidden="false" customHeight="false" outlineLevel="0" collapsed="false">
      <c r="A276" s="334" t="n">
        <v>5</v>
      </c>
      <c r="B276" s="269" t="n">
        <v>44317</v>
      </c>
      <c r="C276" s="352" t="n">
        <f aca="false">VLOOKUP(A276,$A$5:$W$16,23)</f>
        <v>3.91979167</v>
      </c>
    </row>
    <row r="277" customFormat="false" ht="15.75" hidden="false" customHeight="false" outlineLevel="0" collapsed="false">
      <c r="A277" s="334" t="n">
        <v>6</v>
      </c>
      <c r="B277" s="269" t="n">
        <v>44348</v>
      </c>
      <c r="C277" s="352" t="n">
        <f aca="false">VLOOKUP(A277,$A$5:$W$16,23)</f>
        <v>3.9125</v>
      </c>
    </row>
    <row r="278" customFormat="false" ht="15.75" hidden="false" customHeight="false" outlineLevel="0" collapsed="false">
      <c r="A278" s="334" t="n">
        <v>7</v>
      </c>
      <c r="B278" s="269" t="n">
        <v>44378</v>
      </c>
      <c r="C278" s="352" t="n">
        <f aca="false">VLOOKUP(A278,$A$5:$W$16,23)</f>
        <v>3.87395833</v>
      </c>
    </row>
    <row r="279" customFormat="false" ht="15.75" hidden="false" customHeight="false" outlineLevel="0" collapsed="false">
      <c r="A279" s="334" t="n">
        <v>8</v>
      </c>
      <c r="B279" s="269" t="n">
        <v>44409</v>
      </c>
      <c r="C279" s="352" t="n">
        <f aca="false">VLOOKUP(A279,$A$5:$W$16,23)</f>
        <v>3.87395833</v>
      </c>
    </row>
    <row r="280" customFormat="false" ht="15.75" hidden="false" customHeight="false" outlineLevel="0" collapsed="false">
      <c r="A280" s="334" t="n">
        <v>9</v>
      </c>
      <c r="B280" s="269" t="n">
        <v>44440</v>
      </c>
      <c r="C280" s="352" t="n">
        <f aca="false">VLOOKUP(A280,$A$5:$W$16,23)</f>
        <v>3.91979167</v>
      </c>
    </row>
    <row r="281" customFormat="false" ht="15.75" hidden="false" customHeight="false" outlineLevel="0" collapsed="false">
      <c r="A281" s="334" t="n">
        <v>10</v>
      </c>
      <c r="B281" s="269" t="n">
        <v>44470</v>
      </c>
      <c r="C281" s="352" t="n">
        <f aca="false">VLOOKUP(A281,$A$5:$W$16,23)</f>
        <v>3.88020833</v>
      </c>
    </row>
    <row r="282" customFormat="false" ht="15.75" hidden="false" customHeight="false" outlineLevel="0" collapsed="false">
      <c r="A282" s="334" t="n">
        <v>11</v>
      </c>
      <c r="B282" s="269" t="n">
        <v>44501</v>
      </c>
      <c r="C282" s="352" t="n">
        <f aca="false">VLOOKUP(A282,$A$5:$W$16,23)</f>
        <v>3.88020833</v>
      </c>
    </row>
    <row r="283" customFormat="false" ht="15.75" hidden="false" customHeight="false" outlineLevel="0" collapsed="false">
      <c r="A283" s="334" t="n">
        <v>12</v>
      </c>
      <c r="B283" s="269" t="n">
        <v>44531</v>
      </c>
      <c r="C283" s="352" t="n">
        <f aca="false">VLOOKUP(A283,$A$5:$W$16,23)</f>
        <v>3.88020833</v>
      </c>
      <c r="D283" s="342" t="n">
        <f aca="false">SUM(C272:C283)</f>
        <v>47.03541666</v>
      </c>
    </row>
    <row r="284" customFormat="false" ht="15.75" hidden="false" customHeight="false" outlineLevel="0" collapsed="false">
      <c r="A284" s="334" t="n">
        <v>1</v>
      </c>
      <c r="B284" s="269" t="n">
        <v>44562</v>
      </c>
    </row>
    <row r="285" customFormat="false" ht="15.75" hidden="false" customHeight="false" outlineLevel="0" collapsed="false">
      <c r="A285" s="334" t="n">
        <v>2</v>
      </c>
      <c r="B285" s="269" t="n">
        <v>44593</v>
      </c>
    </row>
    <row r="286" customFormat="false" ht="15.75" hidden="false" customHeight="false" outlineLevel="0" collapsed="false">
      <c r="A286" s="334" t="n">
        <v>3</v>
      </c>
      <c r="B286" s="269" t="n">
        <v>44621</v>
      </c>
    </row>
    <row r="287" customFormat="false" ht="15.75" hidden="false" customHeight="false" outlineLevel="0" collapsed="false">
      <c r="A287" s="334" t="n">
        <v>4</v>
      </c>
      <c r="B287" s="269" t="n">
        <v>44652</v>
      </c>
    </row>
    <row r="288" customFormat="false" ht="15.75" hidden="false" customHeight="false" outlineLevel="0" collapsed="false">
      <c r="A288" s="334" t="n">
        <v>5</v>
      </c>
      <c r="B288" s="269" t="n">
        <v>44682</v>
      </c>
    </row>
    <row r="289" customFormat="false" ht="15.75" hidden="false" customHeight="false" outlineLevel="0" collapsed="false">
      <c r="A289" s="334" t="n">
        <v>6</v>
      </c>
      <c r="B289" s="269" t="n">
        <v>44713</v>
      </c>
    </row>
    <row r="290" customFormat="false" ht="15.75" hidden="false" customHeight="false" outlineLevel="0" collapsed="false">
      <c r="A290" s="334" t="n">
        <v>7</v>
      </c>
      <c r="B290" s="269" t="n">
        <v>44743</v>
      </c>
    </row>
    <row r="291" customFormat="false" ht="15.75" hidden="false" customHeight="false" outlineLevel="0" collapsed="false">
      <c r="A291" s="334" t="n">
        <v>8</v>
      </c>
      <c r="B291" s="269" t="n">
        <v>44774</v>
      </c>
    </row>
    <row r="292" customFormat="false" ht="15.75" hidden="false" customHeight="false" outlineLevel="0" collapsed="false">
      <c r="A292" s="334" t="n">
        <v>9</v>
      </c>
      <c r="B292" s="269" t="n">
        <v>44805</v>
      </c>
    </row>
    <row r="293" customFormat="false" ht="15.75" hidden="false" customHeight="false" outlineLevel="0" collapsed="false">
      <c r="A293" s="334" t="n">
        <v>10</v>
      </c>
      <c r="B293" s="269" t="n">
        <v>44835</v>
      </c>
    </row>
    <row r="294" customFormat="false" ht="15.75" hidden="false" customHeight="false" outlineLevel="0" collapsed="false">
      <c r="A294" s="334" t="n">
        <v>11</v>
      </c>
      <c r="B294" s="269" t="n">
        <v>44866</v>
      </c>
    </row>
    <row r="295" customFormat="false" ht="15.75" hidden="false" customHeight="false" outlineLevel="0" collapsed="false">
      <c r="A295" s="334" t="n">
        <v>12</v>
      </c>
      <c r="B295" s="269" t="n">
        <v>44896</v>
      </c>
    </row>
    <row r="296" customFormat="false" ht="15.75" hidden="false" customHeight="false" outlineLevel="0" collapsed="false">
      <c r="A296" s="334" t="n">
        <v>1</v>
      </c>
      <c r="B296" s="269" t="n">
        <v>44927</v>
      </c>
    </row>
    <row r="297" customFormat="false" ht="15.75" hidden="false" customHeight="false" outlineLevel="0" collapsed="false">
      <c r="A297" s="334" t="n">
        <v>2</v>
      </c>
      <c r="B297" s="269" t="n">
        <v>44958</v>
      </c>
    </row>
    <row r="298" customFormat="false" ht="15.75" hidden="false" customHeight="false" outlineLevel="0" collapsed="false">
      <c r="A298" s="334" t="n">
        <v>3</v>
      </c>
      <c r="B298" s="269" t="n">
        <v>44986</v>
      </c>
    </row>
    <row r="299" customFormat="false" ht="15.75" hidden="false" customHeight="false" outlineLevel="0" collapsed="false">
      <c r="A299" s="334" t="n">
        <v>4</v>
      </c>
      <c r="B299" s="269" t="n">
        <v>45017</v>
      </c>
    </row>
    <row r="300" customFormat="false" ht="15.75" hidden="false" customHeight="false" outlineLevel="0" collapsed="false">
      <c r="A300" s="334" t="n">
        <v>5</v>
      </c>
      <c r="B300" s="269" t="n">
        <v>45047</v>
      </c>
    </row>
    <row r="301" customFormat="false" ht="15.75" hidden="false" customHeight="false" outlineLevel="0" collapsed="false">
      <c r="A301" s="334" t="n">
        <v>6</v>
      </c>
      <c r="B301" s="269" t="n">
        <v>45078</v>
      </c>
    </row>
    <row r="302" customFormat="false" ht="15.75" hidden="false" customHeight="false" outlineLevel="0" collapsed="false">
      <c r="A302" s="334" t="n">
        <v>7</v>
      </c>
      <c r="B302" s="269" t="n">
        <v>45108</v>
      </c>
    </row>
    <row r="303" customFormat="false" ht="15.75" hidden="false" customHeight="false" outlineLevel="0" collapsed="false">
      <c r="A303" s="334" t="n">
        <v>8</v>
      </c>
      <c r="B303" s="269" t="n">
        <v>45139</v>
      </c>
    </row>
    <row r="304" customFormat="false" ht="15.75" hidden="false" customHeight="false" outlineLevel="0" collapsed="false">
      <c r="A304" s="334" t="n">
        <v>9</v>
      </c>
      <c r="B304" s="269" t="n">
        <v>45170</v>
      </c>
    </row>
    <row r="305" customFormat="false" ht="15.75" hidden="false" customHeight="false" outlineLevel="0" collapsed="false">
      <c r="A305" s="334" t="n">
        <v>10</v>
      </c>
      <c r="B305" s="269" t="n">
        <v>45200</v>
      </c>
    </row>
    <row r="306" customFormat="false" ht="15.75" hidden="false" customHeight="false" outlineLevel="0" collapsed="false">
      <c r="A306" s="334" t="n">
        <v>11</v>
      </c>
      <c r="B306" s="269" t="n">
        <v>45231</v>
      </c>
    </row>
    <row r="307" customFormat="false" ht="15.75" hidden="false" customHeight="false" outlineLevel="0" collapsed="false">
      <c r="A307" s="334" t="n">
        <v>12</v>
      </c>
      <c r="B307" s="269" t="n">
        <v>45261</v>
      </c>
    </row>
    <row r="308" customFormat="false" ht="15.75" hidden="false" customHeight="false" outlineLevel="0" collapsed="false">
      <c r="A308" s="334" t="n">
        <v>1</v>
      </c>
      <c r="B308" s="269" t="n">
        <v>45292</v>
      </c>
    </row>
    <row r="309" customFormat="false" ht="15.75" hidden="false" customHeight="false" outlineLevel="0" collapsed="false">
      <c r="A309" s="334" t="n">
        <v>2</v>
      </c>
      <c r="B309" s="269" t="n">
        <v>45323</v>
      </c>
    </row>
    <row r="310" customFormat="false" ht="15.75" hidden="false" customHeight="false" outlineLevel="0" collapsed="false">
      <c r="A310" s="334" t="n">
        <v>3</v>
      </c>
      <c r="B310" s="269" t="n">
        <v>45352</v>
      </c>
    </row>
    <row r="311" customFormat="false" ht="15.75" hidden="false" customHeight="false" outlineLevel="0" collapsed="false">
      <c r="A311" s="334" t="n">
        <v>4</v>
      </c>
      <c r="B311" s="269" t="n">
        <v>45383</v>
      </c>
    </row>
    <row r="312" customFormat="false" ht="15.75" hidden="false" customHeight="false" outlineLevel="0" collapsed="false">
      <c r="A312" s="334" t="n">
        <v>5</v>
      </c>
      <c r="B312" s="269" t="n">
        <v>45413</v>
      </c>
    </row>
    <row r="313" customFormat="false" ht="15.75" hidden="false" customHeight="false" outlineLevel="0" collapsed="false">
      <c r="A313" s="334" t="n">
        <v>6</v>
      </c>
      <c r="B313" s="269" t="n">
        <v>45444</v>
      </c>
    </row>
    <row r="314" customFormat="false" ht="15.75" hidden="false" customHeight="false" outlineLevel="0" collapsed="false">
      <c r="A314" s="334" t="n">
        <v>7</v>
      </c>
      <c r="B314" s="269" t="n">
        <v>45474</v>
      </c>
    </row>
    <row r="315" customFormat="false" ht="15.75" hidden="false" customHeight="false" outlineLevel="0" collapsed="false">
      <c r="A315" s="334" t="n">
        <v>8</v>
      </c>
      <c r="B315" s="269" t="n">
        <v>45505</v>
      </c>
    </row>
    <row r="316" customFormat="false" ht="15.75" hidden="false" customHeight="false" outlineLevel="0" collapsed="false">
      <c r="A316" s="334" t="n">
        <v>9</v>
      </c>
      <c r="B316" s="269" t="n">
        <v>45536</v>
      </c>
    </row>
    <row r="317" customFormat="false" ht="15.75" hidden="false" customHeight="false" outlineLevel="0" collapsed="false">
      <c r="A317" s="334" t="n">
        <v>10</v>
      </c>
      <c r="B317" s="269" t="n">
        <v>45566</v>
      </c>
    </row>
    <row r="318" customFormat="false" ht="15.75" hidden="false" customHeight="false" outlineLevel="0" collapsed="false">
      <c r="A318" s="334" t="n">
        <v>11</v>
      </c>
      <c r="B318" s="269" t="n">
        <v>45597</v>
      </c>
    </row>
    <row r="319" customFormat="false" ht="15.75" hidden="false" customHeight="false" outlineLevel="0" collapsed="false">
      <c r="A319" s="334" t="n">
        <v>12</v>
      </c>
      <c r="B319" s="269" t="n">
        <v>45627</v>
      </c>
    </row>
    <row r="320" customFormat="false" ht="15.75" hidden="false" customHeight="false" outlineLevel="0" collapsed="false">
      <c r="A320" s="334" t="n">
        <v>1</v>
      </c>
      <c r="B320" s="269" t="n">
        <v>45658</v>
      </c>
    </row>
    <row r="321" customFormat="false" ht="15.75" hidden="false" customHeight="false" outlineLevel="0" collapsed="false">
      <c r="A321" s="334" t="n">
        <v>2</v>
      </c>
      <c r="B321" s="269" t="n">
        <v>45689</v>
      </c>
    </row>
    <row r="322" customFormat="false" ht="15.75" hidden="false" customHeight="false" outlineLevel="0" collapsed="false">
      <c r="A322" s="334" t="n">
        <v>3</v>
      </c>
      <c r="B322" s="269" t="n">
        <v>45717</v>
      </c>
    </row>
    <row r="323" customFormat="false" ht="15.75" hidden="false" customHeight="false" outlineLevel="0" collapsed="false">
      <c r="A323" s="334" t="n">
        <v>4</v>
      </c>
      <c r="B323" s="269" t="n">
        <v>45748</v>
      </c>
    </row>
    <row r="324" customFormat="false" ht="15.75" hidden="false" customHeight="false" outlineLevel="0" collapsed="false">
      <c r="A324" s="334" t="n">
        <v>5</v>
      </c>
      <c r="B324" s="269" t="n">
        <v>45778</v>
      </c>
    </row>
    <row r="325" customFormat="false" ht="15.75" hidden="false" customHeight="false" outlineLevel="0" collapsed="false">
      <c r="A325" s="334" t="n">
        <v>6</v>
      </c>
      <c r="B325" s="269" t="n">
        <v>45809</v>
      </c>
    </row>
    <row r="326" customFormat="false" ht="15.75" hidden="false" customHeight="false" outlineLevel="0" collapsed="false">
      <c r="A326" s="334" t="n">
        <v>7</v>
      </c>
      <c r="B326" s="269" t="n">
        <v>45839</v>
      </c>
    </row>
    <row r="327" customFormat="false" ht="15.75" hidden="false" customHeight="false" outlineLevel="0" collapsed="false">
      <c r="A327" s="334" t="n">
        <v>8</v>
      </c>
      <c r="B327" s="269" t="n">
        <v>45870</v>
      </c>
    </row>
    <row r="328" customFormat="false" ht="15.75" hidden="false" customHeight="false" outlineLevel="0" collapsed="false">
      <c r="A328" s="334" t="n">
        <v>9</v>
      </c>
      <c r="B328" s="269" t="n">
        <v>45901</v>
      </c>
    </row>
    <row r="329" customFormat="false" ht="15.75" hidden="false" customHeight="false" outlineLevel="0" collapsed="false">
      <c r="A329" s="334" t="n">
        <v>10</v>
      </c>
      <c r="B329" s="269" t="n">
        <v>45931</v>
      </c>
    </row>
    <row r="330" customFormat="false" ht="15.75" hidden="false" customHeight="false" outlineLevel="0" collapsed="false">
      <c r="A330" s="334" t="n">
        <v>11</v>
      </c>
      <c r="B330" s="269" t="n">
        <v>45962</v>
      </c>
    </row>
    <row r="331" customFormat="false" ht="15.75" hidden="false" customHeight="false" outlineLevel="0" collapsed="false">
      <c r="A331" s="334" t="n">
        <v>12</v>
      </c>
      <c r="B331" s="269" t="n">
        <v>45992</v>
      </c>
    </row>
    <row r="332" customFormat="false" ht="15.75" hidden="false" customHeight="false" outlineLevel="0" collapsed="false">
      <c r="A332" s="334" t="n">
        <v>1</v>
      </c>
      <c r="B332" s="269" t="n">
        <v>46023</v>
      </c>
    </row>
    <row r="333" customFormat="false" ht="15.75" hidden="false" customHeight="false" outlineLevel="0" collapsed="false">
      <c r="A333" s="334" t="n">
        <v>2</v>
      </c>
      <c r="B333" s="269" t="n">
        <v>46054</v>
      </c>
    </row>
    <row r="334" customFormat="false" ht="15.75" hidden="false" customHeight="false" outlineLevel="0" collapsed="false">
      <c r="A334" s="334" t="n">
        <v>3</v>
      </c>
      <c r="B334" s="269" t="n">
        <v>46082</v>
      </c>
    </row>
    <row r="335" customFormat="false" ht="15.75" hidden="false" customHeight="false" outlineLevel="0" collapsed="false">
      <c r="A335" s="334" t="n">
        <v>4</v>
      </c>
      <c r="B335" s="269" t="n">
        <v>46113</v>
      </c>
    </row>
    <row r="336" customFormat="false" ht="15.75" hidden="false" customHeight="false" outlineLevel="0" collapsed="false">
      <c r="A336" s="334" t="n">
        <v>5</v>
      </c>
      <c r="B336" s="269" t="n">
        <v>46143</v>
      </c>
    </row>
    <row r="337" customFormat="false" ht="15.75" hidden="false" customHeight="false" outlineLevel="0" collapsed="false">
      <c r="A337" s="334" t="n">
        <v>6</v>
      </c>
      <c r="B337" s="269" t="n">
        <v>46174</v>
      </c>
    </row>
    <row r="338" customFormat="false" ht="15.75" hidden="false" customHeight="false" outlineLevel="0" collapsed="false">
      <c r="A338" s="334" t="n">
        <v>7</v>
      </c>
      <c r="B338" s="269" t="n">
        <v>46204</v>
      </c>
    </row>
    <row r="339" customFormat="false" ht="15.75" hidden="false" customHeight="false" outlineLevel="0" collapsed="false">
      <c r="A339" s="334" t="n">
        <v>8</v>
      </c>
      <c r="B339" s="269" t="n">
        <v>46235</v>
      </c>
    </row>
    <row r="340" customFormat="false" ht="15.75" hidden="false" customHeight="false" outlineLevel="0" collapsed="false">
      <c r="A340" s="334" t="n">
        <v>9</v>
      </c>
      <c r="B340" s="269" t="n">
        <v>46266</v>
      </c>
    </row>
    <row r="341" customFormat="false" ht="15.75" hidden="false" customHeight="false" outlineLevel="0" collapsed="false">
      <c r="A341" s="334" t="n">
        <v>10</v>
      </c>
      <c r="B341" s="269" t="n">
        <v>46296</v>
      </c>
    </row>
    <row r="342" customFormat="false" ht="15.75" hidden="false" customHeight="false" outlineLevel="0" collapsed="false">
      <c r="A342" s="334" t="n">
        <v>11</v>
      </c>
      <c r="B342" s="269" t="n">
        <v>46327</v>
      </c>
    </row>
    <row r="343" customFormat="false" ht="15.75" hidden="false" customHeight="false" outlineLevel="0" collapsed="false">
      <c r="A343" s="334" t="n">
        <v>12</v>
      </c>
      <c r="B343" s="269" t="n">
        <v>46357</v>
      </c>
    </row>
    <row r="344" customFormat="false" ht="15.75" hidden="false" customHeight="false" outlineLevel="0" collapsed="false">
      <c r="A344" s="334" t="n">
        <v>1</v>
      </c>
      <c r="B344" s="269" t="n">
        <v>46388</v>
      </c>
    </row>
    <row r="345" customFormat="false" ht="15.75" hidden="false" customHeight="false" outlineLevel="0" collapsed="false">
      <c r="A345" s="334" t="n">
        <v>2</v>
      </c>
      <c r="B345" s="269" t="n">
        <v>46419</v>
      </c>
    </row>
    <row r="346" customFormat="false" ht="15.75" hidden="false" customHeight="false" outlineLevel="0" collapsed="false">
      <c r="A346" s="334" t="n">
        <v>3</v>
      </c>
      <c r="B346" s="269" t="n">
        <v>46447</v>
      </c>
    </row>
    <row r="347" customFormat="false" ht="15.75" hidden="false" customHeight="false" outlineLevel="0" collapsed="false">
      <c r="A347" s="334" t="n">
        <v>4</v>
      </c>
      <c r="B347" s="269" t="n">
        <v>46478</v>
      </c>
    </row>
    <row r="348" customFormat="false" ht="15.75" hidden="false" customHeight="false" outlineLevel="0" collapsed="false">
      <c r="A348" s="334" t="n">
        <v>5</v>
      </c>
      <c r="B348" s="269" t="n">
        <v>46508</v>
      </c>
    </row>
    <row r="349" customFormat="false" ht="15.75" hidden="false" customHeight="false" outlineLevel="0" collapsed="false">
      <c r="A349" s="334" t="n">
        <v>6</v>
      </c>
      <c r="B349" s="269" t="n">
        <v>46539</v>
      </c>
    </row>
    <row r="350" customFormat="false" ht="15.75" hidden="false" customHeight="false" outlineLevel="0" collapsed="false">
      <c r="A350" s="334" t="n">
        <v>7</v>
      </c>
      <c r="B350" s="269" t="n">
        <v>46569</v>
      </c>
    </row>
    <row r="351" customFormat="false" ht="15.75" hidden="false" customHeight="false" outlineLevel="0" collapsed="false">
      <c r="A351" s="334" t="n">
        <v>8</v>
      </c>
      <c r="B351" s="269" t="n">
        <v>46600</v>
      </c>
    </row>
    <row r="352" customFormat="false" ht="15.75" hidden="false" customHeight="false" outlineLevel="0" collapsed="false">
      <c r="A352" s="334" t="n">
        <v>9</v>
      </c>
      <c r="B352" s="269" t="n">
        <v>46631</v>
      </c>
    </row>
    <row r="353" customFormat="false" ht="15.75" hidden="false" customHeight="false" outlineLevel="0" collapsed="false">
      <c r="A353" s="334" t="n">
        <v>10</v>
      </c>
      <c r="B353" s="269" t="n">
        <v>46661</v>
      </c>
    </row>
    <row r="354" customFormat="false" ht="15.75" hidden="false" customHeight="false" outlineLevel="0" collapsed="false">
      <c r="A354" s="334" t="n">
        <v>11</v>
      </c>
      <c r="B354" s="269" t="n">
        <v>46692</v>
      </c>
    </row>
    <row r="355" customFormat="false" ht="15.75" hidden="false" customHeight="false" outlineLevel="0" collapsed="false">
      <c r="A355" s="334" t="n">
        <v>12</v>
      </c>
      <c r="B355" s="269" t="n">
        <v>46722</v>
      </c>
    </row>
    <row r="356" customFormat="false" ht="15.75" hidden="false" customHeight="false" outlineLevel="0" collapsed="false">
      <c r="A356" s="334" t="n">
        <v>1</v>
      </c>
      <c r="B356" s="269" t="n">
        <v>46753</v>
      </c>
    </row>
    <row r="357" customFormat="false" ht="15.75" hidden="false" customHeight="false" outlineLevel="0" collapsed="false">
      <c r="A357" s="334" t="n">
        <v>2</v>
      </c>
      <c r="B357" s="269" t="n">
        <v>46784</v>
      </c>
    </row>
    <row r="358" customFormat="false" ht="15.75" hidden="false" customHeight="false" outlineLevel="0" collapsed="false">
      <c r="A358" s="334" t="n">
        <v>3</v>
      </c>
      <c r="B358" s="269" t="n">
        <v>46813</v>
      </c>
    </row>
    <row r="359" customFormat="false" ht="15.75" hidden="false" customHeight="false" outlineLevel="0" collapsed="false">
      <c r="A359" s="334" t="n">
        <v>4</v>
      </c>
      <c r="B359" s="269" t="n">
        <v>46844</v>
      </c>
    </row>
    <row r="360" customFormat="false" ht="15.75" hidden="false" customHeight="false" outlineLevel="0" collapsed="false">
      <c r="A360" s="334" t="n">
        <v>5</v>
      </c>
      <c r="B360" s="269" t="n">
        <v>46874</v>
      </c>
    </row>
    <row r="361" customFormat="false" ht="15.75" hidden="false" customHeight="false" outlineLevel="0" collapsed="false">
      <c r="A361" s="334" t="n">
        <v>6</v>
      </c>
      <c r="B361" s="269" t="n">
        <v>46905</v>
      </c>
    </row>
    <row r="362" customFormat="false" ht="15.75" hidden="false" customHeight="false" outlineLevel="0" collapsed="false">
      <c r="A362" s="334" t="n">
        <v>7</v>
      </c>
      <c r="B362" s="269" t="n">
        <v>46935</v>
      </c>
    </row>
    <row r="363" customFormat="false" ht="15.75" hidden="false" customHeight="false" outlineLevel="0" collapsed="false">
      <c r="A363" s="334" t="n">
        <v>8</v>
      </c>
      <c r="B363" s="269" t="n">
        <v>46966</v>
      </c>
    </row>
    <row r="364" customFormat="false" ht="15.75" hidden="false" customHeight="false" outlineLevel="0" collapsed="false">
      <c r="A364" s="334" t="n">
        <v>9</v>
      </c>
      <c r="B364" s="269" t="n">
        <v>46997</v>
      </c>
    </row>
    <row r="365" customFormat="false" ht="15.75" hidden="false" customHeight="false" outlineLevel="0" collapsed="false">
      <c r="A365" s="334" t="n">
        <v>10</v>
      </c>
      <c r="B365" s="269" t="n">
        <v>47027</v>
      </c>
    </row>
    <row r="366" customFormat="false" ht="15.75" hidden="false" customHeight="false" outlineLevel="0" collapsed="false">
      <c r="A366" s="334" t="n">
        <v>11</v>
      </c>
      <c r="B366" s="269" t="n">
        <v>47058</v>
      </c>
    </row>
    <row r="367" customFormat="false" ht="15.75" hidden="false" customHeight="false" outlineLevel="0" collapsed="false">
      <c r="A367" s="334" t="n">
        <v>12</v>
      </c>
      <c r="B367" s="269" t="n">
        <v>47088</v>
      </c>
    </row>
    <row r="368" customFormat="false" ht="15.75" hidden="false" customHeight="false" outlineLevel="0" collapsed="false">
      <c r="A368" s="334" t="n">
        <v>1</v>
      </c>
      <c r="B368" s="269" t="n">
        <v>47119</v>
      </c>
    </row>
    <row r="369" customFormat="false" ht="15.75" hidden="false" customHeight="false" outlineLevel="0" collapsed="false">
      <c r="A369" s="334" t="n">
        <v>2</v>
      </c>
      <c r="B369" s="269" t="n">
        <v>47150</v>
      </c>
    </row>
    <row r="370" customFormat="false" ht="15.75" hidden="false" customHeight="false" outlineLevel="0" collapsed="false">
      <c r="A370" s="334" t="n">
        <v>3</v>
      </c>
      <c r="B370" s="269" t="n">
        <v>47178</v>
      </c>
    </row>
    <row r="371" customFormat="false" ht="15.75" hidden="false" customHeight="false" outlineLevel="0" collapsed="false">
      <c r="A371" s="334" t="n">
        <v>4</v>
      </c>
      <c r="B371" s="269" t="n">
        <v>47209</v>
      </c>
    </row>
    <row r="372" customFormat="false" ht="15.75" hidden="false" customHeight="false" outlineLevel="0" collapsed="false">
      <c r="A372" s="334" t="n">
        <v>5</v>
      </c>
      <c r="B372" s="269" t="n">
        <v>47239</v>
      </c>
    </row>
    <row r="373" customFormat="false" ht="15.75" hidden="false" customHeight="false" outlineLevel="0" collapsed="false">
      <c r="A373" s="334" t="n">
        <v>6</v>
      </c>
      <c r="B373" s="269" t="n">
        <v>47270</v>
      </c>
    </row>
    <row r="374" customFormat="false" ht="15.75" hidden="false" customHeight="false" outlineLevel="0" collapsed="false">
      <c r="A374" s="334" t="n">
        <v>7</v>
      </c>
      <c r="B374" s="269" t="n">
        <v>47300</v>
      </c>
    </row>
    <row r="375" customFormat="false" ht="15.75" hidden="false" customHeight="false" outlineLevel="0" collapsed="false">
      <c r="A375" s="334" t="n">
        <v>8</v>
      </c>
      <c r="B375" s="269" t="n">
        <v>47331</v>
      </c>
    </row>
    <row r="376" customFormat="false" ht="15.75" hidden="false" customHeight="false" outlineLevel="0" collapsed="false">
      <c r="A376" s="334" t="n">
        <v>9</v>
      </c>
      <c r="B376" s="269" t="n">
        <v>47362</v>
      </c>
    </row>
    <row r="377" customFormat="false" ht="15.75" hidden="false" customHeight="false" outlineLevel="0" collapsed="false">
      <c r="A377" s="334" t="n">
        <v>10</v>
      </c>
      <c r="B377" s="269" t="n">
        <v>47392</v>
      </c>
    </row>
    <row r="378" customFormat="false" ht="15.75" hidden="false" customHeight="false" outlineLevel="0" collapsed="false">
      <c r="A378" s="334" t="n">
        <v>11</v>
      </c>
      <c r="B378" s="269" t="n">
        <v>47423</v>
      </c>
    </row>
    <row r="379" customFormat="false" ht="15.75" hidden="false" customHeight="false" outlineLevel="0" collapsed="false">
      <c r="A379" s="334" t="n">
        <v>12</v>
      </c>
      <c r="B379" s="269" t="n">
        <v>47453</v>
      </c>
    </row>
    <row r="380" customFormat="false" ht="15.75" hidden="false" customHeight="false" outlineLevel="0" collapsed="false">
      <c r="A380" s="334" t="n">
        <v>1</v>
      </c>
      <c r="B380" s="269" t="n">
        <v>47484</v>
      </c>
    </row>
    <row r="381" customFormat="false" ht="15.75" hidden="false" customHeight="false" outlineLevel="0" collapsed="false">
      <c r="A381" s="334" t="n">
        <v>2</v>
      </c>
      <c r="B381" s="269" t="n">
        <v>47515</v>
      </c>
    </row>
    <row r="382" customFormat="false" ht="15.75" hidden="false" customHeight="false" outlineLevel="0" collapsed="false">
      <c r="A382" s="334" t="n">
        <v>3</v>
      </c>
      <c r="B382" s="269" t="n">
        <v>47543</v>
      </c>
    </row>
    <row r="383" customFormat="false" ht="15.75" hidden="false" customHeight="false" outlineLevel="0" collapsed="false">
      <c r="A383" s="334" t="n">
        <v>4</v>
      </c>
      <c r="B383" s="269" t="n">
        <v>47574</v>
      </c>
    </row>
    <row r="384" customFormat="false" ht="15.75" hidden="false" customHeight="false" outlineLevel="0" collapsed="false">
      <c r="A384" s="334" t="n">
        <v>5</v>
      </c>
      <c r="B384" s="269" t="n">
        <v>47604</v>
      </c>
    </row>
    <row r="385" customFormat="false" ht="15.75" hidden="false" customHeight="false" outlineLevel="0" collapsed="false">
      <c r="A385" s="334" t="n">
        <v>6</v>
      </c>
      <c r="B385" s="269" t="n">
        <v>47635</v>
      </c>
    </row>
    <row r="386" customFormat="false" ht="15.75" hidden="false" customHeight="false" outlineLevel="0" collapsed="false">
      <c r="A386" s="334" t="n">
        <v>7</v>
      </c>
      <c r="B386" s="269" t="n">
        <v>47665</v>
      </c>
    </row>
    <row r="387" customFormat="false" ht="15.75" hidden="false" customHeight="false" outlineLevel="0" collapsed="false">
      <c r="A387" s="334" t="n">
        <v>8</v>
      </c>
      <c r="B387" s="269" t="n">
        <v>47696</v>
      </c>
    </row>
    <row r="388" customFormat="false" ht="15.75" hidden="false" customHeight="false" outlineLevel="0" collapsed="false">
      <c r="A388" s="334" t="n">
        <v>9</v>
      </c>
      <c r="B388" s="269" t="n">
        <v>47727</v>
      </c>
    </row>
    <row r="389" customFormat="false" ht="15.75" hidden="false" customHeight="false" outlineLevel="0" collapsed="false">
      <c r="A389" s="334" t="n">
        <v>10</v>
      </c>
      <c r="B389" s="269" t="n">
        <v>47757</v>
      </c>
    </row>
    <row r="390" customFormat="false" ht="15.75" hidden="false" customHeight="false" outlineLevel="0" collapsed="false">
      <c r="A390" s="334" t="n">
        <v>11</v>
      </c>
      <c r="B390" s="269" t="n">
        <v>47788</v>
      </c>
    </row>
    <row r="391" customFormat="false" ht="15.75" hidden="false" customHeight="false" outlineLevel="0" collapsed="false">
      <c r="A391" s="334" t="n">
        <v>12</v>
      </c>
      <c r="B391" s="269" t="n">
        <v>47818</v>
      </c>
    </row>
    <row r="392" customFormat="false" ht="15.75" hidden="false" customHeight="false" outlineLevel="0" collapsed="false">
      <c r="A392" s="334" t="n">
        <v>1</v>
      </c>
      <c r="B392" s="269" t="n">
        <v>47849</v>
      </c>
    </row>
    <row r="393" customFormat="false" ht="15.75" hidden="false" customHeight="false" outlineLevel="0" collapsed="false">
      <c r="A393" s="334" t="n">
        <v>2</v>
      </c>
      <c r="B393" s="269" t="n">
        <v>47880</v>
      </c>
    </row>
    <row r="394" customFormat="false" ht="15.75" hidden="false" customHeight="false" outlineLevel="0" collapsed="false">
      <c r="A394" s="334" t="n">
        <v>3</v>
      </c>
      <c r="B394" s="269" t="n">
        <v>47908</v>
      </c>
    </row>
    <row r="395" customFormat="false" ht="15.75" hidden="false" customHeight="false" outlineLevel="0" collapsed="false">
      <c r="A395" s="334" t="n">
        <v>4</v>
      </c>
      <c r="B395" s="269" t="n">
        <v>47939</v>
      </c>
    </row>
    <row r="396" customFormat="false" ht="15.75" hidden="false" customHeight="false" outlineLevel="0" collapsed="false">
      <c r="A396" s="334" t="n">
        <v>5</v>
      </c>
      <c r="B396" s="269" t="n">
        <v>47969</v>
      </c>
    </row>
    <row r="397" customFormat="false" ht="15.75" hidden="false" customHeight="false" outlineLevel="0" collapsed="false">
      <c r="A397" s="334" t="n">
        <v>6</v>
      </c>
      <c r="B397" s="269" t="n">
        <v>48000</v>
      </c>
    </row>
    <row r="398" customFormat="false" ht="15.75" hidden="false" customHeight="false" outlineLevel="0" collapsed="false">
      <c r="A398" s="334" t="n">
        <v>7</v>
      </c>
      <c r="B398" s="269" t="n">
        <v>48030</v>
      </c>
    </row>
    <row r="399" customFormat="false" ht="15.75" hidden="false" customHeight="false" outlineLevel="0" collapsed="false">
      <c r="A399" s="334" t="n">
        <v>8</v>
      </c>
      <c r="B399" s="269" t="n">
        <v>48061</v>
      </c>
    </row>
    <row r="400" customFormat="false" ht="15.75" hidden="false" customHeight="false" outlineLevel="0" collapsed="false">
      <c r="A400" s="334" t="n">
        <v>9</v>
      </c>
      <c r="B400" s="269" t="n">
        <v>48092</v>
      </c>
    </row>
    <row r="401" customFormat="false" ht="15.75" hidden="false" customHeight="false" outlineLevel="0" collapsed="false">
      <c r="A401" s="334" t="n">
        <v>10</v>
      </c>
      <c r="B401" s="269" t="n">
        <v>48122</v>
      </c>
    </row>
    <row r="402" customFormat="false" ht="15.75" hidden="false" customHeight="false" outlineLevel="0" collapsed="false">
      <c r="A402" s="334" t="n">
        <v>11</v>
      </c>
      <c r="B402" s="269" t="n">
        <v>48153</v>
      </c>
    </row>
    <row r="403" customFormat="false" ht="15.75" hidden="false" customHeight="false" outlineLevel="0" collapsed="false">
      <c r="A403" s="334" t="n">
        <v>12</v>
      </c>
      <c r="B403" s="269" t="n">
        <v>48183</v>
      </c>
    </row>
    <row r="404" customFormat="false" ht="15.75" hidden="false" customHeight="false" outlineLevel="0" collapsed="false">
      <c r="A404" s="334" t="n">
        <v>1</v>
      </c>
      <c r="B404" s="269" t="n">
        <v>48214</v>
      </c>
    </row>
    <row r="405" customFormat="false" ht="15.75" hidden="false" customHeight="false" outlineLevel="0" collapsed="false">
      <c r="A405" s="334" t="n">
        <v>2</v>
      </c>
      <c r="B405" s="269" t="n">
        <v>48245</v>
      </c>
    </row>
    <row r="406" customFormat="false" ht="15.75" hidden="false" customHeight="false" outlineLevel="0" collapsed="false">
      <c r="A406" s="334" t="n">
        <v>3</v>
      </c>
      <c r="B406" s="269" t="n">
        <v>48274</v>
      </c>
    </row>
    <row r="407" customFormat="false" ht="15.75" hidden="false" customHeight="false" outlineLevel="0" collapsed="false">
      <c r="A407" s="334" t="n">
        <v>4</v>
      </c>
      <c r="B407" s="269" t="n">
        <v>48305</v>
      </c>
    </row>
    <row r="408" customFormat="false" ht="15.75" hidden="false" customHeight="false" outlineLevel="0" collapsed="false">
      <c r="A408" s="334" t="n">
        <v>5</v>
      </c>
      <c r="B408" s="269" t="n">
        <v>48335</v>
      </c>
    </row>
    <row r="409" customFormat="false" ht="15.75" hidden="false" customHeight="false" outlineLevel="0" collapsed="false">
      <c r="A409" s="334" t="n">
        <v>6</v>
      </c>
      <c r="B409" s="269" t="n">
        <v>48366</v>
      </c>
    </row>
    <row r="410" customFormat="false" ht="15.75" hidden="false" customHeight="false" outlineLevel="0" collapsed="false">
      <c r="A410" s="334" t="n">
        <v>7</v>
      </c>
      <c r="B410" s="269" t="n">
        <v>48396</v>
      </c>
    </row>
    <row r="411" customFormat="false" ht="15.75" hidden="false" customHeight="false" outlineLevel="0" collapsed="false">
      <c r="A411" s="334" t="n">
        <v>8</v>
      </c>
      <c r="B411" s="269" t="n">
        <v>48427</v>
      </c>
    </row>
    <row r="412" customFormat="false" ht="15.75" hidden="false" customHeight="false" outlineLevel="0" collapsed="false">
      <c r="A412" s="334" t="n">
        <v>9</v>
      </c>
      <c r="B412" s="269" t="n">
        <v>48458</v>
      </c>
    </row>
    <row r="413" customFormat="false" ht="15.75" hidden="false" customHeight="false" outlineLevel="0" collapsed="false">
      <c r="A413" s="334" t="n">
        <v>10</v>
      </c>
      <c r="B413" s="269" t="n">
        <v>48488</v>
      </c>
    </row>
    <row r="414" customFormat="false" ht="15.75" hidden="false" customHeight="false" outlineLevel="0" collapsed="false">
      <c r="A414" s="334" t="n">
        <v>11</v>
      </c>
      <c r="B414" s="269" t="n">
        <v>48519</v>
      </c>
    </row>
    <row r="415" customFormat="false" ht="15.75" hidden="false" customHeight="false" outlineLevel="0" collapsed="false">
      <c r="A415" s="334" t="n">
        <v>12</v>
      </c>
      <c r="B415" s="269" t="n">
        <v>48549</v>
      </c>
    </row>
    <row r="416" customFormat="false" ht="15.75" hidden="false" customHeight="false" outlineLevel="0" collapsed="false">
      <c r="A416" s="334" t="n">
        <v>1</v>
      </c>
      <c r="B416" s="269" t="n">
        <v>48580</v>
      </c>
    </row>
    <row r="417" customFormat="false" ht="15.75" hidden="false" customHeight="false" outlineLevel="0" collapsed="false">
      <c r="A417" s="334" t="n">
        <v>2</v>
      </c>
      <c r="B417" s="269" t="n">
        <v>48611</v>
      </c>
    </row>
    <row r="418" customFormat="false" ht="15.75" hidden="false" customHeight="false" outlineLevel="0" collapsed="false">
      <c r="A418" s="334" t="n">
        <v>3</v>
      </c>
      <c r="B418" s="269" t="n">
        <v>48639</v>
      </c>
    </row>
    <row r="419" customFormat="false" ht="15.75" hidden="false" customHeight="false" outlineLevel="0" collapsed="false">
      <c r="A419" s="334" t="n">
        <v>4</v>
      </c>
      <c r="B419" s="269" t="n">
        <v>48670</v>
      </c>
    </row>
    <row r="420" customFormat="false" ht="15.75" hidden="false" customHeight="false" outlineLevel="0" collapsed="false">
      <c r="A420" s="334" t="n">
        <v>5</v>
      </c>
      <c r="B420" s="269" t="n">
        <v>48700</v>
      </c>
    </row>
    <row r="421" customFormat="false" ht="15.75" hidden="false" customHeight="false" outlineLevel="0" collapsed="false">
      <c r="A421" s="334" t="n">
        <v>6</v>
      </c>
      <c r="B421" s="269" t="n">
        <v>48731</v>
      </c>
    </row>
    <row r="422" customFormat="false" ht="15.75" hidden="false" customHeight="false" outlineLevel="0" collapsed="false">
      <c r="A422" s="334" t="n">
        <v>7</v>
      </c>
      <c r="B422" s="269" t="n">
        <v>48761</v>
      </c>
    </row>
    <row r="423" customFormat="false" ht="15.75" hidden="false" customHeight="false" outlineLevel="0" collapsed="false">
      <c r="A423" s="334" t="n">
        <v>8</v>
      </c>
      <c r="B423" s="269" t="n">
        <v>48792</v>
      </c>
    </row>
    <row r="424" customFormat="false" ht="15.75" hidden="false" customHeight="false" outlineLevel="0" collapsed="false">
      <c r="A424" s="334" t="n">
        <v>9</v>
      </c>
      <c r="B424" s="269" t="n">
        <v>48823</v>
      </c>
    </row>
    <row r="425" customFormat="false" ht="15.75" hidden="false" customHeight="false" outlineLevel="0" collapsed="false">
      <c r="A425" s="334" t="n">
        <v>10</v>
      </c>
      <c r="B425" s="269" t="n">
        <v>48853</v>
      </c>
    </row>
    <row r="426" customFormat="false" ht="15.75" hidden="false" customHeight="false" outlineLevel="0" collapsed="false">
      <c r="A426" s="334" t="n">
        <v>11</v>
      </c>
      <c r="B426" s="269" t="n">
        <v>48884</v>
      </c>
    </row>
    <row r="427" customFormat="false" ht="15.75" hidden="false" customHeight="false" outlineLevel="0" collapsed="false">
      <c r="A427" s="334" t="n">
        <v>12</v>
      </c>
      <c r="B427" s="269" t="n">
        <v>48914</v>
      </c>
    </row>
    <row r="428" customFormat="false" ht="15.75" hidden="false" customHeight="false" outlineLevel="0" collapsed="false">
      <c r="A428" s="334" t="n">
        <v>1</v>
      </c>
      <c r="B428" s="269" t="n">
        <v>48945</v>
      </c>
    </row>
    <row r="429" customFormat="false" ht="15.75" hidden="false" customHeight="false" outlineLevel="0" collapsed="false">
      <c r="A429" s="334" t="n">
        <v>2</v>
      </c>
      <c r="B429" s="269" t="n">
        <v>48976</v>
      </c>
    </row>
    <row r="430" customFormat="false" ht="15.75" hidden="false" customHeight="false" outlineLevel="0" collapsed="false">
      <c r="A430" s="334" t="n">
        <v>3</v>
      </c>
      <c r="B430" s="269" t="n">
        <v>49004</v>
      </c>
    </row>
    <row r="431" customFormat="false" ht="15.75" hidden="false" customHeight="false" outlineLevel="0" collapsed="false">
      <c r="A431" s="334" t="n">
        <v>4</v>
      </c>
      <c r="B431" s="269" t="n">
        <v>49035</v>
      </c>
    </row>
    <row r="432" customFormat="false" ht="15.75" hidden="false" customHeight="false" outlineLevel="0" collapsed="false">
      <c r="A432" s="334" t="n">
        <v>5</v>
      </c>
      <c r="B432" s="269" t="n">
        <v>49065</v>
      </c>
    </row>
    <row r="433" customFormat="false" ht="15.75" hidden="false" customHeight="false" outlineLevel="0" collapsed="false">
      <c r="A433" s="334" t="n">
        <v>6</v>
      </c>
      <c r="B433" s="269" t="n">
        <v>49096</v>
      </c>
    </row>
    <row r="434" customFormat="false" ht="15.75" hidden="false" customHeight="false" outlineLevel="0" collapsed="false">
      <c r="A434" s="334" t="n">
        <v>7</v>
      </c>
      <c r="B434" s="269" t="n">
        <v>49126</v>
      </c>
    </row>
    <row r="435" customFormat="false" ht="15.75" hidden="false" customHeight="false" outlineLevel="0" collapsed="false">
      <c r="A435" s="334" t="n">
        <v>8</v>
      </c>
      <c r="B435" s="269" t="n">
        <v>49157</v>
      </c>
    </row>
    <row r="436" customFormat="false" ht="15.75" hidden="false" customHeight="false" outlineLevel="0" collapsed="false">
      <c r="A436" s="334" t="n">
        <v>9</v>
      </c>
      <c r="B436" s="269" t="n">
        <v>49188</v>
      </c>
    </row>
    <row r="437" customFormat="false" ht="15.75" hidden="false" customHeight="false" outlineLevel="0" collapsed="false">
      <c r="A437" s="334" t="n">
        <v>10</v>
      </c>
      <c r="B437" s="269" t="n">
        <v>49218</v>
      </c>
    </row>
    <row r="438" customFormat="false" ht="15.75" hidden="false" customHeight="false" outlineLevel="0" collapsed="false">
      <c r="A438" s="334" t="n">
        <v>11</v>
      </c>
      <c r="B438" s="269" t="n">
        <v>49249</v>
      </c>
    </row>
    <row r="439" customFormat="false" ht="15.75" hidden="false" customHeight="false" outlineLevel="0" collapsed="false">
      <c r="A439" s="334" t="n">
        <v>12</v>
      </c>
      <c r="B439" s="269" t="n">
        <v>49279</v>
      </c>
    </row>
    <row r="440" customFormat="false" ht="15.75" hidden="false" customHeight="false" outlineLevel="0" collapsed="false">
      <c r="A440" s="334" t="n">
        <v>1</v>
      </c>
      <c r="B440" s="269" t="n">
        <v>49310</v>
      </c>
    </row>
    <row r="441" customFormat="false" ht="15.75" hidden="false" customHeight="false" outlineLevel="0" collapsed="false">
      <c r="A441" s="334" t="n">
        <v>2</v>
      </c>
      <c r="B441" s="269" t="n">
        <v>49341</v>
      </c>
    </row>
    <row r="442" customFormat="false" ht="15.75" hidden="false" customHeight="false" outlineLevel="0" collapsed="false">
      <c r="A442" s="334" t="n">
        <v>3</v>
      </c>
      <c r="B442" s="269" t="n">
        <v>49369</v>
      </c>
    </row>
    <row r="443" customFormat="false" ht="15.75" hidden="false" customHeight="false" outlineLevel="0" collapsed="false">
      <c r="A443" s="334" t="n">
        <v>4</v>
      </c>
      <c r="B443" s="269" t="n">
        <v>49400</v>
      </c>
    </row>
    <row r="444" customFormat="false" ht="15.75" hidden="false" customHeight="false" outlineLevel="0" collapsed="false">
      <c r="A444" s="334" t="n">
        <v>5</v>
      </c>
      <c r="B444" s="269" t="n">
        <v>49430</v>
      </c>
    </row>
    <row r="445" customFormat="false" ht="15.75" hidden="false" customHeight="false" outlineLevel="0" collapsed="false">
      <c r="A445" s="334" t="n">
        <v>6</v>
      </c>
      <c r="B445" s="269" t="n">
        <v>49461</v>
      </c>
    </row>
    <row r="446" customFormat="false" ht="15.75" hidden="false" customHeight="false" outlineLevel="0" collapsed="false">
      <c r="A446" s="334" t="n">
        <v>7</v>
      </c>
      <c r="B446" s="269" t="n">
        <v>49491</v>
      </c>
    </row>
    <row r="447" customFormat="false" ht="15.75" hidden="false" customHeight="false" outlineLevel="0" collapsed="false">
      <c r="A447" s="334" t="n">
        <v>8</v>
      </c>
      <c r="B447" s="269" t="n">
        <v>49522</v>
      </c>
    </row>
    <row r="448" customFormat="false" ht="15.75" hidden="false" customHeight="false" outlineLevel="0" collapsed="false">
      <c r="A448" s="334" t="n">
        <v>9</v>
      </c>
      <c r="B448" s="269" t="n">
        <v>49553</v>
      </c>
    </row>
    <row r="449" customFormat="false" ht="15.75" hidden="false" customHeight="false" outlineLevel="0" collapsed="false">
      <c r="A449" s="334" t="n">
        <v>10</v>
      </c>
      <c r="B449" s="269" t="n">
        <v>49583</v>
      </c>
    </row>
    <row r="450" customFormat="false" ht="15.75" hidden="false" customHeight="false" outlineLevel="0" collapsed="false">
      <c r="A450" s="334" t="n">
        <v>11</v>
      </c>
      <c r="B450" s="269" t="n">
        <v>49614</v>
      </c>
    </row>
    <row r="451" customFormat="false" ht="15.75" hidden="false" customHeight="false" outlineLevel="0" collapsed="false">
      <c r="A451" s="334" t="n">
        <v>12</v>
      </c>
      <c r="B451" s="269" t="n">
        <v>49644</v>
      </c>
    </row>
    <row r="452" customFormat="false" ht="15.75" hidden="false" customHeight="false" outlineLevel="0" collapsed="false">
      <c r="A452" s="334" t="n">
        <v>1</v>
      </c>
      <c r="B452" s="269" t="n">
        <v>49675</v>
      </c>
    </row>
    <row r="453" customFormat="false" ht="15.75" hidden="false" customHeight="false" outlineLevel="0" collapsed="false">
      <c r="A453" s="334" t="n">
        <v>2</v>
      </c>
      <c r="B453" s="269" t="n">
        <v>49706</v>
      </c>
    </row>
    <row r="454" customFormat="false" ht="15.75" hidden="false" customHeight="false" outlineLevel="0" collapsed="false">
      <c r="A454" s="334" t="n">
        <v>3</v>
      </c>
      <c r="B454" s="269" t="n">
        <v>49735</v>
      </c>
    </row>
    <row r="455" customFormat="false" ht="15.75" hidden="false" customHeight="false" outlineLevel="0" collapsed="false">
      <c r="A455" s="334" t="n">
        <v>4</v>
      </c>
      <c r="B455" s="269" t="n">
        <v>49766</v>
      </c>
    </row>
    <row r="456" customFormat="false" ht="15.75" hidden="false" customHeight="false" outlineLevel="0" collapsed="false">
      <c r="A456" s="334" t="n">
        <v>5</v>
      </c>
      <c r="B456" s="269" t="n">
        <v>49796</v>
      </c>
    </row>
    <row r="457" customFormat="false" ht="15.75" hidden="false" customHeight="false" outlineLevel="0" collapsed="false">
      <c r="A457" s="334" t="n">
        <v>6</v>
      </c>
      <c r="B457" s="269" t="n">
        <v>49827</v>
      </c>
    </row>
    <row r="458" customFormat="false" ht="15.75" hidden="false" customHeight="false" outlineLevel="0" collapsed="false">
      <c r="A458" s="334" t="n">
        <v>7</v>
      </c>
      <c r="B458" s="269" t="n">
        <v>49857</v>
      </c>
    </row>
    <row r="459" customFormat="false" ht="15.75" hidden="false" customHeight="false" outlineLevel="0" collapsed="false">
      <c r="A459" s="334" t="n">
        <v>8</v>
      </c>
      <c r="B459" s="269" t="n">
        <v>49888</v>
      </c>
    </row>
    <row r="460" customFormat="false" ht="15.75" hidden="false" customHeight="false" outlineLevel="0" collapsed="false">
      <c r="A460" s="334" t="n">
        <v>9</v>
      </c>
      <c r="B460" s="269" t="n">
        <v>49919</v>
      </c>
    </row>
    <row r="461" customFormat="false" ht="15.75" hidden="false" customHeight="false" outlineLevel="0" collapsed="false">
      <c r="A461" s="334" t="n">
        <v>10</v>
      </c>
      <c r="B461" s="269" t="n">
        <v>49949</v>
      </c>
    </row>
    <row r="462" customFormat="false" ht="15.75" hidden="false" customHeight="false" outlineLevel="0" collapsed="false">
      <c r="A462" s="334" t="n">
        <v>11</v>
      </c>
      <c r="B462" s="269" t="n">
        <v>49980</v>
      </c>
    </row>
    <row r="463" customFormat="false" ht="15.75" hidden="false" customHeight="false" outlineLevel="0" collapsed="false">
      <c r="A463" s="334" t="n">
        <v>12</v>
      </c>
      <c r="B463" s="269" t="n">
        <v>50010</v>
      </c>
    </row>
    <row r="464" customFormat="false" ht="15.75" hidden="false" customHeight="false" outlineLevel="0" collapsed="false">
      <c r="A464" s="334" t="n">
        <v>1</v>
      </c>
      <c r="B464" s="269" t="n">
        <v>50041</v>
      </c>
    </row>
    <row r="465" customFormat="false" ht="15.75" hidden="false" customHeight="false" outlineLevel="0" collapsed="false">
      <c r="A465" s="334" t="n">
        <v>2</v>
      </c>
      <c r="B465" s="269" t="n">
        <v>50072</v>
      </c>
    </row>
    <row r="466" customFormat="false" ht="15.75" hidden="false" customHeight="false" outlineLevel="0" collapsed="false">
      <c r="A466" s="334" t="n">
        <v>3</v>
      </c>
      <c r="B466" s="269" t="n">
        <v>50100</v>
      </c>
    </row>
    <row r="467" customFormat="false" ht="15.75" hidden="false" customHeight="false" outlineLevel="0" collapsed="false">
      <c r="A467" s="334" t="n">
        <v>4</v>
      </c>
      <c r="B467" s="269" t="n">
        <v>50131</v>
      </c>
    </row>
    <row r="468" customFormat="false" ht="15.75" hidden="false" customHeight="false" outlineLevel="0" collapsed="false">
      <c r="A468" s="334" t="n">
        <v>5</v>
      </c>
      <c r="B468" s="269" t="n">
        <v>50161</v>
      </c>
    </row>
    <row r="469" customFormat="false" ht="15.75" hidden="false" customHeight="false" outlineLevel="0" collapsed="false">
      <c r="A469" s="334" t="n">
        <v>6</v>
      </c>
      <c r="B469" s="269" t="n">
        <v>50192</v>
      </c>
    </row>
    <row r="470" customFormat="false" ht="15.75" hidden="false" customHeight="false" outlineLevel="0" collapsed="false">
      <c r="A470" s="334" t="n">
        <v>7</v>
      </c>
      <c r="B470" s="269" t="n">
        <v>50222</v>
      </c>
    </row>
    <row r="471" customFormat="false" ht="15.75" hidden="false" customHeight="false" outlineLevel="0" collapsed="false">
      <c r="A471" s="334" t="n">
        <v>8</v>
      </c>
      <c r="B471" s="269" t="n">
        <v>50253</v>
      </c>
    </row>
    <row r="472" customFormat="false" ht="15.75" hidden="false" customHeight="false" outlineLevel="0" collapsed="false">
      <c r="A472" s="334" t="n">
        <v>9</v>
      </c>
      <c r="B472" s="269" t="n">
        <v>50284</v>
      </c>
    </row>
    <row r="473" customFormat="false" ht="15.75" hidden="false" customHeight="false" outlineLevel="0" collapsed="false">
      <c r="A473" s="334" t="n">
        <v>10</v>
      </c>
      <c r="B473" s="269" t="n">
        <v>50314</v>
      </c>
    </row>
    <row r="474" customFormat="false" ht="15.75" hidden="false" customHeight="false" outlineLevel="0" collapsed="false">
      <c r="A474" s="334" t="n">
        <v>11</v>
      </c>
      <c r="B474" s="269" t="n">
        <v>50345</v>
      </c>
    </row>
    <row r="475" customFormat="false" ht="15.75" hidden="false" customHeight="false" outlineLevel="0" collapsed="false">
      <c r="A475" s="334" t="n">
        <v>12</v>
      </c>
      <c r="B475" s="269" t="n">
        <v>50375</v>
      </c>
    </row>
    <row r="476" customFormat="false" ht="15.75" hidden="false" customHeight="false" outlineLevel="0" collapsed="false">
      <c r="A476" s="334" t="n">
        <v>1</v>
      </c>
      <c r="B476" s="269" t="n">
        <v>50406</v>
      </c>
    </row>
    <row r="477" customFormat="false" ht="15.75" hidden="false" customHeight="false" outlineLevel="0" collapsed="false">
      <c r="A477" s="334" t="n">
        <v>2</v>
      </c>
      <c r="B477" s="269" t="n">
        <v>50437</v>
      </c>
    </row>
    <row r="478" customFormat="false" ht="15.75" hidden="false" customHeight="false" outlineLevel="0" collapsed="false">
      <c r="A478" s="334" t="n">
        <v>3</v>
      </c>
      <c r="B478" s="269" t="n">
        <v>50465</v>
      </c>
    </row>
    <row r="479" customFormat="false" ht="15.75" hidden="false" customHeight="false" outlineLevel="0" collapsed="false">
      <c r="A479" s="334" t="n">
        <v>4</v>
      </c>
      <c r="B479" s="269" t="n">
        <v>50496</v>
      </c>
    </row>
    <row r="480" customFormat="false" ht="15.75" hidden="false" customHeight="false" outlineLevel="0" collapsed="false">
      <c r="A480" s="334" t="n">
        <v>5</v>
      </c>
      <c r="B480" s="269" t="n">
        <v>50526</v>
      </c>
    </row>
    <row r="481" customFormat="false" ht="15.75" hidden="false" customHeight="false" outlineLevel="0" collapsed="false">
      <c r="A481" s="334" t="n">
        <v>6</v>
      </c>
      <c r="B481" s="269" t="n">
        <v>50557</v>
      </c>
    </row>
    <row r="482" customFormat="false" ht="15.75" hidden="false" customHeight="false" outlineLevel="0" collapsed="false">
      <c r="A482" s="334" t="n">
        <v>7</v>
      </c>
      <c r="B482" s="269" t="n">
        <v>50587</v>
      </c>
    </row>
    <row r="483" customFormat="false" ht="15.75" hidden="false" customHeight="false" outlineLevel="0" collapsed="false">
      <c r="A483" s="334" t="n">
        <v>8</v>
      </c>
      <c r="B483" s="269" t="n">
        <v>50618</v>
      </c>
    </row>
    <row r="484" customFormat="false" ht="15.75" hidden="false" customHeight="false" outlineLevel="0" collapsed="false">
      <c r="A484" s="334" t="n">
        <v>9</v>
      </c>
      <c r="B484" s="269" t="n">
        <v>50649</v>
      </c>
    </row>
    <row r="485" customFormat="false" ht="15.75" hidden="false" customHeight="false" outlineLevel="0" collapsed="false">
      <c r="A485" s="334" t="n">
        <v>10</v>
      </c>
      <c r="B485" s="269" t="n">
        <v>50679</v>
      </c>
    </row>
    <row r="486" customFormat="false" ht="15.75" hidden="false" customHeight="false" outlineLevel="0" collapsed="false">
      <c r="A486" s="334" t="n">
        <v>11</v>
      </c>
      <c r="B486" s="269" t="n">
        <v>50710</v>
      </c>
    </row>
    <row r="487" customFormat="false" ht="15.75" hidden="false" customHeight="false" outlineLevel="0" collapsed="false">
      <c r="A487" s="334" t="n">
        <v>12</v>
      </c>
      <c r="B487" s="269" t="n">
        <v>50740</v>
      </c>
    </row>
    <row r="488" customFormat="false" ht="15.75" hidden="false" customHeight="false" outlineLevel="0" collapsed="false">
      <c r="A488" s="334" t="n">
        <v>1</v>
      </c>
      <c r="B488" s="269" t="n">
        <v>50771</v>
      </c>
    </row>
    <row r="489" customFormat="false" ht="15.75" hidden="false" customHeight="false" outlineLevel="0" collapsed="false">
      <c r="A489" s="334" t="n">
        <v>2</v>
      </c>
      <c r="B489" s="269" t="n">
        <v>50802</v>
      </c>
    </row>
    <row r="490" customFormat="false" ht="15.75" hidden="false" customHeight="false" outlineLevel="0" collapsed="false">
      <c r="A490" s="334" t="n">
        <v>3</v>
      </c>
      <c r="B490" s="269" t="n">
        <v>50830</v>
      </c>
    </row>
    <row r="491" customFormat="false" ht="15.75" hidden="false" customHeight="false" outlineLevel="0" collapsed="false">
      <c r="A491" s="334" t="n">
        <v>4</v>
      </c>
      <c r="B491" s="269" t="n">
        <v>50861</v>
      </c>
    </row>
    <row r="492" customFormat="false" ht="15.75" hidden="false" customHeight="false" outlineLevel="0" collapsed="false">
      <c r="A492" s="334" t="n">
        <v>5</v>
      </c>
      <c r="B492" s="269" t="n">
        <v>50891</v>
      </c>
    </row>
    <row r="493" customFormat="false" ht="15.75" hidden="false" customHeight="false" outlineLevel="0" collapsed="false">
      <c r="A493" s="334" t="n">
        <v>6</v>
      </c>
      <c r="B493" s="269" t="n">
        <v>50922</v>
      </c>
    </row>
    <row r="494" customFormat="false" ht="15.75" hidden="false" customHeight="false" outlineLevel="0" collapsed="false">
      <c r="A494" s="334" t="n">
        <v>7</v>
      </c>
      <c r="B494" s="269" t="n">
        <v>50952</v>
      </c>
    </row>
    <row r="495" customFormat="false" ht="15.75" hidden="false" customHeight="false" outlineLevel="0" collapsed="false">
      <c r="A495" s="334" t="n">
        <v>8</v>
      </c>
      <c r="B495" s="269" t="n">
        <v>50983</v>
      </c>
    </row>
    <row r="496" customFormat="false" ht="15.75" hidden="false" customHeight="false" outlineLevel="0" collapsed="false">
      <c r="A496" s="334" t="n">
        <v>9</v>
      </c>
      <c r="B496" s="269" t="n">
        <v>51014</v>
      </c>
    </row>
    <row r="497" customFormat="false" ht="15.75" hidden="false" customHeight="false" outlineLevel="0" collapsed="false">
      <c r="A497" s="334" t="n">
        <v>10</v>
      </c>
      <c r="B497" s="269" t="n">
        <v>51044</v>
      </c>
    </row>
    <row r="498" customFormat="false" ht="15.75" hidden="false" customHeight="false" outlineLevel="0" collapsed="false">
      <c r="A498" s="334" t="n">
        <v>11</v>
      </c>
      <c r="B498" s="269" t="n">
        <v>51075</v>
      </c>
    </row>
    <row r="499" customFormat="false" ht="15.75" hidden="false" customHeight="false" outlineLevel="0" collapsed="false">
      <c r="A499" s="334" t="n">
        <v>12</v>
      </c>
      <c r="B499" s="269" t="n">
        <v>51105</v>
      </c>
    </row>
    <row r="500" customFormat="false" ht="15.75" hidden="false" customHeight="false" outlineLevel="0" collapsed="false">
      <c r="A500" s="334" t="n">
        <v>1</v>
      </c>
      <c r="B500" s="269" t="n">
        <v>51136</v>
      </c>
    </row>
    <row r="501" customFormat="false" ht="15.75" hidden="false" customHeight="false" outlineLevel="0" collapsed="false">
      <c r="A501" s="334" t="n">
        <v>2</v>
      </c>
      <c r="B501" s="269" t="n">
        <v>51167</v>
      </c>
    </row>
    <row r="502" customFormat="false" ht="15.75" hidden="false" customHeight="false" outlineLevel="0" collapsed="false">
      <c r="A502" s="334" t="n">
        <v>3</v>
      </c>
      <c r="B502" s="269" t="n">
        <v>51196</v>
      </c>
    </row>
    <row r="503" customFormat="false" ht="15.75" hidden="false" customHeight="false" outlineLevel="0" collapsed="false">
      <c r="A503" s="334" t="n">
        <v>4</v>
      </c>
      <c r="B503" s="269" t="n">
        <v>51227</v>
      </c>
    </row>
    <row r="504" customFormat="false" ht="15.75" hidden="false" customHeight="false" outlineLevel="0" collapsed="false">
      <c r="A504" s="334" t="n">
        <v>5</v>
      </c>
      <c r="B504" s="269" t="n">
        <v>51257</v>
      </c>
    </row>
    <row r="505" customFormat="false" ht="15.75" hidden="false" customHeight="false" outlineLevel="0" collapsed="false">
      <c r="A505" s="334" t="n">
        <v>6</v>
      </c>
      <c r="B505" s="269" t="n">
        <v>51288</v>
      </c>
    </row>
    <row r="506" customFormat="false" ht="15.75" hidden="false" customHeight="false" outlineLevel="0" collapsed="false">
      <c r="A506" s="334" t="n">
        <v>7</v>
      </c>
      <c r="B506" s="269" t="n">
        <v>51318</v>
      </c>
    </row>
    <row r="507" customFormat="false" ht="15.75" hidden="false" customHeight="false" outlineLevel="0" collapsed="false">
      <c r="A507" s="334" t="n">
        <v>8</v>
      </c>
      <c r="B507" s="269" t="n">
        <v>51349</v>
      </c>
    </row>
    <row r="508" customFormat="false" ht="15.75" hidden="false" customHeight="false" outlineLevel="0" collapsed="false">
      <c r="A508" s="334" t="n">
        <v>9</v>
      </c>
      <c r="B508" s="269" t="n">
        <v>51380</v>
      </c>
    </row>
    <row r="509" customFormat="false" ht="15.75" hidden="false" customHeight="false" outlineLevel="0" collapsed="false">
      <c r="A509" s="334" t="n">
        <v>10</v>
      </c>
      <c r="B509" s="269" t="n">
        <v>51410</v>
      </c>
    </row>
    <row r="510" customFormat="false" ht="15.75" hidden="false" customHeight="false" outlineLevel="0" collapsed="false">
      <c r="A510" s="334" t="n">
        <v>11</v>
      </c>
      <c r="B510" s="269" t="n">
        <v>51441</v>
      </c>
    </row>
    <row r="511" customFormat="false" ht="15.75" hidden="false" customHeight="false" outlineLevel="0" collapsed="false">
      <c r="A511" s="334" t="n">
        <v>12</v>
      </c>
      <c r="B511" s="269" t="n">
        <v>51471</v>
      </c>
    </row>
    <row r="512" customFormat="false" ht="15.75" hidden="false" customHeight="false" outlineLevel="0" collapsed="false">
      <c r="A512" s="334" t="n">
        <v>1</v>
      </c>
      <c r="B512" s="269" t="n">
        <v>51502</v>
      </c>
    </row>
    <row r="513" customFormat="false" ht="15.75" hidden="false" customHeight="false" outlineLevel="0" collapsed="false">
      <c r="A513" s="334" t="n">
        <v>2</v>
      </c>
      <c r="B513" s="269" t="n">
        <v>51533</v>
      </c>
    </row>
    <row r="514" customFormat="false" ht="15.75" hidden="false" customHeight="false" outlineLevel="0" collapsed="false">
      <c r="A514" s="334" t="n">
        <v>3</v>
      </c>
      <c r="B514" s="269" t="n">
        <v>51561</v>
      </c>
    </row>
    <row r="515" customFormat="false" ht="15.75" hidden="false" customHeight="false" outlineLevel="0" collapsed="false">
      <c r="A515" s="334" t="n">
        <v>4</v>
      </c>
      <c r="B515" s="269" t="n">
        <v>51592</v>
      </c>
    </row>
    <row r="516" customFormat="false" ht="15.75" hidden="false" customHeight="false" outlineLevel="0" collapsed="false">
      <c r="A516" s="334" t="n">
        <v>5</v>
      </c>
      <c r="B516" s="269" t="n">
        <v>51622</v>
      </c>
    </row>
    <row r="517" customFormat="false" ht="15.75" hidden="false" customHeight="false" outlineLevel="0" collapsed="false">
      <c r="A517" s="334" t="n">
        <v>6</v>
      </c>
      <c r="B517" s="269" t="n">
        <v>51653</v>
      </c>
    </row>
    <row r="518" customFormat="false" ht="15.75" hidden="false" customHeight="false" outlineLevel="0" collapsed="false">
      <c r="A518" s="334" t="n">
        <v>7</v>
      </c>
      <c r="B518" s="269" t="n">
        <v>51683</v>
      </c>
    </row>
    <row r="519" customFormat="false" ht="15.75" hidden="false" customHeight="false" outlineLevel="0" collapsed="false">
      <c r="A519" s="334" t="n">
        <v>8</v>
      </c>
      <c r="B519" s="269" t="n">
        <v>51714</v>
      </c>
    </row>
    <row r="520" customFormat="false" ht="15.75" hidden="false" customHeight="false" outlineLevel="0" collapsed="false">
      <c r="A520" s="334" t="n">
        <v>9</v>
      </c>
      <c r="B520" s="269" t="n">
        <v>51745</v>
      </c>
    </row>
    <row r="521" customFormat="false" ht="15.75" hidden="false" customHeight="false" outlineLevel="0" collapsed="false">
      <c r="A521" s="334" t="n">
        <v>10</v>
      </c>
      <c r="B521" s="269" t="n">
        <v>51775</v>
      </c>
    </row>
    <row r="522" customFormat="false" ht="15.75" hidden="false" customHeight="false" outlineLevel="0" collapsed="false">
      <c r="A522" s="334" t="n">
        <v>11</v>
      </c>
      <c r="B522" s="269" t="n">
        <v>51806</v>
      </c>
    </row>
    <row r="523" customFormat="false" ht="15.75" hidden="false" customHeight="false" outlineLevel="0" collapsed="false">
      <c r="A523" s="334" t="n">
        <v>12</v>
      </c>
      <c r="B523" s="269" t="n">
        <v>51836</v>
      </c>
    </row>
    <row r="524" customFormat="false" ht="15.75" hidden="false" customHeight="false" outlineLevel="0" collapsed="false">
      <c r="A524" s="334" t="n">
        <v>1</v>
      </c>
      <c r="B524" s="269" t="n">
        <v>51867</v>
      </c>
    </row>
    <row r="525" customFormat="false" ht="15.75" hidden="false" customHeight="false" outlineLevel="0" collapsed="false">
      <c r="A525" s="334" t="n">
        <v>2</v>
      </c>
      <c r="B525" s="269" t="n">
        <v>51898</v>
      </c>
    </row>
    <row r="526" customFormat="false" ht="15.75" hidden="false" customHeight="false" outlineLevel="0" collapsed="false">
      <c r="A526" s="334" t="n">
        <v>3</v>
      </c>
      <c r="B526" s="269" t="n">
        <v>51926</v>
      </c>
    </row>
    <row r="527" customFormat="false" ht="15.75" hidden="false" customHeight="false" outlineLevel="0" collapsed="false">
      <c r="A527" s="334" t="n">
        <v>4</v>
      </c>
      <c r="B527" s="269" t="n">
        <v>51957</v>
      </c>
    </row>
    <row r="528" customFormat="false" ht="15.75" hidden="false" customHeight="false" outlineLevel="0" collapsed="false">
      <c r="A528" s="334" t="n">
        <v>5</v>
      </c>
      <c r="B528" s="269" t="n">
        <v>51987</v>
      </c>
    </row>
    <row r="529" customFormat="false" ht="15.75" hidden="false" customHeight="false" outlineLevel="0" collapsed="false">
      <c r="A529" s="334" t="n">
        <v>6</v>
      </c>
      <c r="B529" s="269" t="n">
        <v>52018</v>
      </c>
    </row>
    <row r="530" customFormat="false" ht="15.75" hidden="false" customHeight="false" outlineLevel="0" collapsed="false">
      <c r="A530" s="334" t="n">
        <v>7</v>
      </c>
      <c r="B530" s="269" t="n">
        <v>52048</v>
      </c>
    </row>
    <row r="531" customFormat="false" ht="15.75" hidden="false" customHeight="false" outlineLevel="0" collapsed="false">
      <c r="A531" s="334" t="n">
        <v>8</v>
      </c>
      <c r="B531" s="269" t="n">
        <v>52079</v>
      </c>
    </row>
    <row r="532" customFormat="false" ht="15.75" hidden="false" customHeight="false" outlineLevel="0" collapsed="false">
      <c r="A532" s="334" t="n">
        <v>9</v>
      </c>
      <c r="B532" s="269" t="n">
        <v>52110</v>
      </c>
    </row>
    <row r="533" customFormat="false" ht="15.75" hidden="false" customHeight="false" outlineLevel="0" collapsed="false">
      <c r="A533" s="334" t="n">
        <v>10</v>
      </c>
      <c r="B533" s="269" t="n">
        <v>52140</v>
      </c>
    </row>
    <row r="534" customFormat="false" ht="15.75" hidden="false" customHeight="false" outlineLevel="0" collapsed="false">
      <c r="A534" s="334" t="n">
        <v>11</v>
      </c>
      <c r="B534" s="269" t="n">
        <v>52171</v>
      </c>
    </row>
    <row r="535" customFormat="false" ht="15.75" hidden="false" customHeight="false" outlineLevel="0" collapsed="false">
      <c r="A535" s="334" t="n">
        <v>12</v>
      </c>
      <c r="B535" s="269" t="n">
        <v>52201</v>
      </c>
    </row>
    <row r="536" customFormat="false" ht="15.75" hidden="false" customHeight="false" outlineLevel="0" collapsed="false">
      <c r="A536" s="334" t="n">
        <v>1</v>
      </c>
      <c r="B536" s="269" t="n">
        <v>52232</v>
      </c>
    </row>
    <row r="537" customFormat="false" ht="15.75" hidden="false" customHeight="false" outlineLevel="0" collapsed="false">
      <c r="A537" s="334" t="n">
        <v>2</v>
      </c>
      <c r="B537" s="269" t="n">
        <v>52263</v>
      </c>
    </row>
    <row r="538" customFormat="false" ht="15.75" hidden="false" customHeight="false" outlineLevel="0" collapsed="false">
      <c r="A538" s="334" t="n">
        <v>3</v>
      </c>
      <c r="B538" s="269" t="n">
        <v>52291</v>
      </c>
    </row>
    <row r="539" customFormat="false" ht="15.75" hidden="false" customHeight="false" outlineLevel="0" collapsed="false">
      <c r="A539" s="334" t="n">
        <v>4</v>
      </c>
      <c r="B539" s="269" t="n">
        <v>52322</v>
      </c>
    </row>
    <row r="540" customFormat="false" ht="15.75" hidden="false" customHeight="false" outlineLevel="0" collapsed="false">
      <c r="A540" s="334" t="n">
        <v>5</v>
      </c>
      <c r="B540" s="269" t="n">
        <v>52352</v>
      </c>
    </row>
    <row r="541" customFormat="false" ht="15.75" hidden="false" customHeight="false" outlineLevel="0" collapsed="false">
      <c r="A541" s="334" t="n">
        <v>6</v>
      </c>
      <c r="B541" s="269" t="n">
        <v>52383</v>
      </c>
    </row>
    <row r="542" customFormat="false" ht="15.75" hidden="false" customHeight="false" outlineLevel="0" collapsed="false">
      <c r="A542" s="334" t="n">
        <v>7</v>
      </c>
      <c r="B542" s="269" t="n">
        <v>52413</v>
      </c>
    </row>
    <row r="543" customFormat="false" ht="15.75" hidden="false" customHeight="false" outlineLevel="0" collapsed="false">
      <c r="A543" s="334" t="n">
        <v>8</v>
      </c>
      <c r="B543" s="269" t="n">
        <v>52444</v>
      </c>
    </row>
    <row r="544" customFormat="false" ht="15.75" hidden="false" customHeight="false" outlineLevel="0" collapsed="false">
      <c r="A544" s="334" t="n">
        <v>9</v>
      </c>
      <c r="B544" s="269" t="n">
        <v>52475</v>
      </c>
    </row>
    <row r="545" customFormat="false" ht="15.75" hidden="false" customHeight="false" outlineLevel="0" collapsed="false">
      <c r="A545" s="334" t="n">
        <v>10</v>
      </c>
      <c r="B545" s="269" t="n">
        <v>52505</v>
      </c>
    </row>
    <row r="546" customFormat="false" ht="15.75" hidden="false" customHeight="false" outlineLevel="0" collapsed="false">
      <c r="A546" s="334" t="n">
        <v>11</v>
      </c>
      <c r="B546" s="269" t="n">
        <v>52536</v>
      </c>
    </row>
    <row r="547" customFormat="false" ht="15.75" hidden="false" customHeight="false" outlineLevel="0" collapsed="false">
      <c r="A547" s="334" t="n">
        <v>12</v>
      </c>
      <c r="B547" s="269" t="n">
        <v>52566</v>
      </c>
    </row>
    <row r="548" customFormat="false" ht="15.75" hidden="false" customHeight="false" outlineLevel="0" collapsed="false">
      <c r="A548" s="334" t="n">
        <v>1</v>
      </c>
      <c r="B548" s="269" t="n">
        <v>52597</v>
      </c>
    </row>
    <row r="549" customFormat="false" ht="15.75" hidden="false" customHeight="false" outlineLevel="0" collapsed="false">
      <c r="A549" s="334" t="n">
        <v>2</v>
      </c>
      <c r="B549" s="269" t="n">
        <v>52628</v>
      </c>
    </row>
    <row r="550" customFormat="false" ht="15.75" hidden="false" customHeight="false" outlineLevel="0" collapsed="false">
      <c r="A550" s="334" t="n">
        <v>3</v>
      </c>
      <c r="B550" s="269" t="n">
        <v>52657</v>
      </c>
    </row>
    <row r="551" customFormat="false" ht="15.75" hidden="false" customHeight="false" outlineLevel="0" collapsed="false">
      <c r="A551" s="334" t="n">
        <v>4</v>
      </c>
      <c r="B551" s="269" t="n">
        <v>52688</v>
      </c>
    </row>
    <row r="552" customFormat="false" ht="15.75" hidden="false" customHeight="false" outlineLevel="0" collapsed="false">
      <c r="A552" s="334" t="n">
        <v>5</v>
      </c>
      <c r="B552" s="269" t="n">
        <v>52718</v>
      </c>
    </row>
    <row r="553" customFormat="false" ht="15.75" hidden="false" customHeight="false" outlineLevel="0" collapsed="false">
      <c r="A553" s="334" t="n">
        <v>6</v>
      </c>
      <c r="B553" s="269" t="n">
        <v>52749</v>
      </c>
    </row>
    <row r="554" customFormat="false" ht="15.75" hidden="false" customHeight="false" outlineLevel="0" collapsed="false">
      <c r="A554" s="334" t="n">
        <v>7</v>
      </c>
      <c r="B554" s="269" t="n">
        <v>52779</v>
      </c>
    </row>
    <row r="555" customFormat="false" ht="15.75" hidden="false" customHeight="false" outlineLevel="0" collapsed="false">
      <c r="A555" s="334" t="n">
        <v>8</v>
      </c>
      <c r="B555" s="269" t="n">
        <v>52810</v>
      </c>
    </row>
    <row r="556" customFormat="false" ht="15.75" hidden="false" customHeight="false" outlineLevel="0" collapsed="false">
      <c r="A556" s="334" t="n">
        <v>9</v>
      </c>
      <c r="B556" s="269" t="n">
        <v>52841</v>
      </c>
    </row>
    <row r="557" customFormat="false" ht="15.75" hidden="false" customHeight="false" outlineLevel="0" collapsed="false">
      <c r="A557" s="334" t="n">
        <v>10</v>
      </c>
      <c r="B557" s="269" t="n">
        <v>52871</v>
      </c>
    </row>
    <row r="558" customFormat="false" ht="15.75" hidden="false" customHeight="false" outlineLevel="0" collapsed="false">
      <c r="A558" s="334" t="n">
        <v>11</v>
      </c>
      <c r="B558" s="269" t="n">
        <v>52902</v>
      </c>
    </row>
    <row r="559" customFormat="false" ht="15.75" hidden="false" customHeight="false" outlineLevel="0" collapsed="false">
      <c r="A559" s="334" t="n">
        <v>12</v>
      </c>
      <c r="B559" s="269" t="n">
        <v>52932</v>
      </c>
    </row>
    <row r="560" customFormat="false" ht="15.75" hidden="false" customHeight="false" outlineLevel="0" collapsed="false">
      <c r="A560" s="334" t="n">
        <v>1</v>
      </c>
      <c r="B560" s="269" t="n">
        <v>52963</v>
      </c>
    </row>
    <row r="561" customFormat="false" ht="15.75" hidden="false" customHeight="false" outlineLevel="0" collapsed="false">
      <c r="A561" s="334" t="n">
        <v>2</v>
      </c>
      <c r="B561" s="269" t="n">
        <v>52994</v>
      </c>
    </row>
    <row r="562" customFormat="false" ht="15.75" hidden="false" customHeight="false" outlineLevel="0" collapsed="false">
      <c r="A562" s="334" t="n">
        <v>3</v>
      </c>
      <c r="B562" s="269" t="n">
        <v>53022</v>
      </c>
    </row>
    <row r="563" customFormat="false" ht="15.75" hidden="false" customHeight="false" outlineLevel="0" collapsed="false">
      <c r="A563" s="334" t="n">
        <v>4</v>
      </c>
      <c r="B563" s="269" t="n">
        <v>53053</v>
      </c>
    </row>
    <row r="564" customFormat="false" ht="15.75" hidden="false" customHeight="false" outlineLevel="0" collapsed="false">
      <c r="A564" s="334" t="n">
        <v>5</v>
      </c>
      <c r="B564" s="269" t="n">
        <v>53083</v>
      </c>
    </row>
    <row r="565" customFormat="false" ht="15.75" hidden="false" customHeight="false" outlineLevel="0" collapsed="false">
      <c r="A565" s="334" t="n">
        <v>6</v>
      </c>
      <c r="B565" s="269" t="n">
        <v>53114</v>
      </c>
    </row>
    <row r="566" customFormat="false" ht="15.75" hidden="false" customHeight="false" outlineLevel="0" collapsed="false">
      <c r="A566" s="334" t="n">
        <v>7</v>
      </c>
      <c r="B566" s="269" t="n">
        <v>53144</v>
      </c>
    </row>
    <row r="567" customFormat="false" ht="15.75" hidden="false" customHeight="false" outlineLevel="0" collapsed="false">
      <c r="A567" s="334" t="n">
        <v>8</v>
      </c>
      <c r="B567" s="269" t="n">
        <v>53175</v>
      </c>
    </row>
    <row r="568" customFormat="false" ht="15.75" hidden="false" customHeight="false" outlineLevel="0" collapsed="false">
      <c r="A568" s="334" t="n">
        <v>9</v>
      </c>
      <c r="B568" s="269" t="n">
        <v>53206</v>
      </c>
    </row>
    <row r="569" customFormat="false" ht="15.75" hidden="false" customHeight="false" outlineLevel="0" collapsed="false">
      <c r="A569" s="334" t="n">
        <v>10</v>
      </c>
      <c r="B569" s="269" t="n">
        <v>53236</v>
      </c>
    </row>
    <row r="570" customFormat="false" ht="15.75" hidden="false" customHeight="false" outlineLevel="0" collapsed="false">
      <c r="A570" s="334" t="n">
        <v>11</v>
      </c>
      <c r="B570" s="269" t="n">
        <v>53267</v>
      </c>
    </row>
    <row r="571" customFormat="false" ht="15.75" hidden="false" customHeight="false" outlineLevel="0" collapsed="false">
      <c r="A571" s="334" t="n">
        <v>12</v>
      </c>
      <c r="B571" s="269" t="n">
        <v>53297</v>
      </c>
    </row>
    <row r="572" customFormat="false" ht="15.75" hidden="false" customHeight="false" outlineLevel="0" collapsed="false">
      <c r="A572" s="334" t="n">
        <v>1</v>
      </c>
      <c r="B572" s="269" t="n">
        <v>53328</v>
      </c>
    </row>
    <row r="573" customFormat="false" ht="15.75" hidden="false" customHeight="false" outlineLevel="0" collapsed="false">
      <c r="A573" s="334" t="n">
        <v>2</v>
      </c>
      <c r="B573" s="269" t="n">
        <v>53359</v>
      </c>
    </row>
    <row r="574" customFormat="false" ht="15.75" hidden="false" customHeight="false" outlineLevel="0" collapsed="false">
      <c r="A574" s="334" t="n">
        <v>3</v>
      </c>
      <c r="B574" s="269" t="n">
        <v>53387</v>
      </c>
    </row>
    <row r="575" customFormat="false" ht="15.75" hidden="false" customHeight="false" outlineLevel="0" collapsed="false">
      <c r="A575" s="334" t="n">
        <v>4</v>
      </c>
      <c r="B575" s="269" t="n">
        <v>53418</v>
      </c>
    </row>
    <row r="576" customFormat="false" ht="15.75" hidden="false" customHeight="false" outlineLevel="0" collapsed="false">
      <c r="A576" s="334" t="n">
        <v>5</v>
      </c>
      <c r="B576" s="269" t="n">
        <v>53448</v>
      </c>
    </row>
    <row r="577" customFormat="false" ht="15.75" hidden="false" customHeight="false" outlineLevel="0" collapsed="false">
      <c r="A577" s="334" t="n">
        <v>6</v>
      </c>
      <c r="B577" s="269" t="n">
        <v>53479</v>
      </c>
    </row>
    <row r="578" customFormat="false" ht="15.75" hidden="false" customHeight="false" outlineLevel="0" collapsed="false">
      <c r="A578" s="334" t="n">
        <v>7</v>
      </c>
      <c r="B578" s="269" t="n">
        <v>53509</v>
      </c>
    </row>
    <row r="579" customFormat="false" ht="15.75" hidden="false" customHeight="false" outlineLevel="0" collapsed="false">
      <c r="A579" s="334" t="n">
        <v>8</v>
      </c>
      <c r="B579" s="269" t="n">
        <v>53540</v>
      </c>
    </row>
    <row r="580" customFormat="false" ht="15.75" hidden="false" customHeight="false" outlineLevel="0" collapsed="false">
      <c r="A580" s="334" t="n">
        <v>9</v>
      </c>
      <c r="B580" s="269" t="n">
        <v>53571</v>
      </c>
    </row>
    <row r="581" customFormat="false" ht="15.75" hidden="false" customHeight="false" outlineLevel="0" collapsed="false">
      <c r="A581" s="334" t="n">
        <v>10</v>
      </c>
      <c r="B581" s="269" t="n">
        <v>53601</v>
      </c>
    </row>
    <row r="582" customFormat="false" ht="15.75" hidden="false" customHeight="false" outlineLevel="0" collapsed="false">
      <c r="A582" s="334" t="n">
        <v>11</v>
      </c>
      <c r="B582" s="269" t="n">
        <v>53632</v>
      </c>
    </row>
    <row r="583" customFormat="false" ht="15.75" hidden="false" customHeight="false" outlineLevel="0" collapsed="false">
      <c r="A583" s="334" t="n">
        <v>12</v>
      </c>
      <c r="B583" s="269" t="n">
        <v>53662</v>
      </c>
    </row>
    <row r="584" customFormat="false" ht="15.75" hidden="false" customHeight="false" outlineLevel="0" collapsed="false">
      <c r="A584" s="334" t="n">
        <v>1</v>
      </c>
      <c r="B584" s="269" t="n">
        <v>53693</v>
      </c>
    </row>
    <row r="585" customFormat="false" ht="15.75" hidden="false" customHeight="false" outlineLevel="0" collapsed="false">
      <c r="A585" s="334" t="n">
        <v>2</v>
      </c>
      <c r="B585" s="269" t="n">
        <v>53724</v>
      </c>
    </row>
    <row r="586" customFormat="false" ht="15.75" hidden="false" customHeight="false" outlineLevel="0" collapsed="false">
      <c r="A586" s="334" t="n">
        <v>3</v>
      </c>
      <c r="B586" s="269" t="n">
        <v>53752</v>
      </c>
    </row>
    <row r="587" customFormat="false" ht="15.75" hidden="false" customHeight="false" outlineLevel="0" collapsed="false">
      <c r="A587" s="334" t="n">
        <v>4</v>
      </c>
      <c r="B587" s="269" t="n">
        <v>53783</v>
      </c>
    </row>
    <row r="588" customFormat="false" ht="15.75" hidden="false" customHeight="false" outlineLevel="0" collapsed="false">
      <c r="A588" s="334" t="n">
        <v>5</v>
      </c>
      <c r="B588" s="269" t="n">
        <v>53813</v>
      </c>
    </row>
    <row r="589" customFormat="false" ht="15.75" hidden="false" customHeight="false" outlineLevel="0" collapsed="false">
      <c r="A589" s="334" t="n">
        <v>6</v>
      </c>
      <c r="B589" s="269" t="n">
        <v>53844</v>
      </c>
    </row>
    <row r="590" customFormat="false" ht="15.75" hidden="false" customHeight="false" outlineLevel="0" collapsed="false">
      <c r="A590" s="334" t="n">
        <v>7</v>
      </c>
      <c r="B590" s="269" t="n">
        <v>53874</v>
      </c>
    </row>
    <row r="591" customFormat="false" ht="15.75" hidden="false" customHeight="false" outlineLevel="0" collapsed="false">
      <c r="A591" s="334" t="n">
        <v>8</v>
      </c>
      <c r="B591" s="269" t="n">
        <v>53905</v>
      </c>
    </row>
    <row r="592" customFormat="false" ht="15.75" hidden="false" customHeight="false" outlineLevel="0" collapsed="false">
      <c r="A592" s="334" t="n">
        <v>9</v>
      </c>
      <c r="B592" s="269" t="n">
        <v>53936</v>
      </c>
    </row>
    <row r="593" customFormat="false" ht="15.75" hidden="false" customHeight="false" outlineLevel="0" collapsed="false">
      <c r="A593" s="334" t="n">
        <v>10</v>
      </c>
      <c r="B593" s="269" t="n">
        <v>53966</v>
      </c>
    </row>
    <row r="594" customFormat="false" ht="15.75" hidden="false" customHeight="false" outlineLevel="0" collapsed="false">
      <c r="A594" s="334" t="n">
        <v>11</v>
      </c>
      <c r="B594" s="269" t="n">
        <v>53997</v>
      </c>
    </row>
    <row r="595" customFormat="false" ht="15.75" hidden="false" customHeight="false" outlineLevel="0" collapsed="false">
      <c r="A595" s="334" t="n">
        <v>12</v>
      </c>
      <c r="B595" s="269" t="n">
        <v>54027</v>
      </c>
    </row>
    <row r="596" customFormat="false" ht="15.75" hidden="false" customHeight="false" outlineLevel="0" collapsed="false">
      <c r="A596" s="334" t="n">
        <v>1</v>
      </c>
      <c r="B596" s="269" t="n">
        <v>54058</v>
      </c>
    </row>
    <row r="597" customFormat="false" ht="15.75" hidden="false" customHeight="false" outlineLevel="0" collapsed="false">
      <c r="A597" s="334" t="n">
        <v>2</v>
      </c>
      <c r="B597" s="269" t="n">
        <v>54089</v>
      </c>
    </row>
    <row r="598" customFormat="false" ht="15.75" hidden="false" customHeight="false" outlineLevel="0" collapsed="false">
      <c r="A598" s="334" t="n">
        <v>3</v>
      </c>
      <c r="B598" s="269" t="n">
        <v>54118</v>
      </c>
    </row>
    <row r="599" customFormat="false" ht="15.75" hidden="false" customHeight="false" outlineLevel="0" collapsed="false">
      <c r="A599" s="334" t="n">
        <v>4</v>
      </c>
      <c r="B599" s="269" t="n">
        <v>54149</v>
      </c>
    </row>
    <row r="600" customFormat="false" ht="15.75" hidden="false" customHeight="false" outlineLevel="0" collapsed="false">
      <c r="A600" s="334" t="n">
        <v>5</v>
      </c>
      <c r="B600" s="269" t="n">
        <v>54179</v>
      </c>
    </row>
    <row r="601" customFormat="false" ht="15.75" hidden="false" customHeight="false" outlineLevel="0" collapsed="false">
      <c r="A601" s="334" t="n">
        <v>6</v>
      </c>
      <c r="B601" s="269" t="n">
        <v>54210</v>
      </c>
    </row>
    <row r="602" customFormat="false" ht="15.75" hidden="false" customHeight="false" outlineLevel="0" collapsed="false">
      <c r="A602" s="334" t="n">
        <v>7</v>
      </c>
      <c r="B602" s="269" t="n">
        <v>54240</v>
      </c>
    </row>
    <row r="603" customFormat="false" ht="15.75" hidden="false" customHeight="false" outlineLevel="0" collapsed="false">
      <c r="A603" s="334" t="n">
        <v>8</v>
      </c>
      <c r="B603" s="269" t="n">
        <v>54271</v>
      </c>
    </row>
    <row r="604" customFormat="false" ht="15.75" hidden="false" customHeight="false" outlineLevel="0" collapsed="false">
      <c r="A604" s="334" t="n">
        <v>9</v>
      </c>
      <c r="B604" s="269" t="n">
        <v>54302</v>
      </c>
    </row>
    <row r="605" customFormat="false" ht="15.75" hidden="false" customHeight="false" outlineLevel="0" collapsed="false">
      <c r="A605" s="334" t="n">
        <v>10</v>
      </c>
      <c r="B605" s="269" t="n">
        <v>54332</v>
      </c>
    </row>
    <row r="606" customFormat="false" ht="15.75" hidden="false" customHeight="false" outlineLevel="0" collapsed="false">
      <c r="A606" s="334" t="n">
        <v>11</v>
      </c>
      <c r="B606" s="269" t="n">
        <v>54363</v>
      </c>
    </row>
    <row r="607" customFormat="false" ht="15.75" hidden="false" customHeight="false" outlineLevel="0" collapsed="false">
      <c r="A607" s="334" t="n">
        <v>12</v>
      </c>
      <c r="B607" s="269" t="n">
        <v>54393</v>
      </c>
    </row>
    <row r="608" customFormat="false" ht="15.75" hidden="false" customHeight="false" outlineLevel="0" collapsed="false">
      <c r="A608" s="334" t="n">
        <v>1</v>
      </c>
      <c r="B608" s="269" t="n">
        <v>54424</v>
      </c>
    </row>
    <row r="609" customFormat="false" ht="15.75" hidden="false" customHeight="false" outlineLevel="0" collapsed="false">
      <c r="A609" s="334" t="n">
        <v>2</v>
      </c>
      <c r="B609" s="269" t="n">
        <v>54455</v>
      </c>
    </row>
    <row r="610" customFormat="false" ht="15.75" hidden="false" customHeight="false" outlineLevel="0" collapsed="false">
      <c r="A610" s="334" t="n">
        <v>3</v>
      </c>
      <c r="B610" s="269" t="n">
        <v>54483</v>
      </c>
    </row>
    <row r="611" customFormat="false" ht="15.75" hidden="false" customHeight="false" outlineLevel="0" collapsed="false">
      <c r="A611" s="334" t="n">
        <v>4</v>
      </c>
      <c r="B611" s="269" t="n">
        <v>54514</v>
      </c>
    </row>
    <row r="612" customFormat="false" ht="15.75" hidden="false" customHeight="false" outlineLevel="0" collapsed="false">
      <c r="A612" s="334" t="n">
        <v>5</v>
      </c>
      <c r="B612" s="269" t="n">
        <v>54544</v>
      </c>
    </row>
    <row r="613" customFormat="false" ht="15.75" hidden="false" customHeight="false" outlineLevel="0" collapsed="false">
      <c r="A613" s="334" t="n">
        <v>6</v>
      </c>
      <c r="B613" s="269" t="n">
        <v>54575</v>
      </c>
    </row>
    <row r="614" customFormat="false" ht="15.75" hidden="false" customHeight="false" outlineLevel="0" collapsed="false">
      <c r="A614" s="334" t="n">
        <v>7</v>
      </c>
      <c r="B614" s="269" t="n">
        <v>54605</v>
      </c>
    </row>
    <row r="615" customFormat="false" ht="15.75" hidden="false" customHeight="false" outlineLevel="0" collapsed="false">
      <c r="A615" s="334" t="n">
        <v>8</v>
      </c>
      <c r="B615" s="269" t="n">
        <v>54636</v>
      </c>
    </row>
    <row r="616" customFormat="false" ht="15.75" hidden="false" customHeight="false" outlineLevel="0" collapsed="false">
      <c r="A616" s="334" t="n">
        <v>9</v>
      </c>
      <c r="B616" s="269" t="n">
        <v>54667</v>
      </c>
    </row>
    <row r="617" customFormat="false" ht="15.75" hidden="false" customHeight="false" outlineLevel="0" collapsed="false">
      <c r="A617" s="334" t="n">
        <v>10</v>
      </c>
      <c r="B617" s="269" t="n">
        <v>54697</v>
      </c>
    </row>
    <row r="618" customFormat="false" ht="15.75" hidden="false" customHeight="false" outlineLevel="0" collapsed="false">
      <c r="A618" s="334" t="n">
        <v>11</v>
      </c>
      <c r="B618" s="269" t="n">
        <v>54728</v>
      </c>
    </row>
    <row r="619" customFormat="false" ht="15.75" hidden="false" customHeight="false" outlineLevel="0" collapsed="false">
      <c r="A619" s="334" t="n">
        <v>12</v>
      </c>
      <c r="B619" s="269" t="n">
        <v>54758</v>
      </c>
    </row>
    <row r="620" customFormat="false" ht="15.75" hidden="false" customHeight="false" outlineLevel="0" collapsed="false">
      <c r="A620" s="334" t="n">
        <v>1</v>
      </c>
      <c r="B620" s="269" t="n">
        <v>54789</v>
      </c>
    </row>
    <row r="621" customFormat="false" ht="15.75" hidden="false" customHeight="false" outlineLevel="0" collapsed="false">
      <c r="A621" s="334" t="n">
        <v>2</v>
      </c>
      <c r="B621" s="269" t="n">
        <v>54820</v>
      </c>
    </row>
    <row r="622" customFormat="false" ht="15.75" hidden="false" customHeight="false" outlineLevel="0" collapsed="false">
      <c r="A622" s="334" t="n">
        <v>3</v>
      </c>
      <c r="B622" s="269" t="n">
        <v>54848</v>
      </c>
    </row>
    <row r="623" customFormat="false" ht="15.75" hidden="false" customHeight="false" outlineLevel="0" collapsed="false">
      <c r="A623" s="334" t="n">
        <v>4</v>
      </c>
      <c r="B623" s="269" t="n">
        <v>54879</v>
      </c>
    </row>
    <row r="624" customFormat="false" ht="15.75" hidden="false" customHeight="false" outlineLevel="0" collapsed="false">
      <c r="A624" s="334" t="n">
        <v>5</v>
      </c>
      <c r="B624" s="269" t="n">
        <v>54909</v>
      </c>
    </row>
    <row r="625" customFormat="false" ht="15.75" hidden="false" customHeight="false" outlineLevel="0" collapsed="false">
      <c r="A625" s="334" t="n">
        <v>6</v>
      </c>
      <c r="B625" s="269" t="n">
        <v>54940</v>
      </c>
    </row>
    <row r="626" customFormat="false" ht="15.75" hidden="false" customHeight="false" outlineLevel="0" collapsed="false">
      <c r="A626" s="334" t="n">
        <v>7</v>
      </c>
      <c r="B626" s="269" t="n">
        <v>54970</v>
      </c>
    </row>
    <row r="627" customFormat="false" ht="15.75" hidden="false" customHeight="false" outlineLevel="0" collapsed="false">
      <c r="A627" s="334" t="n">
        <v>8</v>
      </c>
      <c r="B627" s="269" t="n">
        <v>55001</v>
      </c>
    </row>
    <row r="628" customFormat="false" ht="15.75" hidden="false" customHeight="false" outlineLevel="0" collapsed="false">
      <c r="A628" s="334" t="n">
        <v>9</v>
      </c>
      <c r="B628" s="269" t="n">
        <v>55032</v>
      </c>
    </row>
    <row r="629" customFormat="false" ht="15.75" hidden="false" customHeight="false" outlineLevel="0" collapsed="false">
      <c r="A629" s="334" t="n">
        <v>10</v>
      </c>
      <c r="B629" s="269" t="n">
        <v>55062</v>
      </c>
    </row>
    <row r="630" customFormat="false" ht="15.75" hidden="false" customHeight="false" outlineLevel="0" collapsed="false">
      <c r="A630" s="334" t="n">
        <v>11</v>
      </c>
      <c r="B630" s="269" t="n">
        <v>55093</v>
      </c>
    </row>
    <row r="631" customFormat="false" ht="15.75" hidden="false" customHeight="false" outlineLevel="0" collapsed="false">
      <c r="A631" s="334" t="n">
        <v>12</v>
      </c>
      <c r="B631" s="269" t="n">
        <v>55123</v>
      </c>
    </row>
    <row r="632" customFormat="false" ht="15.75" hidden="false" customHeight="false" outlineLevel="0" collapsed="false">
      <c r="A632" s="334" t="n">
        <v>1</v>
      </c>
      <c r="B632" s="269" t="n">
        <v>55154</v>
      </c>
    </row>
    <row r="633" customFormat="false" ht="15.75" hidden="false" customHeight="false" outlineLevel="0" collapsed="false">
      <c r="A633" s="334" t="n">
        <v>2</v>
      </c>
      <c r="B633" s="269" t="n">
        <v>55185</v>
      </c>
    </row>
    <row r="634" customFormat="false" ht="15.75" hidden="false" customHeight="false" outlineLevel="0" collapsed="false">
      <c r="A634" s="334" t="n">
        <v>3</v>
      </c>
      <c r="B634" s="269" t="n">
        <v>55213</v>
      </c>
    </row>
    <row r="635" customFormat="false" ht="15.75" hidden="false" customHeight="false" outlineLevel="0" collapsed="false">
      <c r="A635" s="334" t="n">
        <v>4</v>
      </c>
      <c r="B635" s="269" t="n">
        <v>55244</v>
      </c>
    </row>
    <row r="636" customFormat="false" ht="15.75" hidden="false" customHeight="false" outlineLevel="0" collapsed="false">
      <c r="A636" s="334" t="n">
        <v>5</v>
      </c>
      <c r="B636" s="269" t="n">
        <v>55274</v>
      </c>
    </row>
    <row r="637" customFormat="false" ht="15.75" hidden="false" customHeight="false" outlineLevel="0" collapsed="false">
      <c r="A637" s="334" t="n">
        <v>6</v>
      </c>
      <c r="B637" s="269" t="n">
        <v>55305</v>
      </c>
    </row>
    <row r="638" customFormat="false" ht="15.75" hidden="false" customHeight="false" outlineLevel="0" collapsed="false">
      <c r="A638" s="334" t="n">
        <v>7</v>
      </c>
      <c r="B638" s="269" t="n">
        <v>55335</v>
      </c>
    </row>
    <row r="639" customFormat="false" ht="15.75" hidden="false" customHeight="false" outlineLevel="0" collapsed="false">
      <c r="A639" s="334" t="n">
        <v>8</v>
      </c>
      <c r="B639" s="269" t="n">
        <v>55366</v>
      </c>
    </row>
    <row r="640" customFormat="false" ht="15.75" hidden="false" customHeight="false" outlineLevel="0" collapsed="false">
      <c r="A640" s="334" t="n">
        <v>9</v>
      </c>
      <c r="B640" s="269" t="n">
        <v>55397</v>
      </c>
    </row>
    <row r="641" customFormat="false" ht="15.75" hidden="false" customHeight="false" outlineLevel="0" collapsed="false">
      <c r="A641" s="334" t="n">
        <v>10</v>
      </c>
      <c r="B641" s="269" t="n">
        <v>55427</v>
      </c>
    </row>
    <row r="642" customFormat="false" ht="15.75" hidden="false" customHeight="false" outlineLevel="0" collapsed="false">
      <c r="A642" s="334" t="n">
        <v>11</v>
      </c>
      <c r="B642" s="269" t="n">
        <v>55458</v>
      </c>
    </row>
    <row r="643" customFormat="false" ht="15.75" hidden="false" customHeight="false" outlineLevel="0" collapsed="false">
      <c r="A643" s="334" t="n">
        <v>12</v>
      </c>
      <c r="B643" s="269" t="n">
        <v>55488</v>
      </c>
    </row>
    <row r="644" customFormat="false" ht="15.75" hidden="false" customHeight="false" outlineLevel="0" collapsed="false">
      <c r="A644" s="334" t="n">
        <v>1</v>
      </c>
      <c r="B644" s="269" t="n">
        <v>55519</v>
      </c>
    </row>
    <row r="645" customFormat="false" ht="15.75" hidden="false" customHeight="false" outlineLevel="0" collapsed="false">
      <c r="A645" s="334" t="n">
        <v>2</v>
      </c>
      <c r="B645" s="269" t="n">
        <v>55550</v>
      </c>
    </row>
    <row r="646" customFormat="false" ht="15.75" hidden="false" customHeight="false" outlineLevel="0" collapsed="false">
      <c r="A646" s="334" t="n">
        <v>3</v>
      </c>
      <c r="B646" s="269" t="n">
        <v>55579</v>
      </c>
    </row>
    <row r="647" customFormat="false" ht="15.75" hidden="false" customHeight="false" outlineLevel="0" collapsed="false">
      <c r="A647" s="334" t="n">
        <v>4</v>
      </c>
      <c r="B647" s="269" t="n">
        <v>55610</v>
      </c>
    </row>
    <row r="648" customFormat="false" ht="15.75" hidden="false" customHeight="false" outlineLevel="0" collapsed="false">
      <c r="A648" s="334" t="n">
        <v>5</v>
      </c>
      <c r="B648" s="269" t="n">
        <v>55640</v>
      </c>
    </row>
    <row r="649" customFormat="false" ht="15.75" hidden="false" customHeight="false" outlineLevel="0" collapsed="false">
      <c r="A649" s="334" t="n">
        <v>6</v>
      </c>
      <c r="B649" s="269" t="n">
        <v>55671</v>
      </c>
    </row>
    <row r="650" customFormat="false" ht="15.75" hidden="false" customHeight="false" outlineLevel="0" collapsed="false">
      <c r="A650" s="334" t="n">
        <v>7</v>
      </c>
      <c r="B650" s="269" t="n">
        <v>55701</v>
      </c>
    </row>
    <row r="651" customFormat="false" ht="15.75" hidden="false" customHeight="false" outlineLevel="0" collapsed="false">
      <c r="A651" s="334" t="n">
        <v>8</v>
      </c>
      <c r="B651" s="269" t="n">
        <v>55732</v>
      </c>
    </row>
    <row r="652" customFormat="false" ht="15.75" hidden="false" customHeight="false" outlineLevel="0" collapsed="false">
      <c r="A652" s="334" t="n">
        <v>9</v>
      </c>
      <c r="B652" s="269" t="n">
        <v>55763</v>
      </c>
    </row>
    <row r="653" customFormat="false" ht="15.75" hidden="false" customHeight="false" outlineLevel="0" collapsed="false">
      <c r="A653" s="334" t="n">
        <v>10</v>
      </c>
      <c r="B653" s="269" t="n">
        <v>55793</v>
      </c>
    </row>
    <row r="654" customFormat="false" ht="15.75" hidden="false" customHeight="false" outlineLevel="0" collapsed="false">
      <c r="A654" s="334" t="n">
        <v>11</v>
      </c>
      <c r="B654" s="269" t="n">
        <v>55824</v>
      </c>
    </row>
    <row r="655" customFormat="false" ht="15.75" hidden="false" customHeight="false" outlineLevel="0" collapsed="false">
      <c r="A655" s="334" t="n">
        <v>12</v>
      </c>
      <c r="B655" s="269" t="n">
        <v>55854</v>
      </c>
    </row>
    <row r="656" customFormat="false" ht="15.75" hidden="false" customHeight="false" outlineLevel="0" collapsed="false">
      <c r="A656" s="334" t="n">
        <v>1</v>
      </c>
      <c r="B656" s="269" t="n">
        <v>55885</v>
      </c>
    </row>
    <row r="657" customFormat="false" ht="15.75" hidden="false" customHeight="false" outlineLevel="0" collapsed="false">
      <c r="A657" s="334" t="n">
        <v>2</v>
      </c>
      <c r="B657" s="269" t="n">
        <v>55916</v>
      </c>
    </row>
    <row r="658" customFormat="false" ht="15.75" hidden="false" customHeight="false" outlineLevel="0" collapsed="false">
      <c r="A658" s="334" t="n">
        <v>3</v>
      </c>
      <c r="B658" s="269" t="n">
        <v>55944</v>
      </c>
    </row>
    <row r="659" customFormat="false" ht="15.75" hidden="false" customHeight="false" outlineLevel="0" collapsed="false">
      <c r="A659" s="334" t="n">
        <v>4</v>
      </c>
      <c r="B659" s="269" t="n">
        <v>55975</v>
      </c>
    </row>
    <row r="660" customFormat="false" ht="15.75" hidden="false" customHeight="false" outlineLevel="0" collapsed="false">
      <c r="A660" s="334" t="n">
        <v>5</v>
      </c>
      <c r="B660" s="269" t="n">
        <v>56005</v>
      </c>
    </row>
    <row r="661" customFormat="false" ht="15.75" hidden="false" customHeight="false" outlineLevel="0" collapsed="false">
      <c r="A661" s="334" t="n">
        <v>6</v>
      </c>
      <c r="B661" s="269" t="n">
        <v>56036</v>
      </c>
    </row>
    <row r="662" customFormat="false" ht="15.75" hidden="false" customHeight="false" outlineLevel="0" collapsed="false">
      <c r="A662" s="334" t="n">
        <v>7</v>
      </c>
      <c r="B662" s="269" t="n">
        <v>56066</v>
      </c>
    </row>
    <row r="663" customFormat="false" ht="15.75" hidden="false" customHeight="false" outlineLevel="0" collapsed="false">
      <c r="A663" s="334" t="n">
        <v>8</v>
      </c>
      <c r="B663" s="269" t="n">
        <v>56097</v>
      </c>
    </row>
    <row r="664" customFormat="false" ht="15.75" hidden="false" customHeight="false" outlineLevel="0" collapsed="false">
      <c r="A664" s="334" t="n">
        <v>9</v>
      </c>
      <c r="B664" s="269" t="n">
        <v>56128</v>
      </c>
    </row>
    <row r="665" customFormat="false" ht="15.75" hidden="false" customHeight="false" outlineLevel="0" collapsed="false">
      <c r="A665" s="334" t="n">
        <v>10</v>
      </c>
      <c r="B665" s="269" t="n">
        <v>56158</v>
      </c>
    </row>
    <row r="666" customFormat="false" ht="15.75" hidden="false" customHeight="false" outlineLevel="0" collapsed="false">
      <c r="A666" s="334" t="n">
        <v>11</v>
      </c>
      <c r="B666" s="269" t="n">
        <v>56189</v>
      </c>
    </row>
    <row r="667" customFormat="false" ht="15.75" hidden="false" customHeight="false" outlineLevel="0" collapsed="false">
      <c r="A667" s="334" t="n">
        <v>12</v>
      </c>
      <c r="B667" s="269" t="n">
        <v>56219</v>
      </c>
    </row>
    <row r="668" customFormat="false" ht="15.75" hidden="false" customHeight="false" outlineLevel="0" collapsed="false">
      <c r="A668" s="334" t="n">
        <v>1</v>
      </c>
      <c r="B668" s="269" t="n">
        <v>56250</v>
      </c>
    </row>
    <row r="669" customFormat="false" ht="15.75" hidden="false" customHeight="false" outlineLevel="0" collapsed="false">
      <c r="A669" s="334" t="n">
        <v>2</v>
      </c>
      <c r="B669" s="269" t="n">
        <v>56281</v>
      </c>
    </row>
    <row r="670" customFormat="false" ht="15.75" hidden="false" customHeight="false" outlineLevel="0" collapsed="false">
      <c r="A670" s="334" t="n">
        <v>3</v>
      </c>
      <c r="B670" s="269" t="n">
        <v>56309</v>
      </c>
    </row>
    <row r="671" customFormat="false" ht="15.75" hidden="false" customHeight="false" outlineLevel="0" collapsed="false">
      <c r="A671" s="334" t="n">
        <v>4</v>
      </c>
      <c r="B671" s="269" t="n">
        <v>56340</v>
      </c>
    </row>
    <row r="672" customFormat="false" ht="15.75" hidden="false" customHeight="false" outlineLevel="0" collapsed="false">
      <c r="A672" s="334" t="n">
        <v>5</v>
      </c>
      <c r="B672" s="269" t="n">
        <v>56370</v>
      </c>
    </row>
    <row r="673" customFormat="false" ht="15.75" hidden="false" customHeight="false" outlineLevel="0" collapsed="false">
      <c r="A673" s="334" t="n">
        <v>6</v>
      </c>
      <c r="B673" s="269" t="n">
        <v>56401</v>
      </c>
    </row>
    <row r="674" customFormat="false" ht="15.75" hidden="false" customHeight="false" outlineLevel="0" collapsed="false">
      <c r="A674" s="334" t="n">
        <v>7</v>
      </c>
      <c r="B674" s="269" t="n">
        <v>56431</v>
      </c>
    </row>
    <row r="675" customFormat="false" ht="15.75" hidden="false" customHeight="false" outlineLevel="0" collapsed="false">
      <c r="A675" s="334" t="n">
        <v>8</v>
      </c>
      <c r="B675" s="269" t="n">
        <v>56462</v>
      </c>
    </row>
    <row r="676" customFormat="false" ht="15.75" hidden="false" customHeight="false" outlineLevel="0" collapsed="false">
      <c r="A676" s="334" t="n">
        <v>9</v>
      </c>
      <c r="B676" s="269" t="n">
        <v>56493</v>
      </c>
    </row>
    <row r="677" customFormat="false" ht="15.75" hidden="false" customHeight="false" outlineLevel="0" collapsed="false">
      <c r="A677" s="334" t="n">
        <v>10</v>
      </c>
      <c r="B677" s="269" t="n">
        <v>56523</v>
      </c>
    </row>
    <row r="678" customFormat="false" ht="15.75" hidden="false" customHeight="false" outlineLevel="0" collapsed="false">
      <c r="A678" s="334" t="n">
        <v>11</v>
      </c>
      <c r="B678" s="269" t="n">
        <v>56554</v>
      </c>
    </row>
    <row r="679" customFormat="false" ht="15.75" hidden="false" customHeight="false" outlineLevel="0" collapsed="false">
      <c r="A679" s="334" t="n">
        <v>12</v>
      </c>
      <c r="B679" s="269" t="n">
        <v>56584</v>
      </c>
    </row>
    <row r="680" customFormat="false" ht="15.75" hidden="false" customHeight="false" outlineLevel="0" collapsed="false">
      <c r="A680" s="334" t="n">
        <v>1</v>
      </c>
      <c r="B680" s="269" t="n">
        <v>56615</v>
      </c>
    </row>
    <row r="681" customFormat="false" ht="15.75" hidden="false" customHeight="false" outlineLevel="0" collapsed="false">
      <c r="A681" s="334" t="n">
        <v>2</v>
      </c>
      <c r="B681" s="269" t="n">
        <v>56646</v>
      </c>
    </row>
    <row r="682" customFormat="false" ht="15.75" hidden="false" customHeight="false" outlineLevel="0" collapsed="false">
      <c r="A682" s="334" t="n">
        <v>3</v>
      </c>
      <c r="B682" s="269" t="n">
        <v>56674</v>
      </c>
    </row>
    <row r="683" customFormat="false" ht="15.75" hidden="false" customHeight="false" outlineLevel="0" collapsed="false">
      <c r="A683" s="334" t="n">
        <v>4</v>
      </c>
      <c r="B683" s="269" t="n">
        <v>56705</v>
      </c>
    </row>
    <row r="684" customFormat="false" ht="15.75" hidden="false" customHeight="false" outlineLevel="0" collapsed="false">
      <c r="A684" s="334" t="n">
        <v>5</v>
      </c>
      <c r="B684" s="269" t="n">
        <v>56735</v>
      </c>
    </row>
    <row r="685" customFormat="false" ht="15.75" hidden="false" customHeight="false" outlineLevel="0" collapsed="false">
      <c r="A685" s="334" t="n">
        <v>6</v>
      </c>
      <c r="B685" s="269" t="n">
        <v>56766</v>
      </c>
    </row>
    <row r="686" customFormat="false" ht="15.75" hidden="false" customHeight="false" outlineLevel="0" collapsed="false">
      <c r="A686" s="334" t="n">
        <v>7</v>
      </c>
      <c r="B686" s="269" t="n">
        <v>56796</v>
      </c>
    </row>
    <row r="687" customFormat="false" ht="15.75" hidden="false" customHeight="false" outlineLevel="0" collapsed="false">
      <c r="A687" s="334" t="n">
        <v>8</v>
      </c>
      <c r="B687" s="269" t="n">
        <v>56827</v>
      </c>
    </row>
    <row r="688" customFormat="false" ht="15.75" hidden="false" customHeight="false" outlineLevel="0" collapsed="false">
      <c r="A688" s="334" t="n">
        <v>9</v>
      </c>
      <c r="B688" s="269" t="n">
        <v>56858</v>
      </c>
    </row>
    <row r="689" customFormat="false" ht="15.75" hidden="false" customHeight="false" outlineLevel="0" collapsed="false">
      <c r="A689" s="334" t="n">
        <v>10</v>
      </c>
      <c r="B689" s="269" t="n">
        <v>56888</v>
      </c>
    </row>
    <row r="690" customFormat="false" ht="15.75" hidden="false" customHeight="false" outlineLevel="0" collapsed="false">
      <c r="A690" s="334" t="n">
        <v>11</v>
      </c>
      <c r="B690" s="269" t="n">
        <v>56919</v>
      </c>
    </row>
    <row r="691" customFormat="false" ht="15.75" hidden="false" customHeight="false" outlineLevel="0" collapsed="false">
      <c r="A691" s="334" t="n">
        <v>12</v>
      </c>
      <c r="B691" s="269" t="n">
        <v>56949</v>
      </c>
    </row>
    <row r="692" customFormat="false" ht="15.75" hidden="false" customHeight="false" outlineLevel="0" collapsed="false">
      <c r="A692" s="334" t="n">
        <v>1</v>
      </c>
      <c r="B692" s="269" t="n">
        <v>56980</v>
      </c>
    </row>
    <row r="693" customFormat="false" ht="15.75" hidden="false" customHeight="false" outlineLevel="0" collapsed="false">
      <c r="A693" s="334" t="n">
        <v>2</v>
      </c>
      <c r="B693" s="269" t="n">
        <v>57011</v>
      </c>
    </row>
    <row r="694" customFormat="false" ht="15.75" hidden="false" customHeight="false" outlineLevel="0" collapsed="false">
      <c r="A694" s="334" t="n">
        <v>3</v>
      </c>
      <c r="B694" s="269" t="n">
        <v>57040</v>
      </c>
    </row>
    <row r="695" customFormat="false" ht="15.75" hidden="false" customHeight="false" outlineLevel="0" collapsed="false">
      <c r="A695" s="334" t="n">
        <v>4</v>
      </c>
      <c r="B695" s="269" t="n">
        <v>57071</v>
      </c>
    </row>
    <row r="696" customFormat="false" ht="15.75" hidden="false" customHeight="false" outlineLevel="0" collapsed="false">
      <c r="A696" s="334" t="n">
        <v>5</v>
      </c>
      <c r="B696" s="269" t="n">
        <v>57101</v>
      </c>
    </row>
    <row r="697" customFormat="false" ht="15.75" hidden="false" customHeight="false" outlineLevel="0" collapsed="false">
      <c r="A697" s="334" t="n">
        <v>6</v>
      </c>
      <c r="B697" s="269" t="n">
        <v>57132</v>
      </c>
    </row>
    <row r="698" customFormat="false" ht="15.75" hidden="false" customHeight="false" outlineLevel="0" collapsed="false">
      <c r="A698" s="334" t="n">
        <v>7</v>
      </c>
      <c r="B698" s="269" t="n">
        <v>57162</v>
      </c>
    </row>
    <row r="699" customFormat="false" ht="15.75" hidden="false" customHeight="false" outlineLevel="0" collapsed="false">
      <c r="A699" s="334" t="n">
        <v>8</v>
      </c>
      <c r="B699" s="269" t="n">
        <v>57193</v>
      </c>
    </row>
    <row r="700" customFormat="false" ht="15.75" hidden="false" customHeight="false" outlineLevel="0" collapsed="false">
      <c r="A700" s="334" t="n">
        <v>9</v>
      </c>
      <c r="B700" s="269" t="n">
        <v>57224</v>
      </c>
    </row>
    <row r="701" customFormat="false" ht="15.75" hidden="false" customHeight="false" outlineLevel="0" collapsed="false">
      <c r="A701" s="334" t="n">
        <v>10</v>
      </c>
      <c r="B701" s="269" t="n">
        <v>57254</v>
      </c>
    </row>
    <row r="702" customFormat="false" ht="15.75" hidden="false" customHeight="false" outlineLevel="0" collapsed="false">
      <c r="A702" s="334" t="n">
        <v>11</v>
      </c>
      <c r="B702" s="269" t="n">
        <v>57285</v>
      </c>
    </row>
    <row r="703" customFormat="false" ht="15.75" hidden="false" customHeight="false" outlineLevel="0" collapsed="false">
      <c r="A703" s="334" t="n">
        <v>12</v>
      </c>
      <c r="B703" s="269" t="n">
        <v>57315</v>
      </c>
    </row>
    <row r="704" customFormat="false" ht="15.75" hidden="false" customHeight="false" outlineLevel="0" collapsed="false">
      <c r="A704" s="334" t="n">
        <v>1</v>
      </c>
      <c r="B704" s="269" t="n">
        <v>57346</v>
      </c>
    </row>
    <row r="705" customFormat="false" ht="15.75" hidden="false" customHeight="false" outlineLevel="0" collapsed="false">
      <c r="A705" s="334" t="n">
        <v>2</v>
      </c>
      <c r="B705" s="269" t="n">
        <v>57377</v>
      </c>
    </row>
    <row r="706" customFormat="false" ht="15.75" hidden="false" customHeight="false" outlineLevel="0" collapsed="false">
      <c r="A706" s="334" t="n">
        <v>3</v>
      </c>
      <c r="B706" s="269" t="n">
        <v>57405</v>
      </c>
    </row>
    <row r="707" customFormat="false" ht="15.75" hidden="false" customHeight="false" outlineLevel="0" collapsed="false">
      <c r="A707" s="334" t="n">
        <v>4</v>
      </c>
      <c r="B707" s="269" t="n">
        <v>57436</v>
      </c>
    </row>
    <row r="708" customFormat="false" ht="15.75" hidden="false" customHeight="false" outlineLevel="0" collapsed="false">
      <c r="A708" s="334" t="n">
        <v>5</v>
      </c>
      <c r="B708" s="269" t="n">
        <v>57466</v>
      </c>
    </row>
    <row r="709" customFormat="false" ht="15.75" hidden="false" customHeight="false" outlineLevel="0" collapsed="false">
      <c r="A709" s="334" t="n">
        <v>6</v>
      </c>
      <c r="B709" s="269" t="n">
        <v>57497</v>
      </c>
    </row>
    <row r="710" customFormat="false" ht="15.75" hidden="false" customHeight="false" outlineLevel="0" collapsed="false">
      <c r="A710" s="334" t="n">
        <v>7</v>
      </c>
      <c r="B710" s="269" t="n">
        <v>57527</v>
      </c>
    </row>
    <row r="711" customFormat="false" ht="15.75" hidden="false" customHeight="false" outlineLevel="0" collapsed="false">
      <c r="A711" s="334" t="n">
        <v>8</v>
      </c>
      <c r="B711" s="269" t="n">
        <v>57558</v>
      </c>
    </row>
    <row r="712" customFormat="false" ht="15.75" hidden="false" customHeight="false" outlineLevel="0" collapsed="false">
      <c r="A712" s="334" t="n">
        <v>9</v>
      </c>
      <c r="B712" s="269" t="n">
        <v>57589</v>
      </c>
    </row>
    <row r="713" customFormat="false" ht="15.75" hidden="false" customHeight="false" outlineLevel="0" collapsed="false">
      <c r="A713" s="334" t="n">
        <v>10</v>
      </c>
      <c r="B713" s="269" t="n">
        <v>57619</v>
      </c>
    </row>
    <row r="714" customFormat="false" ht="15.75" hidden="false" customHeight="false" outlineLevel="0" collapsed="false">
      <c r="A714" s="334" t="n">
        <v>11</v>
      </c>
      <c r="B714" s="269" t="n">
        <v>57650</v>
      </c>
    </row>
    <row r="715" customFormat="false" ht="15.75" hidden="false" customHeight="false" outlineLevel="0" collapsed="false">
      <c r="A715" s="334" t="n">
        <v>12</v>
      </c>
      <c r="B715" s="269" t="n">
        <v>57680</v>
      </c>
    </row>
    <row r="716" customFormat="false" ht="15.75" hidden="false" customHeight="false" outlineLevel="0" collapsed="false">
      <c r="A716" s="334" t="n">
        <v>1</v>
      </c>
      <c r="B716" s="269" t="n">
        <v>57711</v>
      </c>
    </row>
    <row r="717" customFormat="false" ht="15.75" hidden="false" customHeight="false" outlineLevel="0" collapsed="false">
      <c r="A717" s="334" t="n">
        <v>2</v>
      </c>
      <c r="B717" s="269" t="n">
        <v>57742</v>
      </c>
    </row>
    <row r="718" customFormat="false" ht="15.75" hidden="false" customHeight="false" outlineLevel="0" collapsed="false">
      <c r="A718" s="334" t="n">
        <v>3</v>
      </c>
      <c r="B718" s="269" t="n">
        <v>57770</v>
      </c>
    </row>
    <row r="719" customFormat="false" ht="15.75" hidden="false" customHeight="false" outlineLevel="0" collapsed="false">
      <c r="A719" s="334" t="n">
        <v>4</v>
      </c>
      <c r="B719" s="269" t="n">
        <v>57801</v>
      </c>
    </row>
    <row r="720" customFormat="false" ht="15.75" hidden="false" customHeight="false" outlineLevel="0" collapsed="false">
      <c r="A720" s="334" t="n">
        <v>5</v>
      </c>
      <c r="B720" s="269" t="n">
        <v>57831</v>
      </c>
    </row>
    <row r="721" customFormat="false" ht="15.75" hidden="false" customHeight="false" outlineLevel="0" collapsed="false">
      <c r="A721" s="334" t="n">
        <v>6</v>
      </c>
      <c r="B721" s="269" t="n">
        <v>57862</v>
      </c>
    </row>
    <row r="722" customFormat="false" ht="15.75" hidden="false" customHeight="false" outlineLevel="0" collapsed="false">
      <c r="A722" s="334" t="n">
        <v>7</v>
      </c>
      <c r="B722" s="269" t="n">
        <v>57892</v>
      </c>
    </row>
    <row r="723" customFormat="false" ht="15.75" hidden="false" customHeight="false" outlineLevel="0" collapsed="false">
      <c r="A723" s="334" t="n">
        <v>8</v>
      </c>
      <c r="B723" s="269" t="n">
        <v>57923</v>
      </c>
    </row>
    <row r="724" customFormat="false" ht="15.75" hidden="false" customHeight="false" outlineLevel="0" collapsed="false">
      <c r="A724" s="334" t="n">
        <v>9</v>
      </c>
      <c r="B724" s="269" t="n">
        <v>57954</v>
      </c>
    </row>
    <row r="725" customFormat="false" ht="15.75" hidden="false" customHeight="false" outlineLevel="0" collapsed="false">
      <c r="A725" s="334" t="n">
        <v>10</v>
      </c>
      <c r="B725" s="269" t="n">
        <v>57984</v>
      </c>
    </row>
    <row r="726" customFormat="false" ht="15.75" hidden="false" customHeight="false" outlineLevel="0" collapsed="false">
      <c r="A726" s="334" t="n">
        <v>11</v>
      </c>
      <c r="B726" s="269" t="n">
        <v>58015</v>
      </c>
    </row>
    <row r="727" customFormat="false" ht="15.75" hidden="false" customHeight="false" outlineLevel="0" collapsed="false">
      <c r="A727" s="334" t="n">
        <v>12</v>
      </c>
      <c r="B727" s="269" t="n">
        <v>58045</v>
      </c>
    </row>
    <row r="728" customFormat="false" ht="15.75" hidden="false" customHeight="false" outlineLevel="0" collapsed="false">
      <c r="A728" s="334" t="n">
        <v>1</v>
      </c>
      <c r="B728" s="269" t="n">
        <v>58076</v>
      </c>
    </row>
    <row r="729" customFormat="false" ht="15.75" hidden="false" customHeight="false" outlineLevel="0" collapsed="false">
      <c r="A729" s="334" t="n">
        <v>2</v>
      </c>
      <c r="B729" s="269" t="n">
        <v>58107</v>
      </c>
    </row>
    <row r="730" customFormat="false" ht="15.75" hidden="false" customHeight="false" outlineLevel="0" collapsed="false">
      <c r="A730" s="334" t="n">
        <v>3</v>
      </c>
      <c r="B730" s="269" t="n">
        <v>58135</v>
      </c>
    </row>
    <row r="731" customFormat="false" ht="15.75" hidden="false" customHeight="false" outlineLevel="0" collapsed="false">
      <c r="A731" s="334" t="n">
        <v>4</v>
      </c>
      <c r="B731" s="269" t="n">
        <v>58166</v>
      </c>
    </row>
    <row r="732" customFormat="false" ht="15.75" hidden="false" customHeight="false" outlineLevel="0" collapsed="false">
      <c r="A732" s="334" t="n">
        <v>5</v>
      </c>
      <c r="B732" s="269" t="n">
        <v>58196</v>
      </c>
    </row>
    <row r="733" customFormat="false" ht="15.75" hidden="false" customHeight="false" outlineLevel="0" collapsed="false">
      <c r="A733" s="334" t="n">
        <v>6</v>
      </c>
      <c r="B733" s="269" t="n">
        <v>58227</v>
      </c>
    </row>
    <row r="734" customFormat="false" ht="15.75" hidden="false" customHeight="false" outlineLevel="0" collapsed="false">
      <c r="A734" s="334" t="n">
        <v>7</v>
      </c>
      <c r="B734" s="269" t="n">
        <v>58257</v>
      </c>
    </row>
    <row r="735" customFormat="false" ht="15.75" hidden="false" customHeight="false" outlineLevel="0" collapsed="false">
      <c r="A735" s="334" t="n">
        <v>8</v>
      </c>
      <c r="B735" s="269" t="n">
        <v>58288</v>
      </c>
    </row>
    <row r="736" customFormat="false" ht="15.75" hidden="false" customHeight="false" outlineLevel="0" collapsed="false">
      <c r="A736" s="334" t="n">
        <v>9</v>
      </c>
      <c r="B736" s="269" t="n">
        <v>58319</v>
      </c>
    </row>
    <row r="737" customFormat="false" ht="15.75" hidden="false" customHeight="false" outlineLevel="0" collapsed="false">
      <c r="A737" s="334" t="n">
        <v>10</v>
      </c>
      <c r="B737" s="269" t="n">
        <v>58349</v>
      </c>
    </row>
    <row r="738" customFormat="false" ht="15.75" hidden="false" customHeight="false" outlineLevel="0" collapsed="false">
      <c r="A738" s="334" t="n">
        <v>11</v>
      </c>
      <c r="B738" s="269" t="n">
        <v>58380</v>
      </c>
    </row>
    <row r="739" customFormat="false" ht="15.75" hidden="false" customHeight="false" outlineLevel="0" collapsed="false">
      <c r="A739" s="334" t="n">
        <v>12</v>
      </c>
      <c r="B739" s="269" t="n">
        <v>58410</v>
      </c>
    </row>
    <row r="740" customFormat="false" ht="15.75" hidden="false" customHeight="false" outlineLevel="0" collapsed="false">
      <c r="A740" s="334" t="n">
        <v>1</v>
      </c>
      <c r="B740" s="269" t="n">
        <v>58441</v>
      </c>
    </row>
    <row r="741" customFormat="false" ht="15.75" hidden="false" customHeight="false" outlineLevel="0" collapsed="false">
      <c r="A741" s="334" t="n">
        <v>2</v>
      </c>
      <c r="B741" s="269" t="n">
        <v>58472</v>
      </c>
    </row>
    <row r="742" customFormat="false" ht="15.75" hidden="false" customHeight="false" outlineLevel="0" collapsed="false">
      <c r="A742" s="334" t="n">
        <v>3</v>
      </c>
      <c r="B742" s="269" t="n">
        <v>58501</v>
      </c>
    </row>
    <row r="743" customFormat="false" ht="15.75" hidden="false" customHeight="false" outlineLevel="0" collapsed="false">
      <c r="A743" s="334" t="n">
        <v>4</v>
      </c>
      <c r="B743" s="269" t="n">
        <v>58532</v>
      </c>
    </row>
    <row r="744" customFormat="false" ht="15.75" hidden="false" customHeight="false" outlineLevel="0" collapsed="false">
      <c r="A744" s="334" t="n">
        <v>5</v>
      </c>
      <c r="B744" s="269" t="n">
        <v>58562</v>
      </c>
    </row>
    <row r="745" customFormat="false" ht="15.75" hidden="false" customHeight="false" outlineLevel="0" collapsed="false">
      <c r="A745" s="334" t="n">
        <v>6</v>
      </c>
      <c r="B745" s="269" t="n">
        <v>58593</v>
      </c>
    </row>
    <row r="746" customFormat="false" ht="15.75" hidden="false" customHeight="false" outlineLevel="0" collapsed="false">
      <c r="A746" s="334" t="n">
        <v>7</v>
      </c>
      <c r="B746" s="269" t="n">
        <v>58623</v>
      </c>
    </row>
    <row r="747" customFormat="false" ht="15.75" hidden="false" customHeight="false" outlineLevel="0" collapsed="false">
      <c r="A747" s="334" t="n">
        <v>8</v>
      </c>
      <c r="B747" s="269" t="n">
        <v>58654</v>
      </c>
    </row>
    <row r="748" customFormat="false" ht="15.75" hidden="false" customHeight="false" outlineLevel="0" collapsed="false">
      <c r="A748" s="334" t="n">
        <v>9</v>
      </c>
      <c r="B748" s="269" t="n">
        <v>58685</v>
      </c>
    </row>
    <row r="749" customFormat="false" ht="15.75" hidden="false" customHeight="false" outlineLevel="0" collapsed="false">
      <c r="A749" s="334" t="n">
        <v>10</v>
      </c>
      <c r="B749" s="269" t="n">
        <v>58715</v>
      </c>
    </row>
    <row r="750" customFormat="false" ht="15.75" hidden="false" customHeight="false" outlineLevel="0" collapsed="false">
      <c r="A750" s="334" t="n">
        <v>11</v>
      </c>
      <c r="B750" s="269" t="n">
        <v>58746</v>
      </c>
    </row>
    <row r="751" customFormat="false" ht="15.75" hidden="false" customHeight="false" outlineLevel="0" collapsed="false">
      <c r="A751" s="334" t="n">
        <v>12</v>
      </c>
      <c r="B751" s="269" t="n">
        <v>58776</v>
      </c>
    </row>
    <row r="752" customFormat="false" ht="15.75" hidden="false" customHeight="false" outlineLevel="0" collapsed="false">
      <c r="A752" s="334" t="n">
        <v>1</v>
      </c>
      <c r="B752" s="269" t="n">
        <v>58807</v>
      </c>
    </row>
    <row r="753" customFormat="false" ht="15.75" hidden="false" customHeight="false" outlineLevel="0" collapsed="false">
      <c r="A753" s="334" t="n">
        <v>2</v>
      </c>
      <c r="B753" s="269" t="n">
        <v>58838</v>
      </c>
    </row>
    <row r="754" customFormat="false" ht="15.75" hidden="false" customHeight="false" outlineLevel="0" collapsed="false">
      <c r="A754" s="334" t="n">
        <v>3</v>
      </c>
      <c r="B754" s="269" t="n">
        <v>58866</v>
      </c>
    </row>
    <row r="755" customFormat="false" ht="15.75" hidden="false" customHeight="false" outlineLevel="0" collapsed="false">
      <c r="A755" s="334" t="n">
        <v>4</v>
      </c>
      <c r="B755" s="269" t="n">
        <v>58897</v>
      </c>
    </row>
    <row r="756" customFormat="false" ht="15.75" hidden="false" customHeight="false" outlineLevel="0" collapsed="false">
      <c r="A756" s="334" t="n">
        <v>5</v>
      </c>
      <c r="B756" s="269" t="n">
        <v>58927</v>
      </c>
    </row>
    <row r="757" customFormat="false" ht="15.75" hidden="false" customHeight="false" outlineLevel="0" collapsed="false">
      <c r="A757" s="334" t="n">
        <v>6</v>
      </c>
      <c r="B757" s="269" t="n">
        <v>58958</v>
      </c>
    </row>
    <row r="758" customFormat="false" ht="15.75" hidden="false" customHeight="false" outlineLevel="0" collapsed="false">
      <c r="A758" s="334" t="n">
        <v>7</v>
      </c>
      <c r="B758" s="269" t="n">
        <v>58988</v>
      </c>
    </row>
    <row r="759" customFormat="false" ht="15.75" hidden="false" customHeight="false" outlineLevel="0" collapsed="false">
      <c r="A759" s="334" t="n">
        <v>8</v>
      </c>
      <c r="B759" s="269" t="n">
        <v>59019</v>
      </c>
    </row>
    <row r="760" customFormat="false" ht="15.75" hidden="false" customHeight="false" outlineLevel="0" collapsed="false">
      <c r="A760" s="334" t="n">
        <v>9</v>
      </c>
      <c r="B760" s="269" t="n">
        <v>59050</v>
      </c>
    </row>
    <row r="761" customFormat="false" ht="15.75" hidden="false" customHeight="false" outlineLevel="0" collapsed="false">
      <c r="A761" s="334" t="n">
        <v>10</v>
      </c>
      <c r="B761" s="269" t="n">
        <v>59080</v>
      </c>
    </row>
    <row r="762" customFormat="false" ht="15.75" hidden="false" customHeight="false" outlineLevel="0" collapsed="false">
      <c r="A762" s="334" t="n">
        <v>11</v>
      </c>
      <c r="B762" s="269" t="n">
        <v>59111</v>
      </c>
    </row>
    <row r="763" customFormat="false" ht="15.75" hidden="false" customHeight="false" outlineLevel="0" collapsed="false">
      <c r="A763" s="334" t="n">
        <v>12</v>
      </c>
      <c r="B763" s="269" t="n">
        <v>59141</v>
      </c>
    </row>
    <row r="764" customFormat="false" ht="15.75" hidden="false" customHeight="false" outlineLevel="0" collapsed="false">
      <c r="A764" s="334" t="n">
        <v>1</v>
      </c>
      <c r="B764" s="269" t="n">
        <v>59172</v>
      </c>
    </row>
    <row r="765" customFormat="false" ht="15.75" hidden="false" customHeight="false" outlineLevel="0" collapsed="false">
      <c r="A765" s="334" t="n">
        <v>2</v>
      </c>
      <c r="B765" s="269" t="n">
        <v>59203</v>
      </c>
    </row>
    <row r="766" customFormat="false" ht="15.75" hidden="false" customHeight="false" outlineLevel="0" collapsed="false">
      <c r="A766" s="334" t="n">
        <v>3</v>
      </c>
      <c r="B766" s="269" t="n">
        <v>59231</v>
      </c>
    </row>
    <row r="767" customFormat="false" ht="15.75" hidden="false" customHeight="false" outlineLevel="0" collapsed="false">
      <c r="A767" s="334" t="n">
        <v>4</v>
      </c>
      <c r="B767" s="269" t="n">
        <v>59262</v>
      </c>
    </row>
    <row r="768" customFormat="false" ht="15.75" hidden="false" customHeight="false" outlineLevel="0" collapsed="false">
      <c r="A768" s="334" t="n">
        <v>5</v>
      </c>
      <c r="B768" s="269" t="n">
        <v>59292</v>
      </c>
    </row>
    <row r="769" customFormat="false" ht="15.75" hidden="false" customHeight="false" outlineLevel="0" collapsed="false">
      <c r="A769" s="334" t="n">
        <v>6</v>
      </c>
      <c r="B769" s="269" t="n">
        <v>59323</v>
      </c>
    </row>
    <row r="770" customFormat="false" ht="15.75" hidden="false" customHeight="false" outlineLevel="0" collapsed="false">
      <c r="A770" s="334" t="n">
        <v>7</v>
      </c>
      <c r="B770" s="269" t="n">
        <v>59353</v>
      </c>
    </row>
    <row r="771" customFormat="false" ht="15.75" hidden="false" customHeight="false" outlineLevel="0" collapsed="false">
      <c r="A771" s="334" t="n">
        <v>8</v>
      </c>
      <c r="B771" s="269" t="n">
        <v>59384</v>
      </c>
    </row>
    <row r="772" customFormat="false" ht="15.75" hidden="false" customHeight="false" outlineLevel="0" collapsed="false">
      <c r="A772" s="334" t="n">
        <v>9</v>
      </c>
      <c r="B772" s="269" t="n">
        <v>59415</v>
      </c>
    </row>
    <row r="773" customFormat="false" ht="15.75" hidden="false" customHeight="false" outlineLevel="0" collapsed="false">
      <c r="A773" s="334" t="n">
        <v>10</v>
      </c>
      <c r="B773" s="269" t="n">
        <v>59445</v>
      </c>
    </row>
    <row r="774" customFormat="false" ht="15.75" hidden="false" customHeight="false" outlineLevel="0" collapsed="false">
      <c r="A774" s="334" t="n">
        <v>11</v>
      </c>
      <c r="B774" s="269" t="n">
        <v>59476</v>
      </c>
    </row>
    <row r="775" customFormat="false" ht="15.75" hidden="false" customHeight="false" outlineLevel="0" collapsed="false">
      <c r="A775" s="334" t="n">
        <v>12</v>
      </c>
      <c r="B775" s="269" t="n">
        <v>59506</v>
      </c>
    </row>
    <row r="776" customFormat="false" ht="15.75" hidden="false" customHeight="false" outlineLevel="0" collapsed="false">
      <c r="A776" s="334" t="n">
        <v>1</v>
      </c>
      <c r="B776" s="269" t="n">
        <v>59537</v>
      </c>
    </row>
    <row r="777" customFormat="false" ht="15.75" hidden="false" customHeight="false" outlineLevel="0" collapsed="false">
      <c r="A777" s="334" t="n">
        <v>2</v>
      </c>
      <c r="B777" s="269" t="n">
        <v>59568</v>
      </c>
    </row>
    <row r="778" customFormat="false" ht="15.75" hidden="false" customHeight="false" outlineLevel="0" collapsed="false">
      <c r="A778" s="334" t="n">
        <v>3</v>
      </c>
      <c r="B778" s="269" t="n">
        <v>59596</v>
      </c>
    </row>
    <row r="779" customFormat="false" ht="15.75" hidden="false" customHeight="false" outlineLevel="0" collapsed="false">
      <c r="A779" s="334" t="n">
        <v>4</v>
      </c>
      <c r="B779" s="269" t="n">
        <v>59627</v>
      </c>
    </row>
    <row r="780" customFormat="false" ht="15.75" hidden="false" customHeight="false" outlineLevel="0" collapsed="false">
      <c r="A780" s="334" t="n">
        <v>5</v>
      </c>
      <c r="B780" s="269" t="n">
        <v>59657</v>
      </c>
    </row>
    <row r="781" customFormat="false" ht="15.75" hidden="false" customHeight="false" outlineLevel="0" collapsed="false">
      <c r="A781" s="334" t="n">
        <v>6</v>
      </c>
      <c r="B781" s="269" t="n">
        <v>59688</v>
      </c>
    </row>
    <row r="782" customFormat="false" ht="15.75" hidden="false" customHeight="false" outlineLevel="0" collapsed="false">
      <c r="A782" s="334" t="n">
        <v>7</v>
      </c>
      <c r="B782" s="269" t="n">
        <v>59718</v>
      </c>
    </row>
    <row r="783" customFormat="false" ht="15.75" hidden="false" customHeight="false" outlineLevel="0" collapsed="false">
      <c r="A783" s="334" t="n">
        <v>8</v>
      </c>
      <c r="B783" s="269" t="n">
        <v>59749</v>
      </c>
    </row>
    <row r="784" customFormat="false" ht="15.75" hidden="false" customHeight="false" outlineLevel="0" collapsed="false">
      <c r="A784" s="334" t="n">
        <v>9</v>
      </c>
      <c r="B784" s="269" t="n">
        <v>59780</v>
      </c>
    </row>
    <row r="785" customFormat="false" ht="15.75" hidden="false" customHeight="false" outlineLevel="0" collapsed="false">
      <c r="A785" s="334" t="n">
        <v>10</v>
      </c>
      <c r="B785" s="269" t="n">
        <v>59810</v>
      </c>
    </row>
    <row r="786" customFormat="false" ht="15.75" hidden="false" customHeight="false" outlineLevel="0" collapsed="false">
      <c r="A786" s="334" t="n">
        <v>11</v>
      </c>
      <c r="B786" s="269" t="n">
        <v>59841</v>
      </c>
    </row>
    <row r="787" customFormat="false" ht="15.75" hidden="false" customHeight="false" outlineLevel="0" collapsed="false">
      <c r="A787" s="334" t="n">
        <v>12</v>
      </c>
      <c r="B787" s="269" t="n">
        <v>59871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A2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9.13671875" defaultRowHeight="15.75" customHeight="true" zeroHeight="false" outlineLevelRow="0" outlineLevelCol="0"/>
  <cols>
    <col collapsed="false" customWidth="false" hidden="false" outlineLevel="0" max="1" min="1" style="358" width="9.14"/>
    <col collapsed="false" customWidth="false" hidden="false" outlineLevel="0" max="2" min="2" style="359" width="9.14"/>
    <col collapsed="false" customWidth="true" hidden="false" outlineLevel="0" max="3" min="3" style="360" width="9.7"/>
    <col collapsed="false" customWidth="false" hidden="false" outlineLevel="0" max="7" min="4" style="358" width="9.14"/>
    <col collapsed="false" customWidth="true" hidden="false" outlineLevel="0" max="8" min="8" style="361" width="10.99"/>
    <col collapsed="false" customWidth="true" hidden="false" outlineLevel="0" max="27" min="9" style="358" width="10.99"/>
    <col collapsed="false" customWidth="false" hidden="false" outlineLevel="0" max="257" min="28" style="358" width="9.14"/>
  </cols>
  <sheetData>
    <row r="1" customFormat="false" ht="15.75" hidden="false" customHeight="false" outlineLevel="0" collapsed="false">
      <c r="H1" s="362" t="n">
        <v>36861</v>
      </c>
      <c r="I1" s="363" t="n">
        <f aca="false">H1+365.25</f>
        <v>37226.25</v>
      </c>
      <c r="J1" s="363" t="n">
        <f aca="false">I1+365.25</f>
        <v>37591.5</v>
      </c>
      <c r="K1" s="363" t="n">
        <f aca="false">J1+365.25</f>
        <v>37956.75</v>
      </c>
      <c r="L1" s="363" t="n">
        <f aca="false">K1+365.25</f>
        <v>38322</v>
      </c>
      <c r="M1" s="363" t="n">
        <f aca="false">L1+365.25</f>
        <v>38687.25</v>
      </c>
      <c r="N1" s="363" t="n">
        <f aca="false">M1+365.25</f>
        <v>39052.5</v>
      </c>
      <c r="O1" s="363" t="n">
        <f aca="false">N1+365.25</f>
        <v>39417.75</v>
      </c>
      <c r="P1" s="363" t="n">
        <f aca="false">O1+365.25</f>
        <v>39783</v>
      </c>
      <c r="Q1" s="363" t="n">
        <f aca="false">P1+365.25</f>
        <v>40148.25</v>
      </c>
      <c r="R1" s="363" t="n">
        <f aca="false">Q1+365.25</f>
        <v>40513.5</v>
      </c>
      <c r="S1" s="363" t="n">
        <f aca="false">R1+365.25</f>
        <v>40878.75</v>
      </c>
      <c r="T1" s="363" t="n">
        <f aca="false">S1+365.25</f>
        <v>41244</v>
      </c>
      <c r="U1" s="363" t="n">
        <f aca="false">T1+365.25</f>
        <v>41609.25</v>
      </c>
      <c r="V1" s="363" t="n">
        <f aca="false">U1+365.25</f>
        <v>41974.5</v>
      </c>
      <c r="W1" s="363" t="n">
        <f aca="false">V1+365.25</f>
        <v>42339.75</v>
      </c>
      <c r="X1" s="363" t="n">
        <f aca="false">W1+365.25</f>
        <v>42705</v>
      </c>
      <c r="Y1" s="363" t="n">
        <f aca="false">X1+365.25</f>
        <v>43070.25</v>
      </c>
      <c r="Z1" s="363" t="n">
        <f aca="false">Y1+365.25</f>
        <v>43435.5</v>
      </c>
      <c r="AA1" s="363" t="n">
        <f aca="false">Z1+365.25</f>
        <v>43800.75</v>
      </c>
    </row>
    <row r="2" customFormat="false" ht="15.75" hidden="false" customHeight="false" outlineLevel="0" collapsed="false">
      <c r="H2" s="364" t="n">
        <v>1.027</v>
      </c>
      <c r="I2" s="364" t="n">
        <v>1.054729</v>
      </c>
      <c r="J2" s="364" t="n">
        <v>1.083206683</v>
      </c>
      <c r="K2" s="364" t="n">
        <v>1.112453263441</v>
      </c>
      <c r="L2" s="364" t="n">
        <v>1.14248950155391</v>
      </c>
      <c r="M2" s="364" t="n">
        <v>1.17333671809586</v>
      </c>
      <c r="N2" s="364" t="n">
        <v>1.20501680948445</v>
      </c>
      <c r="O2" s="364" t="n">
        <v>1.23755226334053</v>
      </c>
      <c r="P2" s="364" t="n">
        <v>1.27096617445072</v>
      </c>
      <c r="Q2" s="364" t="n">
        <v>1.30528226116089</v>
      </c>
      <c r="R2" s="364" t="n">
        <v>1.34052488221224</v>
      </c>
      <c r="S2" s="364" t="n">
        <v>1.37671905403197</v>
      </c>
      <c r="T2" s="364" t="n">
        <v>1.41389046849083</v>
      </c>
      <c r="U2" s="364" t="n">
        <v>1.45206551114008</v>
      </c>
      <c r="V2" s="364" t="n">
        <v>1.49127127994087</v>
      </c>
      <c r="W2" s="364" t="n">
        <v>1.53153560449927</v>
      </c>
      <c r="X2" s="364" t="n">
        <v>1.57288706582075</v>
      </c>
      <c r="Y2" s="364" t="n">
        <v>1.61535501659791</v>
      </c>
      <c r="Z2" s="364" t="n">
        <v>1.65896960204605</v>
      </c>
      <c r="AA2" s="364" t="n">
        <v>1.7037617813013</v>
      </c>
    </row>
    <row r="4" customFormat="false" ht="15.75" hidden="false" customHeight="false" outlineLevel="0" collapsed="false">
      <c r="C4" s="365" t="n">
        <v>0.027</v>
      </c>
    </row>
    <row r="5" customFormat="false" ht="15.75" hidden="false" customHeight="false" outlineLevel="0" collapsed="false">
      <c r="C5" s="366" t="s">
        <v>181</v>
      </c>
    </row>
    <row r="6" customFormat="false" ht="15.75" hidden="false" customHeight="false" outlineLevel="0" collapsed="false">
      <c r="B6" s="359" t="s">
        <v>62</v>
      </c>
      <c r="C6" s="367" t="s">
        <v>18</v>
      </c>
      <c r="D6" s="368" t="s">
        <v>163</v>
      </c>
      <c r="E6" s="369" t="s">
        <v>110</v>
      </c>
    </row>
    <row r="7" customFormat="false" ht="15.75" hidden="false" customHeight="false" outlineLevel="0" collapsed="false">
      <c r="B7" s="370" t="n">
        <f aca="false">B8-31</f>
        <v>36281</v>
      </c>
    </row>
    <row r="8" customFormat="false" ht="15.75" hidden="false" customHeight="false" outlineLevel="0" collapsed="false">
      <c r="B8" s="370" t="n">
        <f aca="false">B9-30</f>
        <v>36312</v>
      </c>
      <c r="C8" s="360" t="n">
        <f aca="false">(1+$C$4)^E8</f>
        <v>1</v>
      </c>
      <c r="E8" s="361"/>
    </row>
    <row r="9" customFormat="false" ht="15.75" hidden="false" customHeight="false" outlineLevel="0" collapsed="false">
      <c r="B9" s="370" t="n">
        <f aca="false">B10-31</f>
        <v>36342</v>
      </c>
      <c r="C9" s="360" t="n">
        <f aca="false">(1+$C$4)^E9</f>
        <v>1</v>
      </c>
      <c r="E9" s="361"/>
    </row>
    <row r="10" customFormat="false" ht="15.75" hidden="false" customHeight="false" outlineLevel="0" collapsed="false">
      <c r="B10" s="370" t="n">
        <f aca="false">B11-31</f>
        <v>36373</v>
      </c>
      <c r="C10" s="360" t="n">
        <f aca="false">(1+$C$4)^E10</f>
        <v>1</v>
      </c>
      <c r="E10" s="361"/>
    </row>
    <row r="11" customFormat="false" ht="15.75" hidden="false" customHeight="false" outlineLevel="0" collapsed="false">
      <c r="B11" s="370" t="n">
        <f aca="false">B12-30</f>
        <v>36404</v>
      </c>
      <c r="C11" s="360" t="n">
        <f aca="false">(1+$C$4)^E11</f>
        <v>1</v>
      </c>
      <c r="E11" s="361"/>
    </row>
    <row r="12" customFormat="false" ht="15.75" hidden="false" customHeight="false" outlineLevel="0" collapsed="false">
      <c r="B12" s="370" t="n">
        <f aca="false">B13-31</f>
        <v>36434</v>
      </c>
      <c r="C12" s="360" t="n">
        <f aca="false">(1+$C$4)^E12</f>
        <v>1</v>
      </c>
      <c r="E12" s="361"/>
    </row>
    <row r="13" customFormat="false" ht="15.75" hidden="false" customHeight="false" outlineLevel="0" collapsed="false">
      <c r="B13" s="370" t="n">
        <f aca="false">B14-30</f>
        <v>36465</v>
      </c>
      <c r="C13" s="360" t="n">
        <f aca="false">(1+$C$4)^E13</f>
        <v>1</v>
      </c>
      <c r="E13" s="361"/>
    </row>
    <row r="14" customFormat="false" ht="15.75" hidden="false" customHeight="false" outlineLevel="0" collapsed="false">
      <c r="B14" s="370" t="n">
        <f aca="false">B15-31</f>
        <v>36495</v>
      </c>
      <c r="C14" s="360" t="n">
        <f aca="false">(1+$C$4)^E14</f>
        <v>1</v>
      </c>
      <c r="E14" s="361"/>
    </row>
    <row r="15" customFormat="false" ht="15.75" hidden="false" customHeight="false" outlineLevel="0" collapsed="false">
      <c r="B15" s="370" t="n">
        <f aca="false">B16-31</f>
        <v>36526</v>
      </c>
      <c r="C15" s="360" t="n">
        <f aca="false">(1+$C$4)^E15</f>
        <v>1.00222262729436</v>
      </c>
      <c r="D15" s="358" t="n">
        <v>1</v>
      </c>
      <c r="E15" s="361" t="n">
        <f aca="false">D15/12</f>
        <v>0.0833333333333333</v>
      </c>
    </row>
    <row r="16" customFormat="false" ht="16.5" hidden="false" customHeight="false" outlineLevel="0" collapsed="false">
      <c r="B16" s="371" t="n">
        <v>36557</v>
      </c>
      <c r="C16" s="360" t="n">
        <f aca="false">(1+$C$4)^E16</f>
        <v>1.0044501946608</v>
      </c>
      <c r="D16" s="358" t="n">
        <f aca="false">D15+1</f>
        <v>2</v>
      </c>
      <c r="E16" s="361" t="n">
        <f aca="false">D16/12</f>
        <v>0.166666666666667</v>
      </c>
    </row>
    <row r="17" customFormat="false" ht="16.5" hidden="false" customHeight="false" outlineLevel="0" collapsed="false">
      <c r="B17" s="371" t="n">
        <v>36586</v>
      </c>
      <c r="C17" s="360" t="n">
        <f aca="false">(1+$C$4)^E17</f>
        <v>1.00668271307928</v>
      </c>
      <c r="D17" s="358" t="n">
        <f aca="false">D16+1</f>
        <v>3</v>
      </c>
      <c r="E17" s="361" t="n">
        <f aca="false">D17/12</f>
        <v>0.25</v>
      </c>
    </row>
    <row r="18" customFormat="false" ht="16.5" hidden="false" customHeight="false" outlineLevel="0" collapsed="false">
      <c r="B18" s="371" t="n">
        <v>36617</v>
      </c>
      <c r="C18" s="360" t="n">
        <f aca="false">(1+$C$4)^E18</f>
        <v>1.00892019355413</v>
      </c>
      <c r="D18" s="358" t="n">
        <f aca="false">D17+1</f>
        <v>4</v>
      </c>
      <c r="E18" s="361" t="n">
        <f aca="false">D18/12</f>
        <v>0.333333333333333</v>
      </c>
    </row>
    <row r="19" customFormat="false" ht="16.5" hidden="false" customHeight="false" outlineLevel="0" collapsed="false">
      <c r="B19" s="371" t="n">
        <v>36647</v>
      </c>
      <c r="C19" s="360" t="n">
        <f aca="false">(1+$C$4)^E19</f>
        <v>1.01116264711415</v>
      </c>
      <c r="D19" s="358" t="n">
        <f aca="false">D18+1</f>
        <v>5</v>
      </c>
      <c r="E19" s="361" t="n">
        <f aca="false">D19/12</f>
        <v>0.416666666666667</v>
      </c>
    </row>
    <row r="20" customFormat="false" ht="16.5" hidden="false" customHeight="false" outlineLevel="0" collapsed="false">
      <c r="B20" s="371" t="n">
        <v>36678</v>
      </c>
      <c r="C20" s="360" t="n">
        <f aca="false">(1+$C$4)^E20</f>
        <v>1.01341008481266</v>
      </c>
      <c r="D20" s="358" t="n">
        <f aca="false">D19+1</f>
        <v>6</v>
      </c>
      <c r="E20" s="361" t="n">
        <f aca="false">D20/12</f>
        <v>0.5</v>
      </c>
    </row>
    <row r="21" customFormat="false" ht="16.5" hidden="false" customHeight="false" outlineLevel="0" collapsed="false">
      <c r="B21" s="371" t="n">
        <v>36708</v>
      </c>
      <c r="C21" s="360" t="n">
        <f aca="false">(1+$C$4)^E21</f>
        <v>1.01566251772754</v>
      </c>
      <c r="D21" s="358" t="n">
        <f aca="false">D20+1</f>
        <v>7</v>
      </c>
      <c r="E21" s="361" t="n">
        <f aca="false">D21/12</f>
        <v>0.583333333333333</v>
      </c>
    </row>
    <row r="22" customFormat="false" ht="16.5" hidden="false" customHeight="false" outlineLevel="0" collapsed="false">
      <c r="B22" s="371" t="n">
        <v>36739</v>
      </c>
      <c r="C22" s="360" t="n">
        <f aca="false">(1+$C$4)^E22</f>
        <v>1.0179199569613</v>
      </c>
      <c r="D22" s="358" t="n">
        <f aca="false">D21+1</f>
        <v>8</v>
      </c>
      <c r="E22" s="361" t="n">
        <f aca="false">D22/12</f>
        <v>0.666666666666667</v>
      </c>
    </row>
    <row r="23" customFormat="false" ht="16.5" hidden="false" customHeight="false" outlineLevel="0" collapsed="false">
      <c r="B23" s="371" t="n">
        <v>36770</v>
      </c>
      <c r="C23" s="360" t="n">
        <f aca="false">(1+$C$4)^E23</f>
        <v>1.02018241364111</v>
      </c>
      <c r="D23" s="358" t="n">
        <f aca="false">D22+1</f>
        <v>9</v>
      </c>
      <c r="E23" s="361" t="n">
        <f aca="false">D23/12</f>
        <v>0.75</v>
      </c>
    </row>
    <row r="24" customFormat="false" ht="16.5" hidden="false" customHeight="false" outlineLevel="0" collapsed="false">
      <c r="B24" s="371" t="n">
        <v>36800</v>
      </c>
      <c r="C24" s="360" t="n">
        <f aca="false">(1+$C$4)^E24</f>
        <v>1.02244989891889</v>
      </c>
      <c r="D24" s="358" t="n">
        <f aca="false">D23+1</f>
        <v>10</v>
      </c>
      <c r="E24" s="361" t="n">
        <f aca="false">D24/12</f>
        <v>0.833333333333333</v>
      </c>
    </row>
    <row r="25" customFormat="false" ht="16.5" hidden="false" customHeight="false" outlineLevel="0" collapsed="false">
      <c r="B25" s="371" t="n">
        <v>36831</v>
      </c>
      <c r="C25" s="360" t="n">
        <f aca="false">(1+$C$4)^E25</f>
        <v>1.02472242397134</v>
      </c>
      <c r="D25" s="358" t="n">
        <f aca="false">D24+1</f>
        <v>11</v>
      </c>
      <c r="E25" s="361" t="n">
        <f aca="false">D25/12</f>
        <v>0.916666666666667</v>
      </c>
    </row>
    <row r="26" customFormat="false" ht="16.5" hidden="false" customHeight="false" outlineLevel="0" collapsed="false">
      <c r="B26" s="371" t="n">
        <v>36861</v>
      </c>
      <c r="C26" s="360" t="n">
        <f aca="false">(1+$C$4)^E26</f>
        <v>1.027</v>
      </c>
      <c r="D26" s="358" t="n">
        <f aca="false">D25+1</f>
        <v>12</v>
      </c>
      <c r="E26" s="361" t="n">
        <f aca="false">D26/12</f>
        <v>1</v>
      </c>
    </row>
    <row r="27" customFormat="false" ht="16.5" hidden="false" customHeight="false" outlineLevel="0" collapsed="false">
      <c r="B27" s="371" t="n">
        <v>36892</v>
      </c>
      <c r="C27" s="360" t="n">
        <f aca="false">(1+$C$4)^E27</f>
        <v>1.0292826382313</v>
      </c>
      <c r="D27" s="358" t="n">
        <f aca="false">D26+1</f>
        <v>13</v>
      </c>
      <c r="E27" s="361" t="n">
        <f aca="false">D27/12</f>
        <v>1.08333333333333</v>
      </c>
    </row>
    <row r="28" customFormat="false" ht="16.5" hidden="false" customHeight="false" outlineLevel="0" collapsed="false">
      <c r="B28" s="371" t="n">
        <v>36923</v>
      </c>
      <c r="C28" s="360" t="n">
        <f aca="false">(1+$C$4)^E28</f>
        <v>1.03157034991665</v>
      </c>
      <c r="D28" s="358" t="n">
        <f aca="false">D27+1</f>
        <v>14</v>
      </c>
      <c r="E28" s="361" t="n">
        <f aca="false">D28/12</f>
        <v>1.16666666666667</v>
      </c>
    </row>
    <row r="29" customFormat="false" ht="16.5" hidden="false" customHeight="false" outlineLevel="0" collapsed="false">
      <c r="B29" s="371" t="n">
        <v>36951</v>
      </c>
      <c r="C29" s="360" t="n">
        <f aca="false">(1+$C$4)^E29</f>
        <v>1.03386314633242</v>
      </c>
      <c r="D29" s="358" t="n">
        <f aca="false">D28+1</f>
        <v>15</v>
      </c>
      <c r="E29" s="361" t="n">
        <f aca="false">D29/12</f>
        <v>1.25</v>
      </c>
    </row>
    <row r="30" customFormat="false" ht="16.5" hidden="false" customHeight="false" outlineLevel="0" collapsed="false">
      <c r="B30" s="371" t="n">
        <v>36982</v>
      </c>
      <c r="C30" s="360" t="n">
        <f aca="false">(1+$C$4)^E30</f>
        <v>1.03616103878009</v>
      </c>
      <c r="D30" s="358" t="n">
        <f aca="false">D29+1</f>
        <v>16</v>
      </c>
      <c r="E30" s="361" t="n">
        <f aca="false">D30/12</f>
        <v>1.33333333333333</v>
      </c>
    </row>
    <row r="31" customFormat="false" ht="16.5" hidden="false" customHeight="false" outlineLevel="0" collapsed="false">
      <c r="B31" s="371" t="n">
        <v>37012</v>
      </c>
      <c r="C31" s="360" t="n">
        <f aca="false">(1+$C$4)^E31</f>
        <v>1.03846403858623</v>
      </c>
      <c r="D31" s="358" t="n">
        <f aca="false">D30+1</f>
        <v>17</v>
      </c>
      <c r="E31" s="361" t="n">
        <f aca="false">D31/12</f>
        <v>1.41666666666667</v>
      </c>
    </row>
    <row r="32" customFormat="false" ht="16.5" hidden="false" customHeight="false" outlineLevel="0" collapsed="false">
      <c r="B32" s="371" t="n">
        <v>37043</v>
      </c>
      <c r="C32" s="360" t="n">
        <f aca="false">(1+$C$4)^E32</f>
        <v>1.0407721571026</v>
      </c>
      <c r="D32" s="358" t="n">
        <f aca="false">D31+1</f>
        <v>18</v>
      </c>
      <c r="E32" s="361" t="n">
        <f aca="false">D32/12</f>
        <v>1.5</v>
      </c>
    </row>
    <row r="33" customFormat="false" ht="16.5" hidden="false" customHeight="false" outlineLevel="0" collapsed="false">
      <c r="B33" s="371" t="n">
        <v>37073</v>
      </c>
      <c r="C33" s="360" t="n">
        <f aca="false">(1+$C$4)^E33</f>
        <v>1.04308540570618</v>
      </c>
      <c r="D33" s="358" t="n">
        <f aca="false">D32+1</f>
        <v>19</v>
      </c>
      <c r="E33" s="361" t="n">
        <f aca="false">D33/12</f>
        <v>1.58333333333333</v>
      </c>
    </row>
    <row r="34" customFormat="false" ht="16.5" hidden="false" customHeight="false" outlineLevel="0" collapsed="false">
      <c r="B34" s="371" t="n">
        <v>37104</v>
      </c>
      <c r="C34" s="360" t="n">
        <f aca="false">(1+$C$4)^E34</f>
        <v>1.04540379579925</v>
      </c>
      <c r="D34" s="358" t="n">
        <f aca="false">D33+1</f>
        <v>20</v>
      </c>
      <c r="E34" s="361" t="n">
        <f aca="false">D34/12</f>
        <v>1.66666666666667</v>
      </c>
    </row>
    <row r="35" customFormat="false" ht="16.5" hidden="false" customHeight="false" outlineLevel="0" collapsed="false">
      <c r="B35" s="371" t="n">
        <v>37135</v>
      </c>
      <c r="C35" s="360" t="n">
        <f aca="false">(1+$C$4)^E35</f>
        <v>1.04772733880942</v>
      </c>
      <c r="D35" s="358" t="n">
        <f aca="false">D34+1</f>
        <v>21</v>
      </c>
      <c r="E35" s="361" t="n">
        <f aca="false">D35/12</f>
        <v>1.75</v>
      </c>
    </row>
    <row r="36" customFormat="false" ht="16.5" hidden="false" customHeight="false" outlineLevel="0" collapsed="false">
      <c r="B36" s="371" t="n">
        <v>37165</v>
      </c>
      <c r="C36" s="360" t="n">
        <f aca="false">(1+$C$4)^E36</f>
        <v>1.0500560461897</v>
      </c>
      <c r="D36" s="358" t="n">
        <f aca="false">D35+1</f>
        <v>22</v>
      </c>
      <c r="E36" s="361" t="n">
        <f aca="false">D36/12</f>
        <v>1.83333333333333</v>
      </c>
    </row>
    <row r="37" customFormat="false" ht="16.5" hidden="false" customHeight="false" outlineLevel="0" collapsed="false">
      <c r="B37" s="371" t="n">
        <v>37196</v>
      </c>
      <c r="C37" s="360" t="n">
        <f aca="false">(1+$C$4)^E37</f>
        <v>1.05238992941857</v>
      </c>
      <c r="D37" s="358" t="n">
        <f aca="false">D36+1</f>
        <v>23</v>
      </c>
      <c r="E37" s="361" t="n">
        <f aca="false">D37/12</f>
        <v>1.91666666666667</v>
      </c>
    </row>
    <row r="38" customFormat="false" ht="16.5" hidden="false" customHeight="false" outlineLevel="0" collapsed="false">
      <c r="B38" s="371" t="n">
        <v>37226</v>
      </c>
      <c r="C38" s="360" t="n">
        <f aca="false">(1+$C$4)^E38</f>
        <v>1.054729</v>
      </c>
      <c r="D38" s="358" t="n">
        <f aca="false">D37+1</f>
        <v>24</v>
      </c>
      <c r="E38" s="361" t="n">
        <f aca="false">D38/12</f>
        <v>2</v>
      </c>
    </row>
    <row r="39" customFormat="false" ht="16.5" hidden="false" customHeight="false" outlineLevel="0" collapsed="false">
      <c r="B39" s="371" t="n">
        <v>37257</v>
      </c>
      <c r="C39" s="360" t="n">
        <f aca="false">(1+$C$4)^E39</f>
        <v>1.05707326946355</v>
      </c>
      <c r="D39" s="358" t="n">
        <f aca="false">D38+1</f>
        <v>25</v>
      </c>
      <c r="E39" s="361" t="n">
        <f aca="false">D39/12</f>
        <v>2.08333333333333</v>
      </c>
    </row>
    <row r="40" customFormat="false" ht="16.5" hidden="false" customHeight="false" outlineLevel="0" collapsed="false">
      <c r="B40" s="371" t="n">
        <v>37288</v>
      </c>
      <c r="C40" s="360" t="n">
        <f aca="false">(1+$C$4)^E40</f>
        <v>1.05942274936439</v>
      </c>
      <c r="D40" s="358" t="n">
        <f aca="false">D39+1</f>
        <v>26</v>
      </c>
      <c r="E40" s="361" t="n">
        <f aca="false">D40/12</f>
        <v>2.16666666666667</v>
      </c>
    </row>
    <row r="41" customFormat="false" ht="16.5" hidden="false" customHeight="false" outlineLevel="0" collapsed="false">
      <c r="B41" s="371" t="n">
        <v>37316</v>
      </c>
      <c r="C41" s="360" t="n">
        <f aca="false">(1+$C$4)^E41</f>
        <v>1.0617774512834</v>
      </c>
      <c r="D41" s="358" t="n">
        <f aca="false">D40+1</f>
        <v>27</v>
      </c>
      <c r="E41" s="361" t="n">
        <f aca="false">D41/12</f>
        <v>2.25</v>
      </c>
    </row>
    <row r="42" customFormat="false" ht="16.5" hidden="false" customHeight="false" outlineLevel="0" collapsed="false">
      <c r="B42" s="371" t="n">
        <v>37347</v>
      </c>
      <c r="C42" s="360" t="n">
        <f aca="false">(1+$C$4)^E42</f>
        <v>1.06413738682715</v>
      </c>
      <c r="D42" s="358" t="n">
        <f aca="false">D41+1</f>
        <v>28</v>
      </c>
      <c r="E42" s="361" t="n">
        <f aca="false">D42/12</f>
        <v>2.33333333333333</v>
      </c>
    </row>
    <row r="43" customFormat="false" ht="16.5" hidden="false" customHeight="false" outlineLevel="0" collapsed="false">
      <c r="B43" s="371" t="n">
        <v>37377</v>
      </c>
      <c r="C43" s="360" t="n">
        <f aca="false">(1+$C$4)^E43</f>
        <v>1.06650256762806</v>
      </c>
      <c r="D43" s="358" t="n">
        <f aca="false">D42+1</f>
        <v>29</v>
      </c>
      <c r="E43" s="361" t="n">
        <f aca="false">D43/12</f>
        <v>2.41666666666667</v>
      </c>
    </row>
    <row r="44" customFormat="false" ht="16.5" hidden="false" customHeight="false" outlineLevel="0" collapsed="false">
      <c r="B44" s="371" t="n">
        <v>37408</v>
      </c>
      <c r="C44" s="360" t="n">
        <f aca="false">(1+$C$4)^E44</f>
        <v>1.06887300534437</v>
      </c>
      <c r="D44" s="358" t="n">
        <f aca="false">D43+1</f>
        <v>30</v>
      </c>
      <c r="E44" s="361" t="n">
        <f aca="false">D44/12</f>
        <v>2.5</v>
      </c>
    </row>
    <row r="45" customFormat="false" ht="16.5" hidden="false" customHeight="false" outlineLevel="0" collapsed="false">
      <c r="B45" s="371" t="n">
        <v>37438</v>
      </c>
      <c r="C45" s="360" t="n">
        <f aca="false">(1+$C$4)^E45</f>
        <v>1.07124871166025</v>
      </c>
      <c r="D45" s="358" t="n">
        <f aca="false">D44+1</f>
        <v>31</v>
      </c>
      <c r="E45" s="361" t="n">
        <f aca="false">D45/12</f>
        <v>2.58333333333333</v>
      </c>
    </row>
    <row r="46" customFormat="false" ht="16.5" hidden="false" customHeight="false" outlineLevel="0" collapsed="false">
      <c r="B46" s="371" t="n">
        <v>37469</v>
      </c>
      <c r="C46" s="360" t="n">
        <f aca="false">(1+$C$4)^E46</f>
        <v>1.07362969828583</v>
      </c>
      <c r="D46" s="358" t="n">
        <f aca="false">D45+1</f>
        <v>32</v>
      </c>
      <c r="E46" s="361" t="n">
        <f aca="false">D46/12</f>
        <v>2.66666666666667</v>
      </c>
    </row>
    <row r="47" customFormat="false" ht="16.5" hidden="false" customHeight="false" outlineLevel="0" collapsed="false">
      <c r="B47" s="371" t="n">
        <v>37500</v>
      </c>
      <c r="C47" s="360" t="n">
        <f aca="false">(1+$C$4)^E47</f>
        <v>1.07601597695727</v>
      </c>
      <c r="D47" s="358" t="n">
        <f aca="false">D46+1</f>
        <v>33</v>
      </c>
      <c r="E47" s="361" t="n">
        <f aca="false">D47/12</f>
        <v>2.75</v>
      </c>
    </row>
    <row r="48" customFormat="false" ht="16.5" hidden="false" customHeight="false" outlineLevel="0" collapsed="false">
      <c r="B48" s="371" t="n">
        <v>37530</v>
      </c>
      <c r="C48" s="360" t="n">
        <f aca="false">(1+$C$4)^E48</f>
        <v>1.07840755943682</v>
      </c>
      <c r="D48" s="358" t="n">
        <f aca="false">D47+1</f>
        <v>34</v>
      </c>
      <c r="E48" s="361" t="n">
        <f aca="false">D48/12</f>
        <v>2.83333333333333</v>
      </c>
    </row>
    <row r="49" customFormat="false" ht="16.5" hidden="false" customHeight="false" outlineLevel="0" collapsed="false">
      <c r="B49" s="371" t="n">
        <v>37561</v>
      </c>
      <c r="C49" s="360" t="n">
        <f aca="false">(1+$C$4)^E49</f>
        <v>1.08080445751287</v>
      </c>
      <c r="D49" s="358" t="n">
        <f aca="false">D48+1</f>
        <v>35</v>
      </c>
      <c r="E49" s="361" t="n">
        <f aca="false">D49/12</f>
        <v>2.91666666666667</v>
      </c>
    </row>
    <row r="50" customFormat="false" ht="16.5" hidden="false" customHeight="false" outlineLevel="0" collapsed="false">
      <c r="B50" s="371" t="n">
        <v>37591</v>
      </c>
      <c r="C50" s="360" t="n">
        <f aca="false">(1+$C$4)^E50</f>
        <v>1.083206683</v>
      </c>
      <c r="D50" s="358" t="n">
        <f aca="false">D49+1</f>
        <v>36</v>
      </c>
      <c r="E50" s="361" t="n">
        <f aca="false">D50/12</f>
        <v>3</v>
      </c>
    </row>
    <row r="51" customFormat="false" ht="16.5" hidden="false" customHeight="false" outlineLevel="0" collapsed="false">
      <c r="B51" s="371" t="n">
        <v>37622</v>
      </c>
      <c r="C51" s="360" t="n">
        <f aca="false">(1+$C$4)^E51</f>
        <v>1.08561424773907</v>
      </c>
      <c r="D51" s="358" t="n">
        <f aca="false">D50+1</f>
        <v>37</v>
      </c>
      <c r="E51" s="361" t="n">
        <f aca="false">D51/12</f>
        <v>3.08333333333333</v>
      </c>
    </row>
    <row r="52" customFormat="false" ht="16.5" hidden="false" customHeight="false" outlineLevel="0" collapsed="false">
      <c r="B52" s="371" t="n">
        <v>37653</v>
      </c>
      <c r="C52" s="360" t="n">
        <f aca="false">(1+$C$4)^E52</f>
        <v>1.08802716359723</v>
      </c>
      <c r="D52" s="358" t="n">
        <f aca="false">D51+1</f>
        <v>38</v>
      </c>
      <c r="E52" s="361" t="n">
        <f aca="false">D52/12</f>
        <v>3.16666666666667</v>
      </c>
    </row>
    <row r="53" customFormat="false" ht="16.5" hidden="false" customHeight="false" outlineLevel="0" collapsed="false">
      <c r="B53" s="371" t="n">
        <v>37681</v>
      </c>
      <c r="C53" s="360" t="n">
        <f aca="false">(1+$C$4)^E53</f>
        <v>1.09044544246805</v>
      </c>
      <c r="D53" s="358" t="n">
        <f aca="false">D52+1</f>
        <v>39</v>
      </c>
      <c r="E53" s="361" t="n">
        <f aca="false">D53/12</f>
        <v>3.25</v>
      </c>
    </row>
    <row r="54" customFormat="false" ht="16.5" hidden="false" customHeight="false" outlineLevel="0" collapsed="false">
      <c r="B54" s="371" t="n">
        <v>37712</v>
      </c>
      <c r="C54" s="360" t="n">
        <f aca="false">(1+$C$4)^E54</f>
        <v>1.09286909627148</v>
      </c>
      <c r="D54" s="358" t="n">
        <f aca="false">D53+1</f>
        <v>40</v>
      </c>
      <c r="E54" s="361" t="n">
        <f aca="false">D54/12</f>
        <v>3.33333333333333</v>
      </c>
    </row>
    <row r="55" customFormat="false" ht="16.5" hidden="false" customHeight="false" outlineLevel="0" collapsed="false">
      <c r="B55" s="371" t="n">
        <v>37742</v>
      </c>
      <c r="C55" s="360" t="n">
        <f aca="false">(1+$C$4)^E55</f>
        <v>1.09529813695402</v>
      </c>
      <c r="D55" s="358" t="n">
        <f aca="false">D54+1</f>
        <v>41</v>
      </c>
      <c r="E55" s="361" t="n">
        <f aca="false">D55/12</f>
        <v>3.41666666666667</v>
      </c>
    </row>
    <row r="56" customFormat="false" ht="16.5" hidden="false" customHeight="false" outlineLevel="0" collapsed="false">
      <c r="B56" s="371" t="n">
        <v>37773</v>
      </c>
      <c r="C56" s="360" t="n">
        <f aca="false">(1+$C$4)^E56</f>
        <v>1.09773257648867</v>
      </c>
      <c r="D56" s="358" t="n">
        <f aca="false">D55+1</f>
        <v>42</v>
      </c>
      <c r="E56" s="361" t="n">
        <f aca="false">D56/12</f>
        <v>3.5</v>
      </c>
    </row>
    <row r="57" customFormat="false" ht="16.5" hidden="false" customHeight="false" outlineLevel="0" collapsed="false">
      <c r="B57" s="371" t="n">
        <v>37803</v>
      </c>
      <c r="C57" s="360" t="n">
        <f aca="false">(1+$C$4)^E57</f>
        <v>1.10017242687508</v>
      </c>
      <c r="D57" s="358" t="n">
        <f aca="false">D56+1</f>
        <v>43</v>
      </c>
      <c r="E57" s="361" t="n">
        <f aca="false">D57/12</f>
        <v>3.58333333333333</v>
      </c>
    </row>
    <row r="58" customFormat="false" ht="16.5" hidden="false" customHeight="false" outlineLevel="0" collapsed="false">
      <c r="B58" s="371" t="n">
        <v>37834</v>
      </c>
      <c r="C58" s="360" t="n">
        <f aca="false">(1+$C$4)^E58</f>
        <v>1.10261770013955</v>
      </c>
      <c r="D58" s="358" t="n">
        <f aca="false">D57+1</f>
        <v>44</v>
      </c>
      <c r="E58" s="361" t="n">
        <f aca="false">D58/12</f>
        <v>3.66666666666667</v>
      </c>
    </row>
    <row r="59" customFormat="false" ht="16.5" hidden="false" customHeight="false" outlineLevel="0" collapsed="false">
      <c r="B59" s="371" t="n">
        <v>37865</v>
      </c>
      <c r="C59" s="360" t="n">
        <f aca="false">(1+$C$4)^E59</f>
        <v>1.10506840833512</v>
      </c>
      <c r="D59" s="358" t="n">
        <f aca="false">D58+1</f>
        <v>45</v>
      </c>
      <c r="E59" s="361" t="n">
        <f aca="false">D59/12</f>
        <v>3.75</v>
      </c>
    </row>
    <row r="60" customFormat="false" ht="16.5" hidden="false" customHeight="false" outlineLevel="0" collapsed="false">
      <c r="B60" s="371" t="n">
        <v>37895</v>
      </c>
      <c r="C60" s="360" t="n">
        <f aca="false">(1+$C$4)^E60</f>
        <v>1.10752456354162</v>
      </c>
      <c r="D60" s="358" t="n">
        <f aca="false">D59+1</f>
        <v>46</v>
      </c>
      <c r="E60" s="361" t="n">
        <f aca="false">D60/12</f>
        <v>3.83333333333333</v>
      </c>
    </row>
    <row r="61" customFormat="false" ht="16.5" hidden="false" customHeight="false" outlineLevel="0" collapsed="false">
      <c r="B61" s="371" t="n">
        <v>37926</v>
      </c>
      <c r="C61" s="360" t="n">
        <f aca="false">(1+$C$4)^E61</f>
        <v>1.10998617786572</v>
      </c>
      <c r="D61" s="358" t="n">
        <f aca="false">D60+1</f>
        <v>47</v>
      </c>
      <c r="E61" s="361" t="n">
        <f aca="false">D61/12</f>
        <v>3.91666666666667</v>
      </c>
    </row>
    <row r="62" customFormat="false" ht="16.5" hidden="false" customHeight="false" outlineLevel="0" collapsed="false">
      <c r="B62" s="371" t="n">
        <v>37956</v>
      </c>
      <c r="C62" s="360" t="n">
        <f aca="false">(1+$C$4)^E62</f>
        <v>1.112453263441</v>
      </c>
      <c r="D62" s="358" t="n">
        <f aca="false">D61+1</f>
        <v>48</v>
      </c>
      <c r="E62" s="361" t="n">
        <f aca="false">D62/12</f>
        <v>4</v>
      </c>
    </row>
    <row r="63" customFormat="false" ht="16.5" hidden="false" customHeight="false" outlineLevel="0" collapsed="false">
      <c r="B63" s="371" t="n">
        <v>37987</v>
      </c>
      <c r="C63" s="360" t="n">
        <f aca="false">(1+$C$4)^E63</f>
        <v>1.11492583242802</v>
      </c>
      <c r="D63" s="358" t="n">
        <f aca="false">D62+1</f>
        <v>49</v>
      </c>
      <c r="E63" s="361" t="n">
        <f aca="false">D63/12</f>
        <v>4.08333333333333</v>
      </c>
    </row>
    <row r="64" customFormat="false" ht="16.5" hidden="false" customHeight="false" outlineLevel="0" collapsed="false">
      <c r="B64" s="371" t="n">
        <v>38018</v>
      </c>
      <c r="C64" s="360" t="n">
        <f aca="false">(1+$C$4)^E64</f>
        <v>1.11740389701436</v>
      </c>
      <c r="D64" s="358" t="n">
        <f aca="false">D63+1</f>
        <v>50</v>
      </c>
      <c r="E64" s="361" t="n">
        <f aca="false">D64/12</f>
        <v>4.16666666666667</v>
      </c>
    </row>
    <row r="65" customFormat="false" ht="16.5" hidden="false" customHeight="false" outlineLevel="0" collapsed="false">
      <c r="B65" s="371" t="n">
        <v>38047</v>
      </c>
      <c r="C65" s="360" t="n">
        <f aca="false">(1+$C$4)^E65</f>
        <v>1.11988746941468</v>
      </c>
      <c r="D65" s="358" t="n">
        <f aca="false">D64+1</f>
        <v>51</v>
      </c>
      <c r="E65" s="361" t="n">
        <f aca="false">D65/12</f>
        <v>4.25</v>
      </c>
    </row>
    <row r="66" customFormat="false" ht="16.5" hidden="false" customHeight="false" outlineLevel="0" collapsed="false">
      <c r="B66" s="371" t="n">
        <v>38078</v>
      </c>
      <c r="C66" s="360" t="n">
        <f aca="false">(1+$C$4)^E66</f>
        <v>1.12237656187081</v>
      </c>
      <c r="D66" s="358" t="n">
        <f aca="false">D65+1</f>
        <v>52</v>
      </c>
      <c r="E66" s="361" t="n">
        <f aca="false">D66/12</f>
        <v>4.33333333333333</v>
      </c>
    </row>
    <row r="67" customFormat="false" ht="16.5" hidden="false" customHeight="false" outlineLevel="0" collapsed="false">
      <c r="B67" s="371" t="n">
        <v>38108</v>
      </c>
      <c r="C67" s="360" t="n">
        <f aca="false">(1+$C$4)^E67</f>
        <v>1.12487118665177</v>
      </c>
      <c r="D67" s="358" t="n">
        <f aca="false">D66+1</f>
        <v>53</v>
      </c>
      <c r="E67" s="361" t="n">
        <f aca="false">D67/12</f>
        <v>4.41666666666667</v>
      </c>
    </row>
    <row r="68" customFormat="false" ht="16.5" hidden="false" customHeight="false" outlineLevel="0" collapsed="false">
      <c r="B68" s="371" t="n">
        <v>38139</v>
      </c>
      <c r="C68" s="360" t="n">
        <f aca="false">(1+$C$4)^E68</f>
        <v>1.12737135605386</v>
      </c>
      <c r="D68" s="358" t="n">
        <f aca="false">D67+1</f>
        <v>54</v>
      </c>
      <c r="E68" s="361" t="n">
        <f aca="false">D68/12</f>
        <v>4.5</v>
      </c>
    </row>
    <row r="69" customFormat="false" ht="16.5" hidden="false" customHeight="false" outlineLevel="0" collapsed="false">
      <c r="B69" s="371" t="n">
        <v>38169</v>
      </c>
      <c r="C69" s="360" t="n">
        <f aca="false">(1+$C$4)^E69</f>
        <v>1.1298770824007</v>
      </c>
      <c r="D69" s="358" t="n">
        <f aca="false">D68+1</f>
        <v>55</v>
      </c>
      <c r="E69" s="361" t="n">
        <f aca="false">D69/12</f>
        <v>4.58333333333333</v>
      </c>
    </row>
    <row r="70" customFormat="false" ht="16.5" hidden="false" customHeight="false" outlineLevel="0" collapsed="false">
      <c r="B70" s="371" t="n">
        <v>38200</v>
      </c>
      <c r="C70" s="360" t="n">
        <f aca="false">(1+$C$4)^E70</f>
        <v>1.13238837804332</v>
      </c>
      <c r="D70" s="358" t="n">
        <f aca="false">D69+1</f>
        <v>56</v>
      </c>
      <c r="E70" s="361" t="n">
        <f aca="false">D70/12</f>
        <v>4.66666666666667</v>
      </c>
    </row>
    <row r="71" customFormat="false" ht="16.5" hidden="false" customHeight="false" outlineLevel="0" collapsed="false">
      <c r="B71" s="371" t="n">
        <v>38231</v>
      </c>
      <c r="C71" s="360" t="n">
        <f aca="false">(1+$C$4)^E71</f>
        <v>1.13490525536017</v>
      </c>
      <c r="D71" s="358" t="n">
        <f aca="false">D70+1</f>
        <v>57</v>
      </c>
      <c r="E71" s="361" t="n">
        <f aca="false">D71/12</f>
        <v>4.75</v>
      </c>
    </row>
    <row r="72" customFormat="false" ht="16.5" hidden="false" customHeight="false" outlineLevel="0" collapsed="false">
      <c r="B72" s="371" t="n">
        <v>38261</v>
      </c>
      <c r="C72" s="360" t="n">
        <f aca="false">(1+$C$4)^E72</f>
        <v>1.13742772675724</v>
      </c>
      <c r="D72" s="358" t="n">
        <f aca="false">D71+1</f>
        <v>58</v>
      </c>
      <c r="E72" s="361" t="n">
        <f aca="false">D72/12</f>
        <v>4.83333333333333</v>
      </c>
    </row>
    <row r="73" customFormat="false" ht="16.5" hidden="false" customHeight="false" outlineLevel="0" collapsed="false">
      <c r="B73" s="371" t="n">
        <v>38292</v>
      </c>
      <c r="C73" s="360" t="n">
        <f aca="false">(1+$C$4)^E73</f>
        <v>1.13995580466809</v>
      </c>
      <c r="D73" s="358" t="n">
        <f aca="false">D72+1</f>
        <v>59</v>
      </c>
      <c r="E73" s="361" t="n">
        <f aca="false">D73/12</f>
        <v>4.91666666666667</v>
      </c>
    </row>
    <row r="74" customFormat="false" ht="16.5" hidden="false" customHeight="false" outlineLevel="0" collapsed="false">
      <c r="B74" s="371" t="n">
        <v>38322</v>
      </c>
      <c r="C74" s="360" t="n">
        <f aca="false">(1+$C$4)^E74</f>
        <v>1.14248950155391</v>
      </c>
      <c r="D74" s="358" t="n">
        <f aca="false">D73+1</f>
        <v>60</v>
      </c>
      <c r="E74" s="361" t="n">
        <f aca="false">D74/12</f>
        <v>5</v>
      </c>
    </row>
    <row r="75" customFormat="false" ht="16.5" hidden="false" customHeight="false" outlineLevel="0" collapsed="false">
      <c r="B75" s="371" t="n">
        <v>38353</v>
      </c>
      <c r="C75" s="360" t="n">
        <f aca="false">(1+$C$4)^E75</f>
        <v>1.14502882990358</v>
      </c>
      <c r="D75" s="358" t="n">
        <f aca="false">D74+1</f>
        <v>61</v>
      </c>
      <c r="E75" s="361" t="n">
        <f aca="false">D75/12</f>
        <v>5.08333333333333</v>
      </c>
    </row>
    <row r="76" customFormat="false" ht="16.5" hidden="false" customHeight="false" outlineLevel="0" collapsed="false">
      <c r="B76" s="371" t="n">
        <v>38384</v>
      </c>
      <c r="C76" s="360" t="n">
        <f aca="false">(1+$C$4)^E76</f>
        <v>1.14757380223375</v>
      </c>
      <c r="D76" s="358" t="n">
        <f aca="false">D75+1</f>
        <v>62</v>
      </c>
      <c r="E76" s="361" t="n">
        <f aca="false">D76/12</f>
        <v>5.16666666666667</v>
      </c>
    </row>
    <row r="77" customFormat="false" ht="16.5" hidden="false" customHeight="false" outlineLevel="0" collapsed="false">
      <c r="B77" s="371" t="n">
        <v>38412</v>
      </c>
      <c r="C77" s="360" t="n">
        <f aca="false">(1+$C$4)^E77</f>
        <v>1.15012443108888</v>
      </c>
      <c r="D77" s="358" t="n">
        <f aca="false">D76+1</f>
        <v>63</v>
      </c>
      <c r="E77" s="361" t="n">
        <f aca="false">D77/12</f>
        <v>5.25</v>
      </c>
    </row>
    <row r="78" customFormat="false" ht="16.5" hidden="false" customHeight="false" outlineLevel="0" collapsed="false">
      <c r="B78" s="371" t="n">
        <v>38443</v>
      </c>
      <c r="C78" s="360" t="n">
        <f aca="false">(1+$C$4)^E78</f>
        <v>1.15268072904133</v>
      </c>
      <c r="D78" s="358" t="n">
        <f aca="false">D77+1</f>
        <v>64</v>
      </c>
      <c r="E78" s="361" t="n">
        <f aca="false">D78/12</f>
        <v>5.33333333333333</v>
      </c>
    </row>
    <row r="79" customFormat="false" ht="16.5" hidden="false" customHeight="false" outlineLevel="0" collapsed="false">
      <c r="B79" s="371" t="n">
        <v>38473</v>
      </c>
      <c r="C79" s="360" t="n">
        <f aca="false">(1+$C$4)^E79</f>
        <v>1.15524270869137</v>
      </c>
      <c r="D79" s="358" t="n">
        <f aca="false">D78+1</f>
        <v>65</v>
      </c>
      <c r="E79" s="361" t="n">
        <f aca="false">D79/12</f>
        <v>5.41666666666667</v>
      </c>
    </row>
    <row r="80" customFormat="false" ht="16.5" hidden="false" customHeight="false" outlineLevel="0" collapsed="false">
      <c r="B80" s="371" t="n">
        <v>38504</v>
      </c>
      <c r="C80" s="360" t="n">
        <f aca="false">(1+$C$4)^E80</f>
        <v>1.15781038266732</v>
      </c>
      <c r="D80" s="358" t="n">
        <f aca="false">D79+1</f>
        <v>66</v>
      </c>
      <c r="E80" s="361" t="n">
        <f aca="false">D80/12</f>
        <v>5.5</v>
      </c>
    </row>
    <row r="81" customFormat="false" ht="16.5" hidden="false" customHeight="false" outlineLevel="0" collapsed="false">
      <c r="B81" s="371" t="n">
        <v>38534</v>
      </c>
      <c r="C81" s="360" t="n">
        <f aca="false">(1+$C$4)^E81</f>
        <v>1.16038376362552</v>
      </c>
      <c r="D81" s="358" t="n">
        <f aca="false">D80+1</f>
        <v>67</v>
      </c>
      <c r="E81" s="361" t="n">
        <f aca="false">D81/12</f>
        <v>5.58333333333333</v>
      </c>
    </row>
    <row r="82" customFormat="false" ht="16.5" hidden="false" customHeight="false" outlineLevel="0" collapsed="false">
      <c r="B82" s="371" t="n">
        <v>38565</v>
      </c>
      <c r="C82" s="360" t="n">
        <f aca="false">(1+$C$4)^E82</f>
        <v>1.16296286425049</v>
      </c>
      <c r="D82" s="358" t="n">
        <f aca="false">D81+1</f>
        <v>68</v>
      </c>
      <c r="E82" s="361" t="n">
        <f aca="false">D82/12</f>
        <v>5.66666666666667</v>
      </c>
    </row>
    <row r="83" customFormat="false" ht="16.5" hidden="false" customHeight="false" outlineLevel="0" collapsed="false">
      <c r="B83" s="371" t="n">
        <v>38596</v>
      </c>
      <c r="C83" s="360" t="n">
        <f aca="false">(1+$C$4)^E83</f>
        <v>1.16554769725489</v>
      </c>
      <c r="D83" s="358" t="n">
        <f aca="false">D82+1</f>
        <v>69</v>
      </c>
      <c r="E83" s="361" t="n">
        <f aca="false">D83/12</f>
        <v>5.75</v>
      </c>
    </row>
    <row r="84" customFormat="false" ht="16.5" hidden="false" customHeight="false" outlineLevel="0" collapsed="false">
      <c r="B84" s="371" t="n">
        <v>38626</v>
      </c>
      <c r="C84" s="360" t="n">
        <f aca="false">(1+$C$4)^E84</f>
        <v>1.16813827537969</v>
      </c>
      <c r="D84" s="358" t="n">
        <f aca="false">D83+1</f>
        <v>70</v>
      </c>
      <c r="E84" s="361" t="n">
        <f aca="false">D84/12</f>
        <v>5.83333333333333</v>
      </c>
    </row>
    <row r="85" customFormat="false" ht="16.5" hidden="false" customHeight="false" outlineLevel="0" collapsed="false">
      <c r="B85" s="371" t="n">
        <v>38657</v>
      </c>
      <c r="C85" s="360" t="n">
        <f aca="false">(1+$C$4)^E85</f>
        <v>1.17073461139413</v>
      </c>
      <c r="D85" s="358" t="n">
        <f aca="false">D84+1</f>
        <v>71</v>
      </c>
      <c r="E85" s="361" t="n">
        <f aca="false">D85/12</f>
        <v>5.91666666666667</v>
      </c>
    </row>
    <row r="86" customFormat="false" ht="16.5" hidden="false" customHeight="false" outlineLevel="0" collapsed="false">
      <c r="B86" s="371" t="n">
        <v>38687</v>
      </c>
      <c r="C86" s="360" t="n">
        <f aca="false">(1+$C$4)^E86</f>
        <v>1.17333671809586</v>
      </c>
      <c r="D86" s="358" t="n">
        <f aca="false">D85+1</f>
        <v>72</v>
      </c>
      <c r="E86" s="361" t="n">
        <f aca="false">D86/12</f>
        <v>6</v>
      </c>
    </row>
    <row r="87" customFormat="false" ht="16.5" hidden="false" customHeight="false" outlineLevel="0" collapsed="false">
      <c r="B87" s="371" t="n">
        <v>38718</v>
      </c>
      <c r="C87" s="360" t="n">
        <f aca="false">(1+$C$4)^E87</f>
        <v>1.17594460831097</v>
      </c>
      <c r="D87" s="358" t="n">
        <f aca="false">D86+1</f>
        <v>73</v>
      </c>
      <c r="E87" s="361" t="n">
        <f aca="false">D87/12</f>
        <v>6.08333333333333</v>
      </c>
    </row>
    <row r="88" customFormat="false" ht="16.5" hidden="false" customHeight="false" outlineLevel="0" collapsed="false">
      <c r="B88" s="371" t="n">
        <v>38749</v>
      </c>
      <c r="C88" s="360" t="n">
        <f aca="false">(1+$C$4)^E88</f>
        <v>1.17855829489406</v>
      </c>
      <c r="D88" s="358" t="n">
        <f aca="false">D87+1</f>
        <v>74</v>
      </c>
      <c r="E88" s="361" t="n">
        <f aca="false">D88/12</f>
        <v>6.16666666666667</v>
      </c>
    </row>
    <row r="89" customFormat="false" ht="16.5" hidden="false" customHeight="false" outlineLevel="0" collapsed="false">
      <c r="B89" s="371" t="n">
        <v>38777</v>
      </c>
      <c r="C89" s="360" t="n">
        <f aca="false">(1+$C$4)^E89</f>
        <v>1.18117779072828</v>
      </c>
      <c r="D89" s="358" t="n">
        <f aca="false">D88+1</f>
        <v>75</v>
      </c>
      <c r="E89" s="361" t="n">
        <f aca="false">D89/12</f>
        <v>6.25</v>
      </c>
    </row>
    <row r="90" customFormat="false" ht="16.5" hidden="false" customHeight="false" outlineLevel="0" collapsed="false">
      <c r="B90" s="371" t="n">
        <v>38808</v>
      </c>
      <c r="C90" s="360" t="n">
        <f aca="false">(1+$C$4)^E90</f>
        <v>1.18380310872544</v>
      </c>
      <c r="D90" s="358" t="n">
        <f aca="false">D89+1</f>
        <v>76</v>
      </c>
      <c r="E90" s="361" t="n">
        <f aca="false">D90/12</f>
        <v>6.33333333333333</v>
      </c>
    </row>
    <row r="91" customFormat="false" ht="16.5" hidden="false" customHeight="false" outlineLevel="0" collapsed="false">
      <c r="B91" s="371" t="n">
        <v>38838</v>
      </c>
      <c r="C91" s="360" t="n">
        <f aca="false">(1+$C$4)^E91</f>
        <v>1.18643426182604</v>
      </c>
      <c r="D91" s="358" t="n">
        <f aca="false">D90+1</f>
        <v>77</v>
      </c>
      <c r="E91" s="361" t="n">
        <f aca="false">D91/12</f>
        <v>6.41666666666667</v>
      </c>
    </row>
    <row r="92" customFormat="false" ht="16.5" hidden="false" customHeight="false" outlineLevel="0" collapsed="false">
      <c r="B92" s="371" t="n">
        <v>38869</v>
      </c>
      <c r="C92" s="360" t="n">
        <f aca="false">(1+$C$4)^E92</f>
        <v>1.18907126299933</v>
      </c>
      <c r="D92" s="358" t="n">
        <f aca="false">D91+1</f>
        <v>78</v>
      </c>
      <c r="E92" s="361" t="n">
        <f aca="false">D92/12</f>
        <v>6.5</v>
      </c>
    </row>
    <row r="93" customFormat="false" ht="16.5" hidden="false" customHeight="false" outlineLevel="0" collapsed="false">
      <c r="B93" s="371" t="n">
        <v>38899</v>
      </c>
      <c r="C93" s="360" t="n">
        <f aca="false">(1+$C$4)^E93</f>
        <v>1.19171412524341</v>
      </c>
      <c r="D93" s="358" t="n">
        <f aca="false">D92+1</f>
        <v>79</v>
      </c>
      <c r="E93" s="361" t="n">
        <f aca="false">D93/12</f>
        <v>6.58333333333333</v>
      </c>
    </row>
    <row r="94" customFormat="false" ht="16.5" hidden="false" customHeight="false" outlineLevel="0" collapsed="false">
      <c r="B94" s="371" t="n">
        <v>38930</v>
      </c>
      <c r="C94" s="360" t="n">
        <f aca="false">(1+$C$4)^E94</f>
        <v>1.19436286158525</v>
      </c>
      <c r="D94" s="358" t="n">
        <f aca="false">D93+1</f>
        <v>80</v>
      </c>
      <c r="E94" s="361" t="n">
        <f aca="false">D94/12</f>
        <v>6.66666666666667</v>
      </c>
    </row>
    <row r="95" customFormat="false" ht="16.5" hidden="false" customHeight="false" outlineLevel="0" collapsed="false">
      <c r="B95" s="371" t="n">
        <v>38961</v>
      </c>
      <c r="C95" s="360" t="n">
        <f aca="false">(1+$C$4)^E95</f>
        <v>1.19701748508077</v>
      </c>
      <c r="D95" s="358" t="n">
        <f aca="false">D94+1</f>
        <v>81</v>
      </c>
      <c r="E95" s="361" t="n">
        <f aca="false">D95/12</f>
        <v>6.75</v>
      </c>
    </row>
    <row r="96" customFormat="false" ht="16.5" hidden="false" customHeight="false" outlineLevel="0" collapsed="false">
      <c r="B96" s="371" t="n">
        <v>38991</v>
      </c>
      <c r="C96" s="360" t="n">
        <f aca="false">(1+$C$4)^E96</f>
        <v>1.19967800881494</v>
      </c>
      <c r="D96" s="358" t="n">
        <f aca="false">D95+1</f>
        <v>82</v>
      </c>
      <c r="E96" s="361" t="n">
        <f aca="false">D96/12</f>
        <v>6.83333333333333</v>
      </c>
    </row>
    <row r="97" customFormat="false" ht="16.5" hidden="false" customHeight="false" outlineLevel="0" collapsed="false">
      <c r="B97" s="371" t="n">
        <v>39022</v>
      </c>
      <c r="C97" s="360" t="n">
        <f aca="false">(1+$C$4)^E97</f>
        <v>1.20234444590177</v>
      </c>
      <c r="D97" s="358" t="n">
        <f aca="false">D96+1</f>
        <v>83</v>
      </c>
      <c r="E97" s="361" t="n">
        <f aca="false">D97/12</f>
        <v>6.91666666666667</v>
      </c>
    </row>
    <row r="98" customFormat="false" ht="16.5" hidden="false" customHeight="false" outlineLevel="0" collapsed="false">
      <c r="B98" s="371" t="n">
        <v>39052</v>
      </c>
      <c r="C98" s="360" t="n">
        <f aca="false">(1+$C$4)^E98</f>
        <v>1.20501680948445</v>
      </c>
      <c r="D98" s="358" t="n">
        <f aca="false">D97+1</f>
        <v>84</v>
      </c>
      <c r="E98" s="361" t="n">
        <f aca="false">D98/12</f>
        <v>7</v>
      </c>
    </row>
    <row r="99" customFormat="false" ht="16.5" hidden="false" customHeight="false" outlineLevel="0" collapsed="false">
      <c r="B99" s="371" t="n">
        <v>39083</v>
      </c>
      <c r="C99" s="360" t="n">
        <f aca="false">(1+$C$4)^E99</f>
        <v>1.20769511273537</v>
      </c>
      <c r="D99" s="358" t="n">
        <f aca="false">D98+1</f>
        <v>85</v>
      </c>
      <c r="E99" s="361" t="n">
        <f aca="false">D99/12</f>
        <v>7.08333333333333</v>
      </c>
    </row>
    <row r="100" customFormat="false" ht="16.5" hidden="false" customHeight="false" outlineLevel="0" collapsed="false">
      <c r="B100" s="371" t="n">
        <v>39114</v>
      </c>
      <c r="C100" s="360" t="n">
        <f aca="false">(1+$C$4)^E100</f>
        <v>1.2103793688562</v>
      </c>
      <c r="D100" s="358" t="n">
        <f aca="false">D99+1</f>
        <v>86</v>
      </c>
      <c r="E100" s="361" t="n">
        <f aca="false">D100/12</f>
        <v>7.16666666666667</v>
      </c>
    </row>
    <row r="101" customFormat="false" ht="16.5" hidden="false" customHeight="false" outlineLevel="0" collapsed="false">
      <c r="B101" s="371" t="n">
        <v>39142</v>
      </c>
      <c r="C101" s="360" t="n">
        <f aca="false">(1+$C$4)^E101</f>
        <v>1.21306959107794</v>
      </c>
      <c r="D101" s="358" t="n">
        <f aca="false">D100+1</f>
        <v>87</v>
      </c>
      <c r="E101" s="361" t="n">
        <f aca="false">D101/12</f>
        <v>7.25</v>
      </c>
    </row>
    <row r="102" customFormat="false" ht="16.5" hidden="false" customHeight="false" outlineLevel="0" collapsed="false">
      <c r="B102" s="371" t="n">
        <v>39173</v>
      </c>
      <c r="C102" s="360" t="n">
        <f aca="false">(1+$C$4)^E102</f>
        <v>1.21576579266103</v>
      </c>
      <c r="D102" s="358" t="n">
        <f aca="false">D101+1</f>
        <v>88</v>
      </c>
      <c r="E102" s="361" t="n">
        <f aca="false">D102/12</f>
        <v>7.33333333333333</v>
      </c>
    </row>
    <row r="103" customFormat="false" ht="16.5" hidden="false" customHeight="false" outlineLevel="0" collapsed="false">
      <c r="B103" s="371" t="n">
        <v>39203</v>
      </c>
      <c r="C103" s="360" t="n">
        <f aca="false">(1+$C$4)^E103</f>
        <v>1.21846798689534</v>
      </c>
      <c r="D103" s="358" t="n">
        <f aca="false">D102+1</f>
        <v>89</v>
      </c>
      <c r="E103" s="361" t="n">
        <f aca="false">D103/12</f>
        <v>7.41666666666667</v>
      </c>
    </row>
    <row r="104" customFormat="false" ht="16.5" hidden="false" customHeight="false" outlineLevel="0" collapsed="false">
      <c r="B104" s="371" t="n">
        <v>39234</v>
      </c>
      <c r="C104" s="360" t="n">
        <f aca="false">(1+$C$4)^E104</f>
        <v>1.22117618710032</v>
      </c>
      <c r="D104" s="358" t="n">
        <f aca="false">D103+1</f>
        <v>90</v>
      </c>
      <c r="E104" s="361" t="n">
        <f aca="false">D104/12</f>
        <v>7.5</v>
      </c>
    </row>
    <row r="105" customFormat="false" ht="16.5" hidden="false" customHeight="false" outlineLevel="0" collapsed="false">
      <c r="B105" s="371" t="n">
        <v>39264</v>
      </c>
      <c r="C105" s="360" t="n">
        <f aca="false">(1+$C$4)^E105</f>
        <v>1.22389040662498</v>
      </c>
      <c r="D105" s="358" t="n">
        <f aca="false">D104+1</f>
        <v>91</v>
      </c>
      <c r="E105" s="361" t="n">
        <f aca="false">D105/12</f>
        <v>7.58333333333333</v>
      </c>
    </row>
    <row r="106" customFormat="false" ht="16.5" hidden="false" customHeight="false" outlineLevel="0" collapsed="false">
      <c r="B106" s="371" t="n">
        <v>39295</v>
      </c>
      <c r="C106" s="360" t="n">
        <f aca="false">(1+$C$4)^E106</f>
        <v>1.22661065884805</v>
      </c>
      <c r="D106" s="358" t="n">
        <f aca="false">D105+1</f>
        <v>92</v>
      </c>
      <c r="E106" s="361" t="n">
        <f aca="false">D106/12</f>
        <v>7.66666666666667</v>
      </c>
    </row>
    <row r="107" customFormat="false" ht="16.5" hidden="false" customHeight="false" outlineLevel="0" collapsed="false">
      <c r="B107" s="371" t="n">
        <v>39326</v>
      </c>
      <c r="C107" s="360" t="n">
        <f aca="false">(1+$C$4)^E107</f>
        <v>1.22933695717796</v>
      </c>
      <c r="D107" s="358" t="n">
        <f aca="false">D106+1</f>
        <v>93</v>
      </c>
      <c r="E107" s="361" t="n">
        <f aca="false">D107/12</f>
        <v>7.75</v>
      </c>
    </row>
    <row r="108" customFormat="false" ht="16.5" hidden="false" customHeight="false" outlineLevel="0" collapsed="false">
      <c r="B108" s="371" t="n">
        <v>39356</v>
      </c>
      <c r="C108" s="360" t="n">
        <f aca="false">(1+$C$4)^E108</f>
        <v>1.23206931505294</v>
      </c>
      <c r="D108" s="358" t="n">
        <f aca="false">D107+1</f>
        <v>94</v>
      </c>
      <c r="E108" s="361" t="n">
        <f aca="false">D108/12</f>
        <v>7.83333333333333</v>
      </c>
    </row>
    <row r="109" customFormat="false" ht="16.5" hidden="false" customHeight="false" outlineLevel="0" collapsed="false">
      <c r="B109" s="371" t="n">
        <v>39387</v>
      </c>
      <c r="C109" s="360" t="n">
        <f aca="false">(1+$C$4)^E109</f>
        <v>1.23480774594112</v>
      </c>
      <c r="D109" s="358" t="n">
        <f aca="false">D108+1</f>
        <v>95</v>
      </c>
      <c r="E109" s="361" t="n">
        <f aca="false">D109/12</f>
        <v>7.91666666666667</v>
      </c>
    </row>
    <row r="110" customFormat="false" ht="16.5" hidden="false" customHeight="false" outlineLevel="0" collapsed="false">
      <c r="B110" s="371" t="n">
        <v>39417</v>
      </c>
      <c r="C110" s="360" t="n">
        <f aca="false">(1+$C$4)^E110</f>
        <v>1.23755226334053</v>
      </c>
      <c r="D110" s="358" t="n">
        <f aca="false">D109+1</f>
        <v>96</v>
      </c>
      <c r="E110" s="361" t="n">
        <f aca="false">D110/12</f>
        <v>8</v>
      </c>
    </row>
    <row r="111" customFormat="false" ht="16.5" hidden="false" customHeight="false" outlineLevel="0" collapsed="false">
      <c r="B111" s="371" t="n">
        <v>39448</v>
      </c>
      <c r="C111" s="360" t="n">
        <f aca="false">(1+$C$4)^E111</f>
        <v>1.24030288077922</v>
      </c>
      <c r="D111" s="358" t="n">
        <f aca="false">D110+1</f>
        <v>97</v>
      </c>
      <c r="E111" s="361" t="n">
        <f aca="false">D111/12</f>
        <v>8.08333333333333</v>
      </c>
    </row>
    <row r="112" customFormat="false" ht="16.5" hidden="false" customHeight="false" outlineLevel="0" collapsed="false">
      <c r="B112" s="371" t="n">
        <v>39479</v>
      </c>
      <c r="C112" s="360" t="n">
        <f aca="false">(1+$C$4)^E112</f>
        <v>1.24305961181531</v>
      </c>
      <c r="D112" s="358" t="n">
        <f aca="false">D111+1</f>
        <v>98</v>
      </c>
      <c r="E112" s="361" t="n">
        <f aca="false">D112/12</f>
        <v>8.16666666666667</v>
      </c>
    </row>
    <row r="113" customFormat="false" ht="16.5" hidden="false" customHeight="false" outlineLevel="0" collapsed="false">
      <c r="B113" s="371" t="n">
        <v>39508</v>
      </c>
      <c r="C113" s="360" t="n">
        <f aca="false">(1+$C$4)^E113</f>
        <v>1.24582247003705</v>
      </c>
      <c r="D113" s="358" t="n">
        <f aca="false">D112+1</f>
        <v>99</v>
      </c>
      <c r="E113" s="361" t="n">
        <f aca="false">D113/12</f>
        <v>8.25</v>
      </c>
    </row>
    <row r="114" customFormat="false" ht="16.5" hidden="false" customHeight="false" outlineLevel="0" collapsed="false">
      <c r="B114" s="371" t="n">
        <v>39539</v>
      </c>
      <c r="C114" s="360" t="n">
        <f aca="false">(1+$C$4)^E114</f>
        <v>1.24859146906288</v>
      </c>
      <c r="D114" s="358" t="n">
        <f aca="false">D113+1</f>
        <v>100</v>
      </c>
      <c r="E114" s="361" t="n">
        <f aca="false">D114/12</f>
        <v>8.33333333333333</v>
      </c>
    </row>
    <row r="115" customFormat="false" ht="16.5" hidden="false" customHeight="false" outlineLevel="0" collapsed="false">
      <c r="B115" s="371" t="n">
        <v>39569</v>
      </c>
      <c r="C115" s="360" t="n">
        <f aca="false">(1+$C$4)^E115</f>
        <v>1.25136662254152</v>
      </c>
      <c r="D115" s="358" t="n">
        <f aca="false">D114+1</f>
        <v>101</v>
      </c>
      <c r="E115" s="361" t="n">
        <f aca="false">D115/12</f>
        <v>8.41666666666667</v>
      </c>
    </row>
    <row r="116" customFormat="false" ht="16.5" hidden="false" customHeight="false" outlineLevel="0" collapsed="false">
      <c r="B116" s="371" t="n">
        <v>39600</v>
      </c>
      <c r="C116" s="360" t="n">
        <f aca="false">(1+$C$4)^E116</f>
        <v>1.25414794415202</v>
      </c>
      <c r="D116" s="358" t="n">
        <f aca="false">D115+1</f>
        <v>102</v>
      </c>
      <c r="E116" s="361" t="n">
        <f aca="false">D116/12</f>
        <v>8.5</v>
      </c>
    </row>
    <row r="117" customFormat="false" ht="16.5" hidden="false" customHeight="false" outlineLevel="0" collapsed="false">
      <c r="B117" s="371" t="n">
        <v>39630</v>
      </c>
      <c r="C117" s="360" t="n">
        <f aca="false">(1+$C$4)^E117</f>
        <v>1.25693544760386</v>
      </c>
      <c r="D117" s="358" t="n">
        <f aca="false">D116+1</f>
        <v>103</v>
      </c>
      <c r="E117" s="361" t="n">
        <f aca="false">D117/12</f>
        <v>8.58333333333333</v>
      </c>
    </row>
    <row r="118" customFormat="false" ht="16.5" hidden="false" customHeight="false" outlineLevel="0" collapsed="false">
      <c r="B118" s="371" t="n">
        <v>39661</v>
      </c>
      <c r="C118" s="360" t="n">
        <f aca="false">(1+$C$4)^E118</f>
        <v>1.25972914663695</v>
      </c>
      <c r="D118" s="358" t="n">
        <f aca="false">D117+1</f>
        <v>104</v>
      </c>
      <c r="E118" s="361" t="n">
        <f aca="false">D118/12</f>
        <v>8.66666666666667</v>
      </c>
    </row>
    <row r="119" customFormat="false" ht="16.5" hidden="false" customHeight="false" outlineLevel="0" collapsed="false">
      <c r="B119" s="371" t="n">
        <v>39692</v>
      </c>
      <c r="C119" s="360" t="n">
        <f aca="false">(1+$C$4)^E119</f>
        <v>1.26252905502176</v>
      </c>
      <c r="D119" s="358" t="n">
        <f aca="false">D118+1</f>
        <v>105</v>
      </c>
      <c r="E119" s="361" t="n">
        <f aca="false">D119/12</f>
        <v>8.75</v>
      </c>
    </row>
    <row r="120" customFormat="false" ht="16.5" hidden="false" customHeight="false" outlineLevel="0" collapsed="false">
      <c r="B120" s="371" t="n">
        <v>39722</v>
      </c>
      <c r="C120" s="360" t="n">
        <f aca="false">(1+$C$4)^E120</f>
        <v>1.26533518655937</v>
      </c>
      <c r="D120" s="358" t="n">
        <f aca="false">D119+1</f>
        <v>106</v>
      </c>
      <c r="E120" s="361" t="n">
        <f aca="false">D120/12</f>
        <v>8.83333333333333</v>
      </c>
    </row>
    <row r="121" customFormat="false" ht="16.5" hidden="false" customHeight="false" outlineLevel="0" collapsed="false">
      <c r="B121" s="371" t="n">
        <v>39753</v>
      </c>
      <c r="C121" s="360" t="n">
        <f aca="false">(1+$C$4)^E121</f>
        <v>1.26814755508153</v>
      </c>
      <c r="D121" s="358" t="n">
        <f aca="false">D120+1</f>
        <v>107</v>
      </c>
      <c r="E121" s="361" t="n">
        <f aca="false">D121/12</f>
        <v>8.91666666666667</v>
      </c>
    </row>
    <row r="122" customFormat="false" ht="16.5" hidden="false" customHeight="false" outlineLevel="0" collapsed="false">
      <c r="B122" s="371" t="n">
        <v>39783</v>
      </c>
      <c r="C122" s="360" t="n">
        <f aca="false">(1+$C$4)^E122</f>
        <v>1.27096617445072</v>
      </c>
      <c r="D122" s="358" t="n">
        <f aca="false">D121+1</f>
        <v>108</v>
      </c>
      <c r="E122" s="361" t="n">
        <f aca="false">D122/12</f>
        <v>9</v>
      </c>
    </row>
    <row r="123" customFormat="false" ht="16.5" hidden="false" customHeight="false" outlineLevel="0" collapsed="false">
      <c r="B123" s="371" t="n">
        <v>39814</v>
      </c>
      <c r="C123" s="360" t="n">
        <f aca="false">(1+$C$4)^E123</f>
        <v>1.27379105856026</v>
      </c>
      <c r="D123" s="358" t="n">
        <f aca="false">D122+1</f>
        <v>109</v>
      </c>
      <c r="E123" s="361" t="n">
        <f aca="false">D123/12</f>
        <v>9.08333333333333</v>
      </c>
    </row>
    <row r="124" customFormat="false" ht="16.5" hidden="false" customHeight="false" outlineLevel="0" collapsed="false">
      <c r="B124" s="371" t="n">
        <v>39845</v>
      </c>
      <c r="C124" s="360" t="n">
        <f aca="false">(1+$C$4)^E124</f>
        <v>1.27662222133433</v>
      </c>
      <c r="D124" s="358" t="n">
        <f aca="false">D123+1</f>
        <v>110</v>
      </c>
      <c r="E124" s="361" t="n">
        <f aca="false">D124/12</f>
        <v>9.16666666666667</v>
      </c>
    </row>
    <row r="125" customFormat="false" ht="16.5" hidden="false" customHeight="false" outlineLevel="0" collapsed="false">
      <c r="B125" s="371" t="n">
        <v>39873</v>
      </c>
      <c r="C125" s="360" t="n">
        <f aca="false">(1+$C$4)^E125</f>
        <v>1.27945967672805</v>
      </c>
      <c r="D125" s="358" t="n">
        <f aca="false">D124+1</f>
        <v>111</v>
      </c>
      <c r="E125" s="361" t="n">
        <f aca="false">D125/12</f>
        <v>9.25</v>
      </c>
    </row>
    <row r="126" customFormat="false" ht="16.5" hidden="false" customHeight="false" outlineLevel="0" collapsed="false">
      <c r="B126" s="371" t="n">
        <v>39904</v>
      </c>
      <c r="C126" s="360" t="n">
        <f aca="false">(1+$C$4)^E126</f>
        <v>1.28230343872757</v>
      </c>
      <c r="D126" s="358" t="n">
        <f aca="false">D125+1</f>
        <v>112</v>
      </c>
      <c r="E126" s="361" t="n">
        <f aca="false">D126/12</f>
        <v>9.33333333333333</v>
      </c>
    </row>
    <row r="127" customFormat="false" ht="16.5" hidden="false" customHeight="false" outlineLevel="0" collapsed="false">
      <c r="B127" s="371" t="n">
        <v>39934</v>
      </c>
      <c r="C127" s="360" t="n">
        <f aca="false">(1+$C$4)^E127</f>
        <v>1.28515352135014</v>
      </c>
      <c r="D127" s="358" t="n">
        <f aca="false">D126+1</f>
        <v>113</v>
      </c>
      <c r="E127" s="361" t="n">
        <f aca="false">D127/12</f>
        <v>9.41666666666667</v>
      </c>
    </row>
    <row r="128" customFormat="false" ht="16.5" hidden="false" customHeight="false" outlineLevel="0" collapsed="false">
      <c r="B128" s="371" t="n">
        <v>39965</v>
      </c>
      <c r="C128" s="360" t="n">
        <f aca="false">(1+$C$4)^E128</f>
        <v>1.28800993864413</v>
      </c>
      <c r="D128" s="358" t="n">
        <f aca="false">D127+1</f>
        <v>114</v>
      </c>
      <c r="E128" s="361" t="n">
        <f aca="false">D128/12</f>
        <v>9.5</v>
      </c>
    </row>
    <row r="129" customFormat="false" ht="16.5" hidden="false" customHeight="false" outlineLevel="0" collapsed="false">
      <c r="B129" s="371" t="n">
        <v>39995</v>
      </c>
      <c r="C129" s="360" t="n">
        <f aca="false">(1+$C$4)^E129</f>
        <v>1.29087270468916</v>
      </c>
      <c r="D129" s="358" t="n">
        <f aca="false">D128+1</f>
        <v>115</v>
      </c>
      <c r="E129" s="361" t="n">
        <f aca="false">D129/12</f>
        <v>9.58333333333333</v>
      </c>
    </row>
    <row r="130" customFormat="false" ht="16.5" hidden="false" customHeight="false" outlineLevel="0" collapsed="false">
      <c r="B130" s="371" t="n">
        <v>40026</v>
      </c>
      <c r="C130" s="360" t="n">
        <f aca="false">(1+$C$4)^E130</f>
        <v>1.29374183359615</v>
      </c>
      <c r="D130" s="358" t="n">
        <f aca="false">D129+1</f>
        <v>116</v>
      </c>
      <c r="E130" s="361" t="n">
        <f aca="false">D130/12</f>
        <v>9.66666666666667</v>
      </c>
    </row>
    <row r="131" customFormat="false" ht="16.5" hidden="false" customHeight="false" outlineLevel="0" collapsed="false">
      <c r="B131" s="371" t="n">
        <v>40057</v>
      </c>
      <c r="C131" s="360" t="n">
        <f aca="false">(1+$C$4)^E131</f>
        <v>1.29661733950735</v>
      </c>
      <c r="D131" s="358" t="n">
        <f aca="false">D130+1</f>
        <v>117</v>
      </c>
      <c r="E131" s="361" t="n">
        <f aca="false">D131/12</f>
        <v>9.75</v>
      </c>
    </row>
    <row r="132" customFormat="false" ht="16.5" hidden="false" customHeight="false" outlineLevel="0" collapsed="false">
      <c r="B132" s="371" t="n">
        <v>40087</v>
      </c>
      <c r="C132" s="360" t="n">
        <f aca="false">(1+$C$4)^E132</f>
        <v>1.29949923659647</v>
      </c>
      <c r="D132" s="358" t="n">
        <f aca="false">D131+1</f>
        <v>118</v>
      </c>
      <c r="E132" s="361" t="n">
        <f aca="false">D132/12</f>
        <v>9.83333333333333</v>
      </c>
    </row>
    <row r="133" customFormat="false" ht="16.5" hidden="false" customHeight="false" outlineLevel="0" collapsed="false">
      <c r="B133" s="371" t="n">
        <v>40118</v>
      </c>
      <c r="C133" s="360" t="n">
        <f aca="false">(1+$C$4)^E133</f>
        <v>1.30238753906873</v>
      </c>
      <c r="D133" s="358" t="n">
        <f aca="false">D132+1</f>
        <v>119</v>
      </c>
      <c r="E133" s="361" t="n">
        <f aca="false">D133/12</f>
        <v>9.91666666666667</v>
      </c>
    </row>
    <row r="134" customFormat="false" ht="16.5" hidden="false" customHeight="false" outlineLevel="0" collapsed="false">
      <c r="B134" s="371" t="n">
        <v>40148</v>
      </c>
      <c r="C134" s="360" t="n">
        <f aca="false">(1+$C$4)^E134</f>
        <v>1.30528226116089</v>
      </c>
      <c r="D134" s="358" t="n">
        <f aca="false">D133+1</f>
        <v>120</v>
      </c>
      <c r="E134" s="361" t="n">
        <f aca="false">D134/12</f>
        <v>10</v>
      </c>
    </row>
    <row r="135" customFormat="false" ht="16.5" hidden="false" customHeight="false" outlineLevel="0" collapsed="false">
      <c r="B135" s="371" t="n">
        <v>40179</v>
      </c>
      <c r="C135" s="360" t="n">
        <f aca="false">(1+$C$4)^E135</f>
        <v>1.30818341714139</v>
      </c>
      <c r="D135" s="358" t="n">
        <f aca="false">D134+1</f>
        <v>121</v>
      </c>
      <c r="E135" s="361" t="n">
        <f aca="false">D135/12</f>
        <v>10.0833333333333</v>
      </c>
    </row>
    <row r="136" customFormat="false" ht="16.5" hidden="false" customHeight="false" outlineLevel="0" collapsed="false">
      <c r="B136" s="371" t="n">
        <v>40210</v>
      </c>
      <c r="C136" s="360" t="n">
        <f aca="false">(1+$C$4)^E136</f>
        <v>1.31109102131035</v>
      </c>
      <c r="D136" s="358" t="n">
        <f aca="false">D135+1</f>
        <v>122</v>
      </c>
      <c r="E136" s="361" t="n">
        <f aca="false">D136/12</f>
        <v>10.1666666666667</v>
      </c>
    </row>
    <row r="137" customFormat="false" ht="16.5" hidden="false" customHeight="false" outlineLevel="0" collapsed="false">
      <c r="B137" s="371" t="n">
        <v>40238</v>
      </c>
      <c r="C137" s="360" t="n">
        <f aca="false">(1+$C$4)^E137</f>
        <v>1.31400508799971</v>
      </c>
      <c r="D137" s="358" t="n">
        <f aca="false">D136+1</f>
        <v>123</v>
      </c>
      <c r="E137" s="361" t="n">
        <f aca="false">D137/12</f>
        <v>10.25</v>
      </c>
    </row>
    <row r="138" customFormat="false" ht="16.5" hidden="false" customHeight="false" outlineLevel="0" collapsed="false">
      <c r="B138" s="371" t="n">
        <v>40269</v>
      </c>
      <c r="C138" s="360" t="n">
        <f aca="false">(1+$C$4)^E138</f>
        <v>1.31692563157322</v>
      </c>
      <c r="D138" s="358" t="n">
        <f aca="false">D137+1</f>
        <v>124</v>
      </c>
      <c r="E138" s="361" t="n">
        <f aca="false">D138/12</f>
        <v>10.3333333333333</v>
      </c>
    </row>
    <row r="139" customFormat="false" ht="16.5" hidden="false" customHeight="false" outlineLevel="0" collapsed="false">
      <c r="B139" s="371" t="n">
        <v>40299</v>
      </c>
      <c r="C139" s="360" t="n">
        <f aca="false">(1+$C$4)^E139</f>
        <v>1.31985266642659</v>
      </c>
      <c r="D139" s="358" t="n">
        <f aca="false">D138+1</f>
        <v>125</v>
      </c>
      <c r="E139" s="361" t="n">
        <f aca="false">D139/12</f>
        <v>10.4166666666667</v>
      </c>
    </row>
    <row r="140" customFormat="false" ht="16.5" hidden="false" customHeight="false" outlineLevel="0" collapsed="false">
      <c r="B140" s="371" t="n">
        <v>40330</v>
      </c>
      <c r="C140" s="360" t="n">
        <f aca="false">(1+$C$4)^E140</f>
        <v>1.32278620698752</v>
      </c>
      <c r="D140" s="358" t="n">
        <f aca="false">D139+1</f>
        <v>126</v>
      </c>
      <c r="E140" s="361" t="n">
        <f aca="false">D140/12</f>
        <v>10.5</v>
      </c>
    </row>
    <row r="141" customFormat="false" ht="16.5" hidden="false" customHeight="false" outlineLevel="0" collapsed="false">
      <c r="B141" s="371" t="n">
        <v>40360</v>
      </c>
      <c r="C141" s="360" t="n">
        <f aca="false">(1+$C$4)^E141</f>
        <v>1.32572626771577</v>
      </c>
      <c r="D141" s="358" t="n">
        <f aca="false">D140+1</f>
        <v>127</v>
      </c>
      <c r="E141" s="361" t="n">
        <f aca="false">D141/12</f>
        <v>10.5833333333333</v>
      </c>
    </row>
    <row r="142" customFormat="false" ht="16.5" hidden="false" customHeight="false" outlineLevel="0" collapsed="false">
      <c r="B142" s="371" t="n">
        <v>40391</v>
      </c>
      <c r="C142" s="360" t="n">
        <f aca="false">(1+$C$4)^E142</f>
        <v>1.32867286310324</v>
      </c>
      <c r="D142" s="358" t="n">
        <f aca="false">D141+1</f>
        <v>128</v>
      </c>
      <c r="E142" s="361" t="n">
        <f aca="false">D142/12</f>
        <v>10.6666666666667</v>
      </c>
    </row>
    <row r="143" customFormat="false" ht="16.5" hidden="false" customHeight="false" outlineLevel="0" collapsed="false">
      <c r="B143" s="371" t="n">
        <v>40422</v>
      </c>
      <c r="C143" s="360" t="n">
        <f aca="false">(1+$C$4)^E143</f>
        <v>1.33162600767405</v>
      </c>
      <c r="D143" s="358" t="n">
        <f aca="false">D142+1</f>
        <v>129</v>
      </c>
      <c r="E143" s="361" t="n">
        <f aca="false">D143/12</f>
        <v>10.75</v>
      </c>
    </row>
    <row r="144" customFormat="false" ht="16.5" hidden="false" customHeight="false" outlineLevel="0" collapsed="false">
      <c r="B144" s="371" t="n">
        <v>40452</v>
      </c>
      <c r="C144" s="360" t="n">
        <f aca="false">(1+$C$4)^E144</f>
        <v>1.33458571598458</v>
      </c>
      <c r="D144" s="358" t="n">
        <f aca="false">D143+1</f>
        <v>130</v>
      </c>
      <c r="E144" s="361" t="n">
        <f aca="false">D144/12</f>
        <v>10.8333333333333</v>
      </c>
    </row>
    <row r="145" customFormat="false" ht="16.5" hidden="false" customHeight="false" outlineLevel="0" collapsed="false">
      <c r="B145" s="371" t="n">
        <v>40483</v>
      </c>
      <c r="C145" s="360" t="n">
        <f aca="false">(1+$C$4)^E145</f>
        <v>1.33755200262358</v>
      </c>
      <c r="D145" s="358" t="n">
        <f aca="false">D144+1</f>
        <v>131</v>
      </c>
      <c r="E145" s="361" t="n">
        <f aca="false">D145/12</f>
        <v>10.9166666666667</v>
      </c>
    </row>
    <row r="146" customFormat="false" ht="16.5" hidden="false" customHeight="false" outlineLevel="0" collapsed="false">
      <c r="B146" s="371" t="n">
        <v>40513</v>
      </c>
      <c r="C146" s="360" t="n">
        <f aca="false">(1+$C$4)^E146</f>
        <v>1.34052488221224</v>
      </c>
      <c r="D146" s="358" t="n">
        <f aca="false">D145+1</f>
        <v>132</v>
      </c>
      <c r="E146" s="361" t="n">
        <f aca="false">D146/12</f>
        <v>11</v>
      </c>
    </row>
    <row r="147" customFormat="false" ht="16.5" hidden="false" customHeight="false" outlineLevel="0" collapsed="false">
      <c r="B147" s="371" t="n">
        <v>40544</v>
      </c>
      <c r="C147" s="360" t="n">
        <f aca="false">(1+$C$4)^E147</f>
        <v>1.34350436940421</v>
      </c>
      <c r="D147" s="358" t="n">
        <f aca="false">D146+1</f>
        <v>133</v>
      </c>
      <c r="E147" s="361" t="n">
        <f aca="false">D147/12</f>
        <v>11.0833333333333</v>
      </c>
    </row>
    <row r="148" customFormat="false" ht="16.5" hidden="false" customHeight="false" outlineLevel="0" collapsed="false">
      <c r="B148" s="371" t="n">
        <v>40575</v>
      </c>
      <c r="C148" s="360" t="n">
        <f aca="false">(1+$C$4)^E148</f>
        <v>1.34649047888573</v>
      </c>
      <c r="D148" s="358" t="n">
        <f aca="false">D147+1</f>
        <v>134</v>
      </c>
      <c r="E148" s="361" t="n">
        <f aca="false">D148/12</f>
        <v>11.1666666666667</v>
      </c>
    </row>
    <row r="149" customFormat="false" ht="16.5" hidden="false" customHeight="false" outlineLevel="0" collapsed="false">
      <c r="B149" s="371" t="n">
        <v>40603</v>
      </c>
      <c r="C149" s="360" t="n">
        <f aca="false">(1+$C$4)^E149</f>
        <v>1.3494832253757</v>
      </c>
      <c r="D149" s="358" t="n">
        <f aca="false">D148+1</f>
        <v>135</v>
      </c>
      <c r="E149" s="361" t="n">
        <f aca="false">D149/12</f>
        <v>11.25</v>
      </c>
    </row>
    <row r="150" customFormat="false" ht="16.5" hidden="false" customHeight="false" outlineLevel="0" collapsed="false">
      <c r="B150" s="371" t="n">
        <v>40634</v>
      </c>
      <c r="C150" s="360" t="n">
        <f aca="false">(1+$C$4)^E150</f>
        <v>1.35248262362569</v>
      </c>
      <c r="D150" s="358" t="n">
        <f aca="false">D149+1</f>
        <v>136</v>
      </c>
      <c r="E150" s="361" t="n">
        <f aca="false">D150/12</f>
        <v>11.3333333333333</v>
      </c>
    </row>
    <row r="151" customFormat="false" ht="16.5" hidden="false" customHeight="false" outlineLevel="0" collapsed="false">
      <c r="B151" s="371" t="n">
        <v>40664</v>
      </c>
      <c r="C151" s="360" t="n">
        <f aca="false">(1+$C$4)^E151</f>
        <v>1.35548868842011</v>
      </c>
      <c r="D151" s="358" t="n">
        <f aca="false">D150+1</f>
        <v>137</v>
      </c>
      <c r="E151" s="361" t="n">
        <f aca="false">D151/12</f>
        <v>11.4166666666667</v>
      </c>
    </row>
    <row r="152" customFormat="false" ht="16.5" hidden="false" customHeight="false" outlineLevel="0" collapsed="false">
      <c r="B152" s="371" t="n">
        <v>40695</v>
      </c>
      <c r="C152" s="360" t="n">
        <f aca="false">(1+$C$4)^E152</f>
        <v>1.35850143457618</v>
      </c>
      <c r="D152" s="358" t="n">
        <f aca="false">D151+1</f>
        <v>138</v>
      </c>
      <c r="E152" s="361" t="n">
        <f aca="false">D152/12</f>
        <v>11.5</v>
      </c>
    </row>
    <row r="153" customFormat="false" ht="16.5" hidden="false" customHeight="false" outlineLevel="0" collapsed="false">
      <c r="B153" s="371" t="n">
        <v>40725</v>
      </c>
      <c r="C153" s="360" t="n">
        <f aca="false">(1+$C$4)^E153</f>
        <v>1.3615208769441</v>
      </c>
      <c r="D153" s="358" t="n">
        <f aca="false">D152+1</f>
        <v>139</v>
      </c>
      <c r="E153" s="361" t="n">
        <f aca="false">D153/12</f>
        <v>11.5833333333333</v>
      </c>
    </row>
    <row r="154" customFormat="false" ht="16.5" hidden="false" customHeight="false" outlineLevel="0" collapsed="false">
      <c r="B154" s="371" t="n">
        <v>40756</v>
      </c>
      <c r="C154" s="360" t="n">
        <f aca="false">(1+$C$4)^E154</f>
        <v>1.36454703040703</v>
      </c>
      <c r="D154" s="358" t="n">
        <f aca="false">D153+1</f>
        <v>140</v>
      </c>
      <c r="E154" s="361" t="n">
        <f aca="false">D154/12</f>
        <v>11.6666666666667</v>
      </c>
    </row>
    <row r="155" customFormat="false" ht="16.5" hidden="false" customHeight="false" outlineLevel="0" collapsed="false">
      <c r="B155" s="371" t="n">
        <v>40787</v>
      </c>
      <c r="C155" s="360" t="n">
        <f aca="false">(1+$C$4)^E155</f>
        <v>1.36757990988125</v>
      </c>
      <c r="D155" s="358" t="n">
        <f aca="false">D154+1</f>
        <v>141</v>
      </c>
      <c r="E155" s="361" t="n">
        <f aca="false">D155/12</f>
        <v>11.75</v>
      </c>
    </row>
    <row r="156" customFormat="false" ht="16.5" hidden="false" customHeight="false" outlineLevel="0" collapsed="false">
      <c r="B156" s="371" t="n">
        <v>40817</v>
      </c>
      <c r="C156" s="360" t="n">
        <f aca="false">(1+$C$4)^E156</f>
        <v>1.37061953031616</v>
      </c>
      <c r="D156" s="358" t="n">
        <f aca="false">D155+1</f>
        <v>142</v>
      </c>
      <c r="E156" s="361" t="n">
        <f aca="false">D156/12</f>
        <v>11.8333333333333</v>
      </c>
    </row>
    <row r="157" customFormat="false" ht="16.5" hidden="false" customHeight="false" outlineLevel="0" collapsed="false">
      <c r="B157" s="371" t="n">
        <v>40848</v>
      </c>
      <c r="C157" s="360" t="n">
        <f aca="false">(1+$C$4)^E157</f>
        <v>1.37366590669442</v>
      </c>
      <c r="D157" s="358" t="n">
        <f aca="false">D156+1</f>
        <v>143</v>
      </c>
      <c r="E157" s="361" t="n">
        <f aca="false">D157/12</f>
        <v>11.9166666666667</v>
      </c>
    </row>
    <row r="158" customFormat="false" ht="16.5" hidden="false" customHeight="false" outlineLevel="0" collapsed="false">
      <c r="B158" s="371" t="n">
        <v>40878</v>
      </c>
      <c r="C158" s="360" t="n">
        <f aca="false">(1+$C$4)^E158</f>
        <v>1.37671905403197</v>
      </c>
      <c r="D158" s="358" t="n">
        <f aca="false">D157+1</f>
        <v>144</v>
      </c>
      <c r="E158" s="361" t="n">
        <f aca="false">D158/12</f>
        <v>12</v>
      </c>
    </row>
    <row r="159" customFormat="false" ht="16.5" hidden="false" customHeight="false" outlineLevel="0" collapsed="false">
      <c r="B159" s="371" t="n">
        <v>40909</v>
      </c>
      <c r="C159" s="360" t="n">
        <f aca="false">(1+$C$4)^E159</f>
        <v>1.37977898737812</v>
      </c>
      <c r="D159" s="358" t="n">
        <f aca="false">D158+1</f>
        <v>145</v>
      </c>
      <c r="E159" s="361" t="n">
        <f aca="false">D159/12</f>
        <v>12.0833333333333</v>
      </c>
    </row>
    <row r="160" customFormat="false" ht="16.5" hidden="false" customHeight="false" outlineLevel="0" collapsed="false">
      <c r="B160" s="371" t="n">
        <v>40940</v>
      </c>
      <c r="C160" s="360" t="n">
        <f aca="false">(1+$C$4)^E160</f>
        <v>1.38284572181565</v>
      </c>
      <c r="D160" s="358" t="n">
        <f aca="false">D159+1</f>
        <v>146</v>
      </c>
      <c r="E160" s="361" t="n">
        <f aca="false">D160/12</f>
        <v>12.1666666666667</v>
      </c>
    </row>
    <row r="161" customFormat="false" ht="16.5" hidden="false" customHeight="false" outlineLevel="0" collapsed="false">
      <c r="B161" s="371" t="n">
        <v>40969</v>
      </c>
      <c r="C161" s="360" t="n">
        <f aca="false">(1+$C$4)^E161</f>
        <v>1.38591927246084</v>
      </c>
      <c r="D161" s="358" t="n">
        <f aca="false">D160+1</f>
        <v>147</v>
      </c>
      <c r="E161" s="361" t="n">
        <f aca="false">D161/12</f>
        <v>12.25</v>
      </c>
    </row>
    <row r="162" customFormat="false" ht="16.5" hidden="false" customHeight="false" outlineLevel="0" collapsed="false">
      <c r="B162" s="371" t="n">
        <v>41000</v>
      </c>
      <c r="C162" s="360" t="n">
        <f aca="false">(1+$C$4)^E162</f>
        <v>1.38899965446359</v>
      </c>
      <c r="D162" s="358" t="n">
        <f aca="false">D161+1</f>
        <v>148</v>
      </c>
      <c r="E162" s="361" t="n">
        <f aca="false">D162/12</f>
        <v>12.3333333333333</v>
      </c>
    </row>
    <row r="163" customFormat="false" ht="16.5" hidden="false" customHeight="false" outlineLevel="0" collapsed="false">
      <c r="B163" s="371" t="n">
        <v>41030</v>
      </c>
      <c r="C163" s="360" t="n">
        <f aca="false">(1+$C$4)^E163</f>
        <v>1.39208688300745</v>
      </c>
      <c r="D163" s="358" t="n">
        <f aca="false">D162+1</f>
        <v>149</v>
      </c>
      <c r="E163" s="361" t="n">
        <f aca="false">D163/12</f>
        <v>12.4166666666667</v>
      </c>
    </row>
    <row r="164" customFormat="false" ht="16.5" hidden="false" customHeight="false" outlineLevel="0" collapsed="false">
      <c r="B164" s="371" t="n">
        <v>41061</v>
      </c>
      <c r="C164" s="360" t="n">
        <f aca="false">(1+$C$4)^E164</f>
        <v>1.39518097330974</v>
      </c>
      <c r="D164" s="358" t="n">
        <f aca="false">D163+1</f>
        <v>150</v>
      </c>
      <c r="E164" s="361" t="n">
        <f aca="false">D164/12</f>
        <v>12.5</v>
      </c>
    </row>
    <row r="165" customFormat="false" ht="16.5" hidden="false" customHeight="false" outlineLevel="0" collapsed="false">
      <c r="B165" s="371" t="n">
        <v>41091</v>
      </c>
      <c r="C165" s="360" t="n">
        <f aca="false">(1+$C$4)^E165</f>
        <v>1.39828194062159</v>
      </c>
      <c r="D165" s="358" t="n">
        <f aca="false">D164+1</f>
        <v>151</v>
      </c>
      <c r="E165" s="361" t="n">
        <f aca="false">D165/12</f>
        <v>12.5833333333333</v>
      </c>
    </row>
    <row r="166" customFormat="false" ht="16.5" hidden="false" customHeight="false" outlineLevel="0" collapsed="false">
      <c r="B166" s="371" t="n">
        <v>41122</v>
      </c>
      <c r="C166" s="360" t="n">
        <f aca="false">(1+$C$4)^E166</f>
        <v>1.40138980022802</v>
      </c>
      <c r="D166" s="358" t="n">
        <f aca="false">D165+1</f>
        <v>152</v>
      </c>
      <c r="E166" s="361" t="n">
        <f aca="false">D166/12</f>
        <v>12.6666666666667</v>
      </c>
    </row>
    <row r="167" customFormat="false" ht="16.5" hidden="false" customHeight="false" outlineLevel="0" collapsed="false">
      <c r="B167" s="371" t="n">
        <v>41153</v>
      </c>
      <c r="C167" s="360" t="n">
        <f aca="false">(1+$C$4)^E167</f>
        <v>1.40450456744804</v>
      </c>
      <c r="D167" s="358" t="n">
        <f aca="false">D166+1</f>
        <v>153</v>
      </c>
      <c r="E167" s="361" t="n">
        <f aca="false">D167/12</f>
        <v>12.75</v>
      </c>
    </row>
    <row r="168" customFormat="false" ht="16.5" hidden="false" customHeight="false" outlineLevel="0" collapsed="false">
      <c r="B168" s="371" t="n">
        <v>41183</v>
      </c>
      <c r="C168" s="360" t="n">
        <f aca="false">(1+$C$4)^E168</f>
        <v>1.4076262576347</v>
      </c>
      <c r="D168" s="358" t="n">
        <f aca="false">D167+1</f>
        <v>154</v>
      </c>
      <c r="E168" s="361" t="n">
        <f aca="false">D168/12</f>
        <v>12.8333333333333</v>
      </c>
    </row>
    <row r="169" customFormat="false" ht="16.5" hidden="false" customHeight="false" outlineLevel="0" collapsed="false">
      <c r="B169" s="371" t="n">
        <v>41214</v>
      </c>
      <c r="C169" s="360" t="n">
        <f aca="false">(1+$C$4)^E169</f>
        <v>1.41075488617517</v>
      </c>
      <c r="D169" s="358" t="n">
        <f aca="false">D168+1</f>
        <v>155</v>
      </c>
      <c r="E169" s="361" t="n">
        <f aca="false">D169/12</f>
        <v>12.9166666666667</v>
      </c>
    </row>
    <row r="170" customFormat="false" ht="16.5" hidden="false" customHeight="false" outlineLevel="0" collapsed="false">
      <c r="B170" s="371" t="n">
        <v>41244</v>
      </c>
      <c r="C170" s="360" t="n">
        <f aca="false">(1+$C$4)^E170</f>
        <v>1.41389046849083</v>
      </c>
      <c r="D170" s="358" t="n">
        <f aca="false">D169+1</f>
        <v>156</v>
      </c>
      <c r="E170" s="361" t="n">
        <f aca="false">D170/12</f>
        <v>13</v>
      </c>
    </row>
    <row r="171" customFormat="false" ht="16.5" hidden="false" customHeight="false" outlineLevel="0" collapsed="false">
      <c r="B171" s="371" t="n">
        <v>41275</v>
      </c>
      <c r="C171" s="360" t="n">
        <f aca="false">(1+$C$4)^E171</f>
        <v>1.41703302003733</v>
      </c>
      <c r="D171" s="358" t="n">
        <f aca="false">D170+1</f>
        <v>157</v>
      </c>
      <c r="E171" s="361" t="n">
        <f aca="false">D171/12</f>
        <v>13.0833333333333</v>
      </c>
    </row>
    <row r="172" customFormat="false" ht="16.5" hidden="false" customHeight="false" outlineLevel="0" collapsed="false">
      <c r="B172" s="371" t="n">
        <v>41306</v>
      </c>
      <c r="C172" s="360" t="n">
        <f aca="false">(1+$C$4)^E172</f>
        <v>1.42018255630467</v>
      </c>
      <c r="D172" s="358" t="n">
        <f aca="false">D171+1</f>
        <v>158</v>
      </c>
      <c r="E172" s="361" t="n">
        <f aca="false">D172/12</f>
        <v>13.1666666666667</v>
      </c>
    </row>
    <row r="173" customFormat="false" ht="16.5" hidden="false" customHeight="false" outlineLevel="0" collapsed="false">
      <c r="B173" s="371" t="n">
        <v>41334</v>
      </c>
      <c r="C173" s="360" t="n">
        <f aca="false">(1+$C$4)^E173</f>
        <v>1.42333909281728</v>
      </c>
      <c r="D173" s="358" t="n">
        <f aca="false">D172+1</f>
        <v>159</v>
      </c>
      <c r="E173" s="361" t="n">
        <f aca="false">D173/12</f>
        <v>13.25</v>
      </c>
    </row>
    <row r="174" customFormat="false" ht="16.5" hidden="false" customHeight="false" outlineLevel="0" collapsed="false">
      <c r="B174" s="371" t="n">
        <v>41365</v>
      </c>
      <c r="C174" s="360" t="n">
        <f aca="false">(1+$C$4)^E174</f>
        <v>1.4265026451341</v>
      </c>
      <c r="D174" s="358" t="n">
        <f aca="false">D173+1</f>
        <v>160</v>
      </c>
      <c r="E174" s="361" t="n">
        <f aca="false">D174/12</f>
        <v>13.3333333333333</v>
      </c>
    </row>
    <row r="175" customFormat="false" ht="16.5" hidden="false" customHeight="false" outlineLevel="0" collapsed="false">
      <c r="B175" s="371" t="n">
        <v>41395</v>
      </c>
      <c r="C175" s="360" t="n">
        <f aca="false">(1+$C$4)^E175</f>
        <v>1.42967322884865</v>
      </c>
      <c r="D175" s="358" t="n">
        <f aca="false">D174+1</f>
        <v>161</v>
      </c>
      <c r="E175" s="361" t="n">
        <f aca="false">D175/12</f>
        <v>13.4166666666667</v>
      </c>
    </row>
    <row r="176" customFormat="false" ht="16.5" hidden="false" customHeight="false" outlineLevel="0" collapsed="false">
      <c r="B176" s="371" t="n">
        <v>41426</v>
      </c>
      <c r="C176" s="360" t="n">
        <f aca="false">(1+$C$4)^E176</f>
        <v>1.4328508595891</v>
      </c>
      <c r="D176" s="358" t="n">
        <f aca="false">D175+1</f>
        <v>162</v>
      </c>
      <c r="E176" s="361" t="n">
        <f aca="false">D176/12</f>
        <v>13.5</v>
      </c>
    </row>
    <row r="177" customFormat="false" ht="16.5" hidden="false" customHeight="false" outlineLevel="0" collapsed="false">
      <c r="B177" s="371" t="n">
        <v>41456</v>
      </c>
      <c r="C177" s="360" t="n">
        <f aca="false">(1+$C$4)^E177</f>
        <v>1.43603555301837</v>
      </c>
      <c r="D177" s="358" t="n">
        <f aca="false">D176+1</f>
        <v>163</v>
      </c>
      <c r="E177" s="361" t="n">
        <f aca="false">D177/12</f>
        <v>13.5833333333333</v>
      </c>
    </row>
    <row r="178" customFormat="false" ht="16.5" hidden="false" customHeight="false" outlineLevel="0" collapsed="false">
      <c r="B178" s="371" t="n">
        <v>41487</v>
      </c>
      <c r="C178" s="360" t="n">
        <f aca="false">(1+$C$4)^E178</f>
        <v>1.43922732483417</v>
      </c>
      <c r="D178" s="358" t="n">
        <f aca="false">D177+1</f>
        <v>164</v>
      </c>
      <c r="E178" s="361" t="n">
        <f aca="false">D178/12</f>
        <v>13.6666666666667</v>
      </c>
    </row>
    <row r="179" customFormat="false" ht="16.5" hidden="false" customHeight="false" outlineLevel="0" collapsed="false">
      <c r="B179" s="371" t="n">
        <v>41518</v>
      </c>
      <c r="C179" s="360" t="n">
        <f aca="false">(1+$C$4)^E179</f>
        <v>1.44242619076914</v>
      </c>
      <c r="D179" s="358" t="n">
        <f aca="false">D178+1</f>
        <v>165</v>
      </c>
      <c r="E179" s="361" t="n">
        <f aca="false">D179/12</f>
        <v>13.75</v>
      </c>
    </row>
    <row r="180" customFormat="false" ht="16.5" hidden="false" customHeight="false" outlineLevel="0" collapsed="false">
      <c r="B180" s="371" t="n">
        <v>41548</v>
      </c>
      <c r="C180" s="360" t="n">
        <f aca="false">(1+$C$4)^E180</f>
        <v>1.44563216659083</v>
      </c>
      <c r="D180" s="358" t="n">
        <f aca="false">D179+1</f>
        <v>166</v>
      </c>
      <c r="E180" s="361" t="n">
        <f aca="false">D180/12</f>
        <v>13.8333333333333</v>
      </c>
    </row>
    <row r="181" customFormat="false" ht="16.5" hidden="false" customHeight="false" outlineLevel="0" collapsed="false">
      <c r="B181" s="371" t="n">
        <v>41579</v>
      </c>
      <c r="C181" s="360" t="n">
        <f aca="false">(1+$C$4)^E181</f>
        <v>1.4488452681019</v>
      </c>
      <c r="D181" s="358" t="n">
        <f aca="false">D180+1</f>
        <v>167</v>
      </c>
      <c r="E181" s="361" t="n">
        <f aca="false">D181/12</f>
        <v>13.9166666666667</v>
      </c>
    </row>
    <row r="182" customFormat="false" ht="16.5" hidden="false" customHeight="false" outlineLevel="0" collapsed="false">
      <c r="B182" s="371" t="n">
        <v>41609</v>
      </c>
      <c r="C182" s="360" t="n">
        <f aca="false">(1+$C$4)^E182</f>
        <v>1.45206551114008</v>
      </c>
      <c r="D182" s="358" t="n">
        <f aca="false">D181+1</f>
        <v>168</v>
      </c>
      <c r="E182" s="361" t="n">
        <f aca="false">D182/12</f>
        <v>14</v>
      </c>
    </row>
    <row r="183" customFormat="false" ht="16.5" hidden="false" customHeight="false" outlineLevel="0" collapsed="false">
      <c r="B183" s="371" t="n">
        <v>41640</v>
      </c>
      <c r="C183" s="360" t="n">
        <f aca="false">(1+$C$4)^E183</f>
        <v>1.45529291157834</v>
      </c>
      <c r="D183" s="358" t="n">
        <f aca="false">D182+1</f>
        <v>169</v>
      </c>
      <c r="E183" s="361" t="n">
        <f aca="false">D183/12</f>
        <v>14.0833333333333</v>
      </c>
    </row>
    <row r="184" customFormat="false" ht="16.5" hidden="false" customHeight="false" outlineLevel="0" collapsed="false">
      <c r="B184" s="371" t="n">
        <v>41671</v>
      </c>
      <c r="C184" s="360" t="n">
        <f aca="false">(1+$C$4)^E184</f>
        <v>1.4585274853249</v>
      </c>
      <c r="D184" s="358" t="n">
        <f aca="false">D183+1</f>
        <v>170</v>
      </c>
      <c r="E184" s="361" t="n">
        <f aca="false">D184/12</f>
        <v>14.1666666666667</v>
      </c>
    </row>
    <row r="185" customFormat="false" ht="16.5" hidden="false" customHeight="false" outlineLevel="0" collapsed="false">
      <c r="B185" s="371" t="n">
        <v>41699</v>
      </c>
      <c r="C185" s="360" t="n">
        <f aca="false">(1+$C$4)^E185</f>
        <v>1.46176924832335</v>
      </c>
      <c r="D185" s="358" t="n">
        <f aca="false">D184+1</f>
        <v>171</v>
      </c>
      <c r="E185" s="361" t="n">
        <f aca="false">D185/12</f>
        <v>14.25</v>
      </c>
    </row>
    <row r="186" customFormat="false" ht="16.5" hidden="false" customHeight="false" outlineLevel="0" collapsed="false">
      <c r="B186" s="371" t="n">
        <v>41730</v>
      </c>
      <c r="C186" s="360" t="n">
        <f aca="false">(1+$C$4)^E186</f>
        <v>1.46501821655273</v>
      </c>
      <c r="D186" s="358" t="n">
        <f aca="false">D185+1</f>
        <v>172</v>
      </c>
      <c r="E186" s="361" t="n">
        <f aca="false">D186/12</f>
        <v>14.3333333333333</v>
      </c>
    </row>
    <row r="187" customFormat="false" ht="16.5" hidden="false" customHeight="false" outlineLevel="0" collapsed="false">
      <c r="B187" s="371" t="n">
        <v>41760</v>
      </c>
      <c r="C187" s="360" t="n">
        <f aca="false">(1+$C$4)^E187</f>
        <v>1.46827440602757</v>
      </c>
      <c r="D187" s="358" t="n">
        <f aca="false">D186+1</f>
        <v>173</v>
      </c>
      <c r="E187" s="361" t="n">
        <f aca="false">D187/12</f>
        <v>14.4166666666667</v>
      </c>
    </row>
    <row r="188" customFormat="false" ht="16.5" hidden="false" customHeight="false" outlineLevel="0" collapsed="false">
      <c r="B188" s="371" t="n">
        <v>41791</v>
      </c>
      <c r="C188" s="360" t="n">
        <f aca="false">(1+$C$4)^E188</f>
        <v>1.47153783279801</v>
      </c>
      <c r="D188" s="358" t="n">
        <f aca="false">D187+1</f>
        <v>174</v>
      </c>
      <c r="E188" s="361" t="n">
        <f aca="false">D188/12</f>
        <v>14.5</v>
      </c>
    </row>
    <row r="189" customFormat="false" ht="16.5" hidden="false" customHeight="false" outlineLevel="0" collapsed="false">
      <c r="B189" s="371" t="n">
        <v>41821</v>
      </c>
      <c r="C189" s="360" t="n">
        <f aca="false">(1+$C$4)^E189</f>
        <v>1.47480851294986</v>
      </c>
      <c r="D189" s="358" t="n">
        <f aca="false">D188+1</f>
        <v>175</v>
      </c>
      <c r="E189" s="361" t="n">
        <f aca="false">D189/12</f>
        <v>14.5833333333333</v>
      </c>
    </row>
    <row r="190" customFormat="false" ht="16.5" hidden="false" customHeight="false" outlineLevel="0" collapsed="false">
      <c r="B190" s="371" t="n">
        <v>41852</v>
      </c>
      <c r="C190" s="360" t="n">
        <f aca="false">(1+$C$4)^E190</f>
        <v>1.4780864626047</v>
      </c>
      <c r="D190" s="358" t="n">
        <f aca="false">D189+1</f>
        <v>176</v>
      </c>
      <c r="E190" s="361" t="n">
        <f aca="false">D190/12</f>
        <v>14.6666666666667</v>
      </c>
    </row>
    <row r="191" customFormat="false" ht="16.5" hidden="false" customHeight="false" outlineLevel="0" collapsed="false">
      <c r="B191" s="371" t="n">
        <v>41883</v>
      </c>
      <c r="C191" s="360" t="n">
        <f aca="false">(1+$C$4)^E191</f>
        <v>1.4813716979199</v>
      </c>
      <c r="D191" s="358" t="n">
        <f aca="false">D190+1</f>
        <v>177</v>
      </c>
      <c r="E191" s="361" t="n">
        <f aca="false">D191/12</f>
        <v>14.75</v>
      </c>
    </row>
    <row r="192" customFormat="false" ht="16.5" hidden="false" customHeight="false" outlineLevel="0" collapsed="false">
      <c r="B192" s="371" t="n">
        <v>41913</v>
      </c>
      <c r="C192" s="360" t="n">
        <f aca="false">(1+$C$4)^E192</f>
        <v>1.48466423508879</v>
      </c>
      <c r="D192" s="358" t="n">
        <f aca="false">D191+1</f>
        <v>178</v>
      </c>
      <c r="E192" s="361" t="n">
        <f aca="false">D192/12</f>
        <v>14.8333333333333</v>
      </c>
    </row>
    <row r="193" customFormat="false" ht="16.5" hidden="false" customHeight="false" outlineLevel="0" collapsed="false">
      <c r="B193" s="371" t="n">
        <v>41944</v>
      </c>
      <c r="C193" s="360" t="n">
        <f aca="false">(1+$C$4)^E193</f>
        <v>1.48796409034065</v>
      </c>
      <c r="D193" s="358" t="n">
        <f aca="false">D192+1</f>
        <v>179</v>
      </c>
      <c r="E193" s="361" t="n">
        <f aca="false">D193/12</f>
        <v>14.9166666666667</v>
      </c>
    </row>
    <row r="194" customFormat="false" ht="16.5" hidden="false" customHeight="false" outlineLevel="0" collapsed="false">
      <c r="B194" s="371" t="n">
        <v>41974</v>
      </c>
      <c r="C194" s="360" t="n">
        <f aca="false">(1+$C$4)^E194</f>
        <v>1.49127127994087</v>
      </c>
      <c r="D194" s="358" t="n">
        <f aca="false">D193+1</f>
        <v>180</v>
      </c>
      <c r="E194" s="361" t="n">
        <f aca="false">D194/12</f>
        <v>15</v>
      </c>
    </row>
    <row r="195" customFormat="false" ht="16.5" hidden="false" customHeight="false" outlineLevel="0" collapsed="false">
      <c r="B195" s="371" t="n">
        <v>42005</v>
      </c>
      <c r="C195" s="360" t="n">
        <f aca="false">(1+$C$4)^E195</f>
        <v>1.49458582019095</v>
      </c>
      <c r="D195" s="358" t="n">
        <f aca="false">D194+1</f>
        <v>181</v>
      </c>
      <c r="E195" s="361" t="n">
        <f aca="false">D195/12</f>
        <v>15.0833333333333</v>
      </c>
    </row>
    <row r="196" customFormat="false" ht="16.5" hidden="false" customHeight="false" outlineLevel="0" collapsed="false">
      <c r="B196" s="371" t="n">
        <v>42036</v>
      </c>
      <c r="C196" s="360" t="n">
        <f aca="false">(1+$C$4)^E196</f>
        <v>1.49790772742867</v>
      </c>
      <c r="D196" s="358" t="n">
        <f aca="false">D195+1</f>
        <v>182</v>
      </c>
      <c r="E196" s="361" t="n">
        <f aca="false">D196/12</f>
        <v>15.1666666666667</v>
      </c>
    </row>
    <row r="197" customFormat="false" ht="16.5" hidden="false" customHeight="false" outlineLevel="0" collapsed="false">
      <c r="B197" s="371" t="n">
        <v>42064</v>
      </c>
      <c r="C197" s="360" t="n">
        <f aca="false">(1+$C$4)^E197</f>
        <v>1.50123701802808</v>
      </c>
      <c r="D197" s="358" t="n">
        <f aca="false">D196+1</f>
        <v>183</v>
      </c>
      <c r="E197" s="361" t="n">
        <f aca="false">D197/12</f>
        <v>15.25</v>
      </c>
    </row>
    <row r="198" customFormat="false" ht="16.5" hidden="false" customHeight="false" outlineLevel="0" collapsed="false">
      <c r="B198" s="371" t="n">
        <v>42095</v>
      </c>
      <c r="C198" s="360" t="n">
        <f aca="false">(1+$C$4)^E198</f>
        <v>1.50457370839965</v>
      </c>
      <c r="D198" s="358" t="n">
        <f aca="false">D197+1</f>
        <v>184</v>
      </c>
      <c r="E198" s="361" t="n">
        <f aca="false">D198/12</f>
        <v>15.3333333333333</v>
      </c>
    </row>
    <row r="199" customFormat="false" ht="16.5" hidden="false" customHeight="false" outlineLevel="0" collapsed="false">
      <c r="B199" s="371" t="n">
        <v>42125</v>
      </c>
      <c r="C199" s="360" t="n">
        <f aca="false">(1+$C$4)^E199</f>
        <v>1.50791781499031</v>
      </c>
      <c r="D199" s="358" t="n">
        <f aca="false">D198+1</f>
        <v>185</v>
      </c>
      <c r="E199" s="361" t="n">
        <f aca="false">D199/12</f>
        <v>15.4166666666667</v>
      </c>
    </row>
    <row r="200" customFormat="false" ht="16.5" hidden="false" customHeight="false" outlineLevel="0" collapsed="false">
      <c r="B200" s="371" t="n">
        <v>42156</v>
      </c>
      <c r="C200" s="360" t="n">
        <f aca="false">(1+$C$4)^E200</f>
        <v>1.51126935428355</v>
      </c>
      <c r="D200" s="358" t="n">
        <f aca="false">D199+1</f>
        <v>186</v>
      </c>
      <c r="E200" s="361" t="n">
        <f aca="false">D200/12</f>
        <v>15.5</v>
      </c>
    </row>
    <row r="201" customFormat="false" ht="16.5" hidden="false" customHeight="false" outlineLevel="0" collapsed="false">
      <c r="B201" s="371" t="n">
        <v>42186</v>
      </c>
      <c r="C201" s="360" t="n">
        <f aca="false">(1+$C$4)^E201</f>
        <v>1.51462834279951</v>
      </c>
      <c r="D201" s="358" t="n">
        <f aca="false">D200+1</f>
        <v>187</v>
      </c>
      <c r="E201" s="361" t="n">
        <f aca="false">D201/12</f>
        <v>15.5833333333333</v>
      </c>
    </row>
    <row r="202" customFormat="false" ht="16.5" hidden="false" customHeight="false" outlineLevel="0" collapsed="false">
      <c r="B202" s="371" t="n">
        <v>42217</v>
      </c>
      <c r="C202" s="360" t="n">
        <f aca="false">(1+$C$4)^E202</f>
        <v>1.51799479709502</v>
      </c>
      <c r="D202" s="358" t="n">
        <f aca="false">D201+1</f>
        <v>188</v>
      </c>
      <c r="E202" s="361" t="n">
        <f aca="false">D202/12</f>
        <v>15.6666666666667</v>
      </c>
    </row>
    <row r="203" customFormat="false" ht="16.5" hidden="false" customHeight="false" outlineLevel="0" collapsed="false">
      <c r="B203" s="371" t="n">
        <v>42248</v>
      </c>
      <c r="C203" s="360" t="n">
        <f aca="false">(1+$C$4)^E203</f>
        <v>1.52136873376374</v>
      </c>
      <c r="D203" s="358" t="n">
        <f aca="false">D202+1</f>
        <v>189</v>
      </c>
      <c r="E203" s="361" t="n">
        <f aca="false">D203/12</f>
        <v>15.75</v>
      </c>
    </row>
    <row r="204" customFormat="false" ht="16.5" hidden="false" customHeight="false" outlineLevel="0" collapsed="false">
      <c r="B204" s="371" t="n">
        <v>42278</v>
      </c>
      <c r="C204" s="360" t="n">
        <f aca="false">(1+$C$4)^E204</f>
        <v>1.52475016943618</v>
      </c>
      <c r="D204" s="358" t="n">
        <f aca="false">D203+1</f>
        <v>190</v>
      </c>
      <c r="E204" s="361" t="n">
        <f aca="false">D204/12</f>
        <v>15.8333333333333</v>
      </c>
    </row>
    <row r="205" customFormat="false" ht="16.5" hidden="false" customHeight="false" outlineLevel="0" collapsed="false">
      <c r="B205" s="371" t="n">
        <v>42309</v>
      </c>
      <c r="C205" s="360" t="n">
        <f aca="false">(1+$C$4)^E205</f>
        <v>1.52813912077985</v>
      </c>
      <c r="D205" s="358" t="n">
        <f aca="false">D204+1</f>
        <v>191</v>
      </c>
      <c r="E205" s="361" t="n">
        <f aca="false">D205/12</f>
        <v>15.9166666666667</v>
      </c>
    </row>
    <row r="206" customFormat="false" ht="16.5" hidden="false" customHeight="false" outlineLevel="0" collapsed="false">
      <c r="B206" s="371" t="n">
        <v>42339</v>
      </c>
      <c r="C206" s="360" t="n">
        <f aca="false">(1+$C$4)^E206</f>
        <v>1.53153560449927</v>
      </c>
      <c r="D206" s="358" t="n">
        <f aca="false">D205+1</f>
        <v>192</v>
      </c>
      <c r="E206" s="361" t="n">
        <f aca="false">D206/12</f>
        <v>16</v>
      </c>
    </row>
    <row r="207" customFormat="false" ht="16.5" hidden="false" customHeight="false" outlineLevel="0" collapsed="false">
      <c r="B207" s="371" t="n">
        <v>42370</v>
      </c>
      <c r="C207" s="360" t="n">
        <f aca="false">(1+$C$4)^E207</f>
        <v>1.53493963733611</v>
      </c>
      <c r="D207" s="358" t="n">
        <f aca="false">D206+1</f>
        <v>193</v>
      </c>
      <c r="E207" s="361" t="n">
        <f aca="false">D207/12</f>
        <v>16.0833333333333</v>
      </c>
    </row>
    <row r="208" customFormat="false" ht="16.5" hidden="false" customHeight="false" outlineLevel="0" collapsed="false">
      <c r="B208" s="371" t="n">
        <v>42401</v>
      </c>
      <c r="C208" s="360" t="n">
        <f aca="false">(1+$C$4)^E208</f>
        <v>1.53835123606924</v>
      </c>
      <c r="D208" s="358" t="n">
        <f aca="false">D207+1</f>
        <v>194</v>
      </c>
      <c r="E208" s="361" t="n">
        <f aca="false">D208/12</f>
        <v>16.1666666666667</v>
      </c>
    </row>
    <row r="209" customFormat="false" ht="16.5" hidden="false" customHeight="false" outlineLevel="0" collapsed="false">
      <c r="B209" s="371" t="n">
        <v>42430</v>
      </c>
      <c r="C209" s="360" t="n">
        <f aca="false">(1+$C$4)^E209</f>
        <v>1.54177041751484</v>
      </c>
      <c r="D209" s="358" t="n">
        <f aca="false">D208+1</f>
        <v>195</v>
      </c>
      <c r="E209" s="361" t="n">
        <f aca="false">D209/12</f>
        <v>16.25</v>
      </c>
    </row>
    <row r="210" customFormat="false" ht="16.5" hidden="false" customHeight="false" outlineLevel="0" collapsed="false">
      <c r="B210" s="371" t="n">
        <v>42461</v>
      </c>
      <c r="C210" s="360" t="n">
        <f aca="false">(1+$C$4)^E210</f>
        <v>1.54519719852644</v>
      </c>
      <c r="D210" s="358" t="n">
        <f aca="false">D209+1</f>
        <v>196</v>
      </c>
      <c r="E210" s="361" t="n">
        <f aca="false">D210/12</f>
        <v>16.3333333333333</v>
      </c>
    </row>
    <row r="211" customFormat="false" ht="16.5" hidden="false" customHeight="false" outlineLevel="0" collapsed="false">
      <c r="B211" s="371" t="n">
        <v>42491</v>
      </c>
      <c r="C211" s="360" t="n">
        <f aca="false">(1+$C$4)^E211</f>
        <v>1.54863159599505</v>
      </c>
      <c r="D211" s="358" t="n">
        <f aca="false">D210+1</f>
        <v>197</v>
      </c>
      <c r="E211" s="361" t="n">
        <f aca="false">D211/12</f>
        <v>16.4166666666667</v>
      </c>
    </row>
    <row r="212" customFormat="false" ht="16.5" hidden="false" customHeight="false" outlineLevel="0" collapsed="false">
      <c r="B212" s="371" t="n">
        <v>42522</v>
      </c>
      <c r="C212" s="360" t="n">
        <f aca="false">(1+$C$4)^E212</f>
        <v>1.55207362684921</v>
      </c>
      <c r="D212" s="358" t="n">
        <f aca="false">D211+1</f>
        <v>198</v>
      </c>
      <c r="E212" s="361" t="n">
        <f aca="false">D212/12</f>
        <v>16.5</v>
      </c>
    </row>
    <row r="213" customFormat="false" ht="16.5" hidden="false" customHeight="false" outlineLevel="0" collapsed="false">
      <c r="B213" s="371" t="n">
        <v>42552</v>
      </c>
      <c r="C213" s="360" t="n">
        <f aca="false">(1+$C$4)^E213</f>
        <v>1.5555233080551</v>
      </c>
      <c r="D213" s="358" t="n">
        <f aca="false">D212+1</f>
        <v>199</v>
      </c>
      <c r="E213" s="361" t="n">
        <f aca="false">D213/12</f>
        <v>16.5833333333333</v>
      </c>
    </row>
    <row r="214" customFormat="false" ht="16.5" hidden="false" customHeight="false" outlineLevel="0" collapsed="false">
      <c r="B214" s="371" t="n">
        <v>42583</v>
      </c>
      <c r="C214" s="360" t="n">
        <f aca="false">(1+$C$4)^E214</f>
        <v>1.55898065661659</v>
      </c>
      <c r="D214" s="358" t="n">
        <f aca="false">D213+1</f>
        <v>200</v>
      </c>
      <c r="E214" s="361" t="n">
        <f aca="false">D214/12</f>
        <v>16.6666666666667</v>
      </c>
    </row>
    <row r="215" customFormat="false" ht="16.5" hidden="false" customHeight="false" outlineLevel="0" collapsed="false">
      <c r="B215" s="371" t="n">
        <v>42614</v>
      </c>
      <c r="C215" s="360" t="n">
        <f aca="false">(1+$C$4)^E215</f>
        <v>1.56244568957536</v>
      </c>
      <c r="D215" s="358" t="n">
        <f aca="false">D214+1</f>
        <v>201</v>
      </c>
      <c r="E215" s="361" t="n">
        <f aca="false">D215/12</f>
        <v>16.75</v>
      </c>
    </row>
    <row r="216" customFormat="false" ht="16.5" hidden="false" customHeight="false" outlineLevel="0" collapsed="false">
      <c r="B216" s="371" t="n">
        <v>42644</v>
      </c>
      <c r="C216" s="360" t="n">
        <f aca="false">(1+$C$4)^E216</f>
        <v>1.56591842401096</v>
      </c>
      <c r="D216" s="358" t="n">
        <f aca="false">D215+1</f>
        <v>202</v>
      </c>
      <c r="E216" s="361" t="n">
        <f aca="false">D216/12</f>
        <v>16.8333333333333</v>
      </c>
    </row>
    <row r="217" customFormat="false" ht="16.5" hidden="false" customHeight="false" outlineLevel="0" collapsed="false">
      <c r="B217" s="371" t="n">
        <v>42675</v>
      </c>
      <c r="C217" s="360" t="n">
        <f aca="false">(1+$C$4)^E217</f>
        <v>1.5693988770409</v>
      </c>
      <c r="D217" s="358" t="n">
        <f aca="false">D216+1</f>
        <v>203</v>
      </c>
      <c r="E217" s="361" t="n">
        <f aca="false">D217/12</f>
        <v>16.9166666666667</v>
      </c>
    </row>
    <row r="218" customFormat="false" ht="16.5" hidden="false" customHeight="false" outlineLevel="0" collapsed="false">
      <c r="B218" s="371" t="n">
        <v>42705</v>
      </c>
      <c r="C218" s="360" t="n">
        <f aca="false">(1+$C$4)^E218</f>
        <v>1.57288706582075</v>
      </c>
      <c r="D218" s="358" t="n">
        <f aca="false">D217+1</f>
        <v>204</v>
      </c>
      <c r="E218" s="361" t="n">
        <f aca="false">D218/12</f>
        <v>17</v>
      </c>
    </row>
    <row r="219" customFormat="false" ht="16.5" hidden="false" customHeight="false" outlineLevel="0" collapsed="false">
      <c r="B219" s="371" t="n">
        <v>42736</v>
      </c>
      <c r="C219" s="360" t="n">
        <f aca="false">(1+$C$4)^E219</f>
        <v>1.57638300754418</v>
      </c>
      <c r="D219" s="358" t="n">
        <f aca="false">D218+1</f>
        <v>205</v>
      </c>
      <c r="E219" s="361" t="n">
        <f aca="false">D219/12</f>
        <v>17.0833333333333</v>
      </c>
    </row>
    <row r="220" customFormat="false" ht="16.5" hidden="false" customHeight="false" outlineLevel="0" collapsed="false">
      <c r="B220" s="371" t="n">
        <v>42767</v>
      </c>
      <c r="C220" s="360" t="n">
        <f aca="false">(1+$C$4)^E220</f>
        <v>1.57988671944311</v>
      </c>
      <c r="D220" s="358" t="n">
        <f aca="false">D219+1</f>
        <v>206</v>
      </c>
      <c r="E220" s="361" t="n">
        <f aca="false">D220/12</f>
        <v>17.1666666666667</v>
      </c>
    </row>
    <row r="221" customFormat="false" ht="16.5" hidden="false" customHeight="false" outlineLevel="0" collapsed="false">
      <c r="B221" s="371" t="n">
        <v>42795</v>
      </c>
      <c r="C221" s="360" t="n">
        <f aca="false">(1+$C$4)^E221</f>
        <v>1.58339821878774</v>
      </c>
      <c r="D221" s="358" t="n">
        <f aca="false">D220+1</f>
        <v>207</v>
      </c>
      <c r="E221" s="361" t="n">
        <f aca="false">D221/12</f>
        <v>17.25</v>
      </c>
    </row>
    <row r="222" customFormat="false" ht="16.5" hidden="false" customHeight="false" outlineLevel="0" collapsed="false">
      <c r="B222" s="371" t="n">
        <v>42826</v>
      </c>
      <c r="C222" s="360" t="n">
        <f aca="false">(1+$C$4)^E222</f>
        <v>1.58691752288665</v>
      </c>
      <c r="D222" s="358" t="n">
        <f aca="false">D221+1</f>
        <v>208</v>
      </c>
      <c r="E222" s="361" t="n">
        <f aca="false">D222/12</f>
        <v>17.3333333333333</v>
      </c>
    </row>
    <row r="223" customFormat="false" ht="16.5" hidden="false" customHeight="false" outlineLevel="0" collapsed="false">
      <c r="B223" s="371" t="n">
        <v>42856</v>
      </c>
      <c r="C223" s="360" t="n">
        <f aca="false">(1+$C$4)^E223</f>
        <v>1.59044464908691</v>
      </c>
      <c r="D223" s="358" t="n">
        <f aca="false">D222+1</f>
        <v>209</v>
      </c>
      <c r="E223" s="361" t="n">
        <f aca="false">D223/12</f>
        <v>17.4166666666667</v>
      </c>
    </row>
    <row r="224" customFormat="false" ht="16.5" hidden="false" customHeight="false" outlineLevel="0" collapsed="false">
      <c r="B224" s="371" t="n">
        <v>42887</v>
      </c>
      <c r="C224" s="360" t="n">
        <f aca="false">(1+$C$4)^E224</f>
        <v>1.59397961477414</v>
      </c>
      <c r="D224" s="358" t="n">
        <f aca="false">D223+1</f>
        <v>210</v>
      </c>
      <c r="E224" s="361" t="n">
        <f aca="false">D224/12</f>
        <v>17.5</v>
      </c>
    </row>
    <row r="225" customFormat="false" ht="16.5" hidden="false" customHeight="false" outlineLevel="0" collapsed="false">
      <c r="B225" s="371" t="n">
        <v>42917</v>
      </c>
      <c r="C225" s="360" t="n">
        <f aca="false">(1+$C$4)^E225</f>
        <v>1.59752243737258</v>
      </c>
      <c r="D225" s="358" t="n">
        <f aca="false">D224+1</f>
        <v>211</v>
      </c>
      <c r="E225" s="361" t="n">
        <f aca="false">D225/12</f>
        <v>17.5833333333333</v>
      </c>
    </row>
    <row r="226" customFormat="false" ht="16.5" hidden="false" customHeight="false" outlineLevel="0" collapsed="false">
      <c r="B226" s="371" t="n">
        <v>42948</v>
      </c>
      <c r="C226" s="360" t="n">
        <f aca="false">(1+$C$4)^E226</f>
        <v>1.60107313434524</v>
      </c>
      <c r="D226" s="358" t="n">
        <f aca="false">D225+1</f>
        <v>212</v>
      </c>
      <c r="E226" s="361" t="n">
        <f aca="false">D226/12</f>
        <v>17.6666666666667</v>
      </c>
    </row>
    <row r="227" customFormat="false" ht="16.5" hidden="false" customHeight="false" outlineLevel="0" collapsed="false">
      <c r="B227" s="371" t="n">
        <v>42979</v>
      </c>
      <c r="C227" s="360" t="n">
        <f aca="false">(1+$C$4)^E227</f>
        <v>1.60463172319389</v>
      </c>
      <c r="D227" s="358" t="n">
        <f aca="false">D226+1</f>
        <v>213</v>
      </c>
      <c r="E227" s="361" t="n">
        <f aca="false">D227/12</f>
        <v>17.75</v>
      </c>
    </row>
    <row r="228" customFormat="false" ht="16.5" hidden="false" customHeight="false" outlineLevel="0" collapsed="false">
      <c r="B228" s="371" t="n">
        <v>43009</v>
      </c>
      <c r="C228" s="360" t="n">
        <f aca="false">(1+$C$4)^E228</f>
        <v>1.60819822145926</v>
      </c>
      <c r="D228" s="358" t="n">
        <f aca="false">D227+1</f>
        <v>214</v>
      </c>
      <c r="E228" s="361" t="n">
        <f aca="false">D228/12</f>
        <v>17.8333333333333</v>
      </c>
    </row>
    <row r="229" customFormat="false" ht="16.5" hidden="false" customHeight="false" outlineLevel="0" collapsed="false">
      <c r="B229" s="371" t="n">
        <v>43040</v>
      </c>
      <c r="C229" s="360" t="n">
        <f aca="false">(1+$C$4)^E229</f>
        <v>1.61177264672101</v>
      </c>
      <c r="D229" s="358" t="n">
        <f aca="false">D228+1</f>
        <v>215</v>
      </c>
      <c r="E229" s="361" t="n">
        <f aca="false">D229/12</f>
        <v>17.9166666666667</v>
      </c>
    </row>
    <row r="230" customFormat="false" ht="16.5" hidden="false" customHeight="false" outlineLevel="0" collapsed="false">
      <c r="B230" s="371" t="n">
        <v>43070</v>
      </c>
      <c r="C230" s="360" t="n">
        <f aca="false">(1+$C$4)^E230</f>
        <v>1.61535501659791</v>
      </c>
      <c r="D230" s="358" t="n">
        <f aca="false">D229+1</f>
        <v>216</v>
      </c>
      <c r="E230" s="361" t="n">
        <f aca="false">D230/12</f>
        <v>18</v>
      </c>
    </row>
    <row r="231" customFormat="false" ht="16.5" hidden="false" customHeight="false" outlineLevel="0" collapsed="false">
      <c r="B231" s="371" t="n">
        <v>43101</v>
      </c>
      <c r="C231" s="360" t="n">
        <f aca="false">(1+$C$4)^E231</f>
        <v>1.61894534874788</v>
      </c>
      <c r="D231" s="358" t="n">
        <f aca="false">D230+1</f>
        <v>217</v>
      </c>
      <c r="E231" s="361" t="n">
        <f aca="false">D231/12</f>
        <v>18.0833333333333</v>
      </c>
    </row>
    <row r="232" customFormat="false" ht="16.5" hidden="false" customHeight="false" outlineLevel="0" collapsed="false">
      <c r="B232" s="371" t="n">
        <v>43132</v>
      </c>
      <c r="C232" s="360" t="n">
        <f aca="false">(1+$C$4)^E232</f>
        <v>1.62254366086808</v>
      </c>
      <c r="D232" s="358" t="n">
        <f aca="false">D231+1</f>
        <v>218</v>
      </c>
      <c r="E232" s="361" t="n">
        <f aca="false">D232/12</f>
        <v>18.1666666666667</v>
      </c>
    </row>
    <row r="233" customFormat="false" ht="16.5" hidden="false" customHeight="false" outlineLevel="0" collapsed="false">
      <c r="B233" s="371" t="n">
        <v>43160</v>
      </c>
      <c r="C233" s="360" t="n">
        <f aca="false">(1+$C$4)^E233</f>
        <v>1.62614997069501</v>
      </c>
      <c r="D233" s="358" t="n">
        <f aca="false">D232+1</f>
        <v>219</v>
      </c>
      <c r="E233" s="361" t="n">
        <f aca="false">D233/12</f>
        <v>18.25</v>
      </c>
    </row>
    <row r="234" customFormat="false" ht="16.5" hidden="false" customHeight="false" outlineLevel="0" collapsed="false">
      <c r="B234" s="371" t="n">
        <v>43191</v>
      </c>
      <c r="C234" s="360" t="n">
        <f aca="false">(1+$C$4)^E234</f>
        <v>1.62976429600459</v>
      </c>
      <c r="D234" s="358" t="n">
        <f aca="false">D233+1</f>
        <v>220</v>
      </c>
      <c r="E234" s="361" t="n">
        <f aca="false">D234/12</f>
        <v>18.3333333333333</v>
      </c>
    </row>
    <row r="235" customFormat="false" ht="16.5" hidden="false" customHeight="false" outlineLevel="0" collapsed="false">
      <c r="B235" s="371" t="n">
        <v>43221</v>
      </c>
      <c r="C235" s="360" t="n">
        <f aca="false">(1+$C$4)^E235</f>
        <v>1.63338665461226</v>
      </c>
      <c r="D235" s="358" t="n">
        <f aca="false">D234+1</f>
        <v>221</v>
      </c>
      <c r="E235" s="361" t="n">
        <f aca="false">D235/12</f>
        <v>18.4166666666667</v>
      </c>
    </row>
    <row r="236" customFormat="false" ht="16.5" hidden="false" customHeight="false" outlineLevel="0" collapsed="false">
      <c r="B236" s="371" t="n">
        <v>43252</v>
      </c>
      <c r="C236" s="360" t="n">
        <f aca="false">(1+$C$4)^E236</f>
        <v>1.63701706437304</v>
      </c>
      <c r="D236" s="358" t="n">
        <f aca="false">D235+1</f>
        <v>222</v>
      </c>
      <c r="E236" s="361" t="n">
        <f aca="false">D236/12</f>
        <v>18.5</v>
      </c>
    </row>
    <row r="237" customFormat="false" ht="16.5" hidden="false" customHeight="false" outlineLevel="0" collapsed="false">
      <c r="B237" s="372" t="n">
        <v>43282</v>
      </c>
      <c r="C237" s="360" t="n">
        <f aca="false">(1+$C$4)^E237</f>
        <v>1.64065554318164</v>
      </c>
      <c r="D237" s="358" t="n">
        <f aca="false">D236+1</f>
        <v>223</v>
      </c>
      <c r="E237" s="361" t="n">
        <f aca="false">D237/12</f>
        <v>18.5833333333333</v>
      </c>
    </row>
    <row r="238" customFormat="false" ht="16.5" hidden="false" customHeight="false" outlineLevel="0" collapsed="false">
      <c r="B238" s="372" t="n">
        <v>43313</v>
      </c>
      <c r="C238" s="360" t="n">
        <f aca="false">(1+$C$4)^E238</f>
        <v>1.64430210897256</v>
      </c>
      <c r="D238" s="358" t="n">
        <f aca="false">D237+1</f>
        <v>224</v>
      </c>
      <c r="E238" s="361" t="n">
        <f aca="false">D238/12</f>
        <v>18.6666666666667</v>
      </c>
    </row>
    <row r="239" customFormat="false" ht="16.5" hidden="false" customHeight="false" outlineLevel="0" collapsed="false">
      <c r="B239" s="372" t="n">
        <v>43344</v>
      </c>
      <c r="C239" s="360" t="n">
        <f aca="false">(1+$C$4)^E239</f>
        <v>1.64795677972013</v>
      </c>
      <c r="D239" s="358" t="n">
        <f aca="false">D238+1</f>
        <v>225</v>
      </c>
      <c r="E239" s="361" t="n">
        <f aca="false">D239/12</f>
        <v>18.75</v>
      </c>
    </row>
    <row r="240" customFormat="false" ht="16.5" hidden="false" customHeight="false" outlineLevel="0" collapsed="false">
      <c r="B240" s="372" t="n">
        <v>43374</v>
      </c>
      <c r="C240" s="360" t="n">
        <f aca="false">(1+$C$4)^E240</f>
        <v>1.65161957343866</v>
      </c>
      <c r="D240" s="358" t="n">
        <f aca="false">D239+1</f>
        <v>226</v>
      </c>
      <c r="E240" s="361" t="n">
        <f aca="false">D240/12</f>
        <v>18.8333333333333</v>
      </c>
    </row>
    <row r="241" customFormat="false" ht="16.5" hidden="false" customHeight="false" outlineLevel="0" collapsed="false">
      <c r="B241" s="372" t="n">
        <v>43405</v>
      </c>
      <c r="C241" s="360" t="n">
        <f aca="false">(1+$C$4)^E241</f>
        <v>1.65529050818248</v>
      </c>
      <c r="D241" s="358" t="n">
        <f aca="false">D240+1</f>
        <v>227</v>
      </c>
      <c r="E241" s="361" t="n">
        <f aca="false">D241/12</f>
        <v>18.9166666666667</v>
      </c>
    </row>
    <row r="242" customFormat="false" ht="16.5" hidden="false" customHeight="false" outlineLevel="0" collapsed="false">
      <c r="B242" s="372" t="n">
        <v>43435</v>
      </c>
      <c r="C242" s="360" t="n">
        <f aca="false">(1+$C$4)^E242</f>
        <v>1.65896960204605</v>
      </c>
      <c r="D242" s="358" t="n">
        <f aca="false">D241+1</f>
        <v>228</v>
      </c>
      <c r="E242" s="361" t="n">
        <f aca="false">D242/12</f>
        <v>19</v>
      </c>
    </row>
    <row r="243" customFormat="false" ht="16.5" hidden="false" customHeight="false" outlineLevel="0" collapsed="false">
      <c r="B243" s="372" t="n">
        <v>43466</v>
      </c>
      <c r="C243" s="360" t="n">
        <f aca="false">(1+$C$4)^E243</f>
        <v>1.66265687316407</v>
      </c>
      <c r="D243" s="358" t="n">
        <f aca="false">D242+1</f>
        <v>229</v>
      </c>
      <c r="E243" s="361" t="n">
        <f aca="false">D243/12</f>
        <v>19.0833333333333</v>
      </c>
    </row>
    <row r="244" customFormat="false" ht="16.5" hidden="false" customHeight="false" outlineLevel="0" collapsed="false">
      <c r="B244" s="372" t="n">
        <v>43497</v>
      </c>
      <c r="C244" s="360" t="n">
        <f aca="false">(1+$C$4)^E244</f>
        <v>1.66635233971151</v>
      </c>
      <c r="D244" s="358" t="n">
        <f aca="false">D243+1</f>
        <v>230</v>
      </c>
      <c r="E244" s="361" t="n">
        <f aca="false">D244/12</f>
        <v>19.1666666666667</v>
      </c>
    </row>
    <row r="245" customFormat="false" ht="16.5" hidden="false" customHeight="false" outlineLevel="0" collapsed="false">
      <c r="B245" s="372" t="n">
        <v>43525</v>
      </c>
      <c r="C245" s="360" t="n">
        <f aca="false">(1+$C$4)^E245</f>
        <v>1.67005601990377</v>
      </c>
      <c r="D245" s="358" t="n">
        <f aca="false">D244+1</f>
        <v>231</v>
      </c>
      <c r="E245" s="361" t="n">
        <f aca="false">D245/12</f>
        <v>19.25</v>
      </c>
    </row>
    <row r="246" customFormat="false" ht="16.5" hidden="false" customHeight="false" outlineLevel="0" collapsed="false">
      <c r="B246" s="372" t="n">
        <v>43556</v>
      </c>
      <c r="C246" s="360" t="n">
        <f aca="false">(1+$C$4)^E246</f>
        <v>1.67376793199672</v>
      </c>
      <c r="D246" s="358" t="n">
        <f aca="false">D245+1</f>
        <v>232</v>
      </c>
      <c r="E246" s="361" t="n">
        <f aca="false">D246/12</f>
        <v>19.3333333333333</v>
      </c>
    </row>
    <row r="247" customFormat="false" ht="16.5" hidden="false" customHeight="false" outlineLevel="0" collapsed="false">
      <c r="B247" s="372" t="n">
        <v>43586</v>
      </c>
      <c r="C247" s="360" t="n">
        <f aca="false">(1+$C$4)^E247</f>
        <v>1.67748809428679</v>
      </c>
      <c r="D247" s="358" t="n">
        <f aca="false">D246+1</f>
        <v>233</v>
      </c>
      <c r="E247" s="361" t="n">
        <f aca="false">D247/12</f>
        <v>19.4166666666667</v>
      </c>
    </row>
    <row r="248" customFormat="false" ht="16.5" hidden="false" customHeight="false" outlineLevel="0" collapsed="false">
      <c r="B248" s="372" t="n">
        <v>43617</v>
      </c>
      <c r="C248" s="360" t="n">
        <f aca="false">(1+$C$4)^E248</f>
        <v>1.68121652511111</v>
      </c>
      <c r="D248" s="358" t="n">
        <f aca="false">D247+1</f>
        <v>234</v>
      </c>
      <c r="E248" s="361" t="n">
        <f aca="false">D248/12</f>
        <v>19.5</v>
      </c>
    </row>
    <row r="249" customFormat="false" ht="16.5" hidden="false" customHeight="false" outlineLevel="0" collapsed="false">
      <c r="B249" s="372" t="n">
        <v>43647</v>
      </c>
      <c r="C249" s="360" t="n">
        <f aca="false">(1+$C$4)^E249</f>
        <v>1.68495324284755</v>
      </c>
      <c r="D249" s="358" t="n">
        <f aca="false">D248+1</f>
        <v>235</v>
      </c>
      <c r="E249" s="361" t="n">
        <f aca="false">D249/12</f>
        <v>19.5833333333333</v>
      </c>
    </row>
    <row r="250" customFormat="false" ht="16.5" hidden="false" customHeight="false" outlineLevel="0" collapsed="false">
      <c r="B250" s="372" t="n">
        <v>43678</v>
      </c>
      <c r="C250" s="360" t="n">
        <f aca="false">(1+$C$4)^E250</f>
        <v>1.68869826591482</v>
      </c>
      <c r="D250" s="358" t="n">
        <f aca="false">D249+1</f>
        <v>236</v>
      </c>
      <c r="E250" s="361" t="n">
        <f aca="false">D250/12</f>
        <v>19.6666666666667</v>
      </c>
    </row>
    <row r="251" customFormat="false" ht="16.5" hidden="false" customHeight="false" outlineLevel="0" collapsed="false">
      <c r="B251" s="372" t="n">
        <v>43709</v>
      </c>
      <c r="C251" s="360" t="n">
        <f aca="false">(1+$C$4)^E251</f>
        <v>1.69245161277257</v>
      </c>
      <c r="D251" s="358" t="n">
        <f aca="false">D250+1</f>
        <v>237</v>
      </c>
      <c r="E251" s="361" t="n">
        <f aca="false">D251/12</f>
        <v>19.75</v>
      </c>
    </row>
    <row r="252" customFormat="false" ht="16.5" hidden="false" customHeight="false" outlineLevel="0" collapsed="false">
      <c r="B252" s="372" t="n">
        <v>43739</v>
      </c>
      <c r="C252" s="360" t="n">
        <f aca="false">(1+$C$4)^E252</f>
        <v>1.6962133019215</v>
      </c>
      <c r="D252" s="358" t="n">
        <f aca="false">D251+1</f>
        <v>238</v>
      </c>
      <c r="E252" s="361" t="n">
        <f aca="false">D252/12</f>
        <v>19.8333333333333</v>
      </c>
    </row>
    <row r="253" customFormat="false" ht="16.5" hidden="false" customHeight="false" outlineLevel="0" collapsed="false">
      <c r="B253" s="372" t="n">
        <v>43770</v>
      </c>
      <c r="C253" s="360" t="n">
        <f aca="false">(1+$C$4)^E253</f>
        <v>1.6999833519034</v>
      </c>
      <c r="D253" s="358" t="n">
        <f aca="false">D252+1</f>
        <v>239</v>
      </c>
      <c r="E253" s="361" t="n">
        <f aca="false">D253/12</f>
        <v>19.9166666666667</v>
      </c>
    </row>
    <row r="254" customFormat="false" ht="15.75" hidden="false" customHeight="false" outlineLevel="0" collapsed="false">
      <c r="B254" s="370" t="n">
        <f aca="false">B253+30</f>
        <v>43800</v>
      </c>
      <c r="C254" s="360" t="n">
        <f aca="false">(1+$C$4)^E254</f>
        <v>1.7037617813013</v>
      </c>
      <c r="D254" s="358" t="n">
        <f aca="false">D253+1</f>
        <v>240</v>
      </c>
      <c r="E254" s="361" t="n">
        <f aca="false">D254/12</f>
        <v>20</v>
      </c>
    </row>
    <row r="255" customFormat="false" ht="16.5" hidden="false" customHeight="false" outlineLevel="0" collapsed="false">
      <c r="B255" s="372" t="n">
        <v>43831</v>
      </c>
      <c r="C255" s="360" t="n">
        <f aca="false">(1+$C$4)^E255</f>
        <v>1.7075486087395</v>
      </c>
      <c r="D255" s="358" t="n">
        <f aca="false">D254+1</f>
        <v>241</v>
      </c>
      <c r="E255" s="361" t="n">
        <f aca="false">D255/12</f>
        <v>20.0833333333333</v>
      </c>
    </row>
    <row r="256" customFormat="false" ht="16.5" hidden="false" customHeight="false" outlineLevel="0" collapsed="false">
      <c r="B256" s="372" t="n">
        <v>43862</v>
      </c>
      <c r="C256" s="360" t="n">
        <f aca="false">(1+$C$4)^E256</f>
        <v>1.71134385288372</v>
      </c>
      <c r="D256" s="358" t="n">
        <f aca="false">D255+1</f>
        <v>242</v>
      </c>
      <c r="E256" s="361" t="n">
        <f aca="false">D256/12</f>
        <v>20.1666666666667</v>
      </c>
    </row>
    <row r="257" customFormat="false" ht="16.5" hidden="false" customHeight="false" outlineLevel="0" collapsed="false">
      <c r="B257" s="372" t="n">
        <v>43891</v>
      </c>
      <c r="C257" s="360" t="n">
        <f aca="false">(1+$C$4)^E257</f>
        <v>1.71514753244117</v>
      </c>
      <c r="D257" s="358" t="n">
        <f aca="false">D256+1</f>
        <v>243</v>
      </c>
      <c r="E257" s="361" t="n">
        <f aca="false">D257/12</f>
        <v>20.25</v>
      </c>
    </row>
    <row r="258" customFormat="false" ht="16.5" hidden="false" customHeight="false" outlineLevel="0" collapsed="false">
      <c r="B258" s="372" t="n">
        <v>43922</v>
      </c>
      <c r="C258" s="360" t="n">
        <f aca="false">(1+$C$4)^E258</f>
        <v>1.71895966616063</v>
      </c>
      <c r="D258" s="358" t="n">
        <f aca="false">D257+1</f>
        <v>244</v>
      </c>
      <c r="E258" s="361" t="n">
        <f aca="false">D258/12</f>
        <v>20.3333333333333</v>
      </c>
    </row>
    <row r="259" customFormat="false" ht="16.5" hidden="false" customHeight="false" outlineLevel="0" collapsed="false">
      <c r="B259" s="372" t="n">
        <v>43952</v>
      </c>
      <c r="C259" s="360" t="n">
        <f aca="false">(1+$C$4)^E259</f>
        <v>1.72278027283253</v>
      </c>
      <c r="D259" s="358" t="n">
        <f aca="false">D258+1</f>
        <v>245</v>
      </c>
      <c r="E259" s="361" t="n">
        <f aca="false">D259/12</f>
        <v>20.4166666666667</v>
      </c>
    </row>
    <row r="260" customFormat="false" ht="16.5" hidden="false" customHeight="false" outlineLevel="0" collapsed="false">
      <c r="B260" s="372" t="n">
        <v>43983</v>
      </c>
      <c r="C260" s="360" t="n">
        <f aca="false">(1+$C$4)^E260</f>
        <v>1.72660937128911</v>
      </c>
      <c r="D260" s="358" t="n">
        <f aca="false">D259+1</f>
        <v>246</v>
      </c>
      <c r="E260" s="361" t="n">
        <f aca="false">D260/12</f>
        <v>20.5</v>
      </c>
    </row>
    <row r="261" customFormat="false" ht="16.5" hidden="false" customHeight="false" outlineLevel="0" collapsed="false">
      <c r="B261" s="372" t="n">
        <v>44013</v>
      </c>
      <c r="C261" s="360" t="n">
        <f aca="false">(1+$C$4)^E261</f>
        <v>1.73044698040443</v>
      </c>
      <c r="D261" s="358" t="n">
        <f aca="false">D260+1</f>
        <v>247</v>
      </c>
      <c r="E261" s="361" t="n">
        <f aca="false">D261/12</f>
        <v>20.5833333333333</v>
      </c>
    </row>
    <row r="262" customFormat="false" ht="16.5" hidden="false" customHeight="false" outlineLevel="0" collapsed="false">
      <c r="B262" s="372" t="n">
        <v>44044</v>
      </c>
      <c r="C262" s="360" t="n">
        <f aca="false">(1+$C$4)^E262</f>
        <v>1.73429311909452</v>
      </c>
      <c r="D262" s="358" t="n">
        <f aca="false">D261+1</f>
        <v>248</v>
      </c>
      <c r="E262" s="361" t="n">
        <f aca="false">D262/12</f>
        <v>20.6666666666667</v>
      </c>
    </row>
    <row r="263" customFormat="false" ht="16.5" hidden="false" customHeight="false" outlineLevel="0" collapsed="false">
      <c r="B263" s="372" t="n">
        <v>44075</v>
      </c>
      <c r="C263" s="360" t="n">
        <f aca="false">(1+$C$4)^E263</f>
        <v>1.73814780631743</v>
      </c>
      <c r="D263" s="358" t="n">
        <f aca="false">D262+1</f>
        <v>249</v>
      </c>
      <c r="E263" s="361" t="n">
        <f aca="false">D263/12</f>
        <v>20.75</v>
      </c>
    </row>
    <row r="264" customFormat="false" ht="16.5" hidden="false" customHeight="false" outlineLevel="0" collapsed="false">
      <c r="B264" s="372" t="n">
        <v>44105</v>
      </c>
      <c r="C264" s="360" t="n">
        <f aca="false">(1+$C$4)^E264</f>
        <v>1.74201106107338</v>
      </c>
      <c r="D264" s="358" t="n">
        <f aca="false">D263+1</f>
        <v>250</v>
      </c>
      <c r="E264" s="361" t="n">
        <f aca="false">D264/12</f>
        <v>20.8333333333333</v>
      </c>
    </row>
    <row r="265" customFormat="false" ht="16.5" hidden="false" customHeight="false" outlineLevel="0" collapsed="false">
      <c r="B265" s="372" t="n">
        <v>44136</v>
      </c>
      <c r="C265" s="360" t="n">
        <f aca="false">(1+$C$4)^E265</f>
        <v>1.74588290240479</v>
      </c>
      <c r="D265" s="358" t="n">
        <f aca="false">D264+1</f>
        <v>251</v>
      </c>
      <c r="E265" s="361" t="n">
        <f aca="false">D265/12</f>
        <v>20.9166666666667</v>
      </c>
    </row>
    <row r="266" customFormat="false" ht="16.5" hidden="false" customHeight="false" outlineLevel="0" collapsed="false">
      <c r="B266" s="372" t="n">
        <v>44166</v>
      </c>
      <c r="C266" s="360" t="n">
        <f aca="false">(1+$C$4)^E266</f>
        <v>1.74976334939643</v>
      </c>
      <c r="D266" s="358" t="n">
        <f aca="false">D265+1</f>
        <v>252</v>
      </c>
      <c r="E266" s="361" t="n">
        <f aca="false">D266/12</f>
        <v>21</v>
      </c>
    </row>
    <row r="267" customFormat="false" ht="15.75" hidden="false" customHeight="false" outlineLevel="0" collapsed="false">
      <c r="B267" s="370" t="n">
        <f aca="false">B266+31</f>
        <v>44197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5" activeCellId="0" sqref="E5"/>
    </sheetView>
  </sheetViews>
  <sheetFormatPr defaultColWidth="9.0546875" defaultRowHeight="15.75" customHeight="true" zeroHeight="false" outlineLevelRow="0" outlineLevelCol="0"/>
  <cols>
    <col collapsed="false" customWidth="true" hidden="false" outlineLevel="0" max="1" min="1" style="373" width="0.85"/>
    <col collapsed="false" customWidth="true" hidden="false" outlineLevel="0" max="2" min="2" style="374" width="11.28"/>
    <col collapsed="false" customWidth="true" hidden="false" outlineLevel="0" max="3" min="3" style="373" width="9.14"/>
    <col collapsed="false" customWidth="true" hidden="false" outlineLevel="0" max="4" min="4" style="375" width="9.14"/>
    <col collapsed="false" customWidth="true" hidden="false" outlineLevel="0" max="6" min="5" style="373" width="9.7"/>
    <col collapsed="false" customWidth="true" hidden="false" outlineLevel="0" max="8" min="7" style="376" width="12.85"/>
    <col collapsed="false" customWidth="true" hidden="false" outlineLevel="0" max="9" min="9" style="376" width="16.84"/>
    <col collapsed="false" customWidth="true" hidden="false" outlineLevel="0" max="10" min="10" style="373" width="12.14"/>
    <col collapsed="false" customWidth="true" hidden="false" outlineLevel="0" max="11" min="11" style="373" width="9.14"/>
    <col collapsed="false" customWidth="true" hidden="true" outlineLevel="0" max="12" min="12" style="373" width="12.28"/>
    <col collapsed="false" customWidth="false" hidden="true" outlineLevel="0" max="13" min="13" style="377" width="9.06"/>
    <col collapsed="false" customWidth="false" hidden="true" outlineLevel="0" max="257" min="14" style="373" width="9.06"/>
    <col collapsed="false" customWidth="false" hidden="true" outlineLevel="0" max="16384" min="258" style="0" width="9.06"/>
  </cols>
  <sheetData>
    <row r="1" customFormat="false" ht="16.5" hidden="false" customHeight="false" outlineLevel="0" collapsed="false">
      <c r="B1" s="378" t="n">
        <f aca="false">'Revenues &amp; Expenses'!K1</f>
        <v>36589</v>
      </c>
      <c r="F1" s="379"/>
      <c r="G1" s="380"/>
      <c r="H1" s="380"/>
      <c r="I1" s="381" t="s">
        <v>182</v>
      </c>
    </row>
    <row r="2" customFormat="false" ht="15.75" hidden="false" customHeight="false" outlineLevel="0" collapsed="false">
      <c r="C2" s="382"/>
      <c r="D2" s="383"/>
      <c r="F2" s="384"/>
      <c r="I2" s="385" t="n">
        <v>0</v>
      </c>
    </row>
    <row r="3" customFormat="false" ht="15.75" hidden="false" customHeight="false" outlineLevel="0" collapsed="false">
      <c r="D3" s="386"/>
    </row>
    <row r="4" customFormat="false" ht="15.75" hidden="false" customHeight="false" outlineLevel="0" collapsed="false">
      <c r="C4" s="387"/>
      <c r="D4" s="386"/>
      <c r="G4" s="388"/>
      <c r="H4" s="388"/>
      <c r="I4" s="388"/>
      <c r="J4" s="389"/>
    </row>
    <row r="5" customFormat="false" ht="15.75" hidden="false" customHeight="false" outlineLevel="0" collapsed="false">
      <c r="A5" s="374"/>
      <c r="C5" s="390"/>
      <c r="D5" s="391"/>
      <c r="E5" s="374"/>
      <c r="F5" s="374"/>
      <c r="G5" s="392"/>
      <c r="H5" s="392"/>
      <c r="I5" s="393"/>
      <c r="J5" s="374"/>
      <c r="K5" s="374"/>
      <c r="L5" s="394"/>
      <c r="M5" s="395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P5" s="374"/>
      <c r="AQ5" s="374"/>
      <c r="AR5" s="374"/>
      <c r="AS5" s="374"/>
      <c r="AT5" s="374"/>
      <c r="AU5" s="374"/>
      <c r="AV5" s="374"/>
      <c r="AW5" s="374"/>
      <c r="AX5" s="374"/>
      <c r="AY5" s="374"/>
      <c r="AZ5" s="374"/>
      <c r="BA5" s="374"/>
      <c r="BB5" s="374"/>
      <c r="BC5" s="374"/>
      <c r="BD5" s="374"/>
      <c r="BE5" s="374"/>
      <c r="BF5" s="374"/>
      <c r="BG5" s="374"/>
      <c r="BH5" s="374"/>
      <c r="BI5" s="374"/>
      <c r="BJ5" s="374"/>
      <c r="BK5" s="374"/>
      <c r="BL5" s="374"/>
      <c r="BM5" s="374"/>
      <c r="BN5" s="374"/>
      <c r="BO5" s="374"/>
      <c r="BP5" s="374"/>
      <c r="BQ5" s="374"/>
      <c r="BR5" s="374"/>
      <c r="BS5" s="374"/>
      <c r="BT5" s="374"/>
      <c r="BU5" s="374"/>
      <c r="BV5" s="374"/>
      <c r="BW5" s="374"/>
      <c r="BX5" s="374"/>
      <c r="BY5" s="374"/>
      <c r="BZ5" s="374"/>
      <c r="CA5" s="374"/>
      <c r="CB5" s="374"/>
      <c r="CC5" s="374"/>
      <c r="CD5" s="374"/>
      <c r="CE5" s="374"/>
      <c r="CF5" s="374"/>
      <c r="CG5" s="374"/>
      <c r="CH5" s="374"/>
      <c r="CI5" s="374"/>
      <c r="CJ5" s="374"/>
      <c r="CK5" s="374"/>
      <c r="CL5" s="374"/>
      <c r="CM5" s="374"/>
      <c r="CN5" s="374"/>
      <c r="CO5" s="374"/>
      <c r="CP5" s="374"/>
      <c r="CQ5" s="374"/>
      <c r="CR5" s="374"/>
      <c r="CS5" s="374"/>
      <c r="CT5" s="374"/>
      <c r="CU5" s="374"/>
      <c r="CV5" s="374"/>
      <c r="CW5" s="374"/>
      <c r="CX5" s="374"/>
      <c r="CY5" s="374"/>
      <c r="CZ5" s="374"/>
      <c r="DA5" s="374"/>
      <c r="DB5" s="374"/>
      <c r="DC5" s="374"/>
      <c r="DD5" s="374"/>
      <c r="DE5" s="374"/>
      <c r="DF5" s="374"/>
      <c r="DG5" s="374"/>
      <c r="DH5" s="374"/>
      <c r="DI5" s="374"/>
      <c r="DJ5" s="374"/>
      <c r="DK5" s="374"/>
      <c r="DL5" s="374"/>
      <c r="DM5" s="374"/>
      <c r="DN5" s="374"/>
      <c r="DO5" s="374"/>
      <c r="DP5" s="374"/>
      <c r="DQ5" s="374"/>
      <c r="DR5" s="374"/>
      <c r="DS5" s="374"/>
      <c r="DT5" s="374"/>
      <c r="DU5" s="374"/>
      <c r="DV5" s="374"/>
      <c r="DW5" s="374"/>
      <c r="DX5" s="374"/>
      <c r="DY5" s="374"/>
      <c r="DZ5" s="374"/>
      <c r="EA5" s="374"/>
      <c r="EB5" s="374"/>
      <c r="EC5" s="374"/>
      <c r="ED5" s="374"/>
      <c r="EE5" s="374"/>
      <c r="EF5" s="374"/>
      <c r="EG5" s="374"/>
      <c r="EH5" s="374"/>
      <c r="EI5" s="374"/>
      <c r="EJ5" s="374"/>
      <c r="EK5" s="374"/>
      <c r="EL5" s="374"/>
      <c r="EM5" s="374"/>
      <c r="EN5" s="374"/>
      <c r="EO5" s="374"/>
      <c r="EP5" s="374"/>
      <c r="EQ5" s="374"/>
      <c r="ER5" s="374"/>
      <c r="ES5" s="374"/>
      <c r="ET5" s="374"/>
      <c r="EU5" s="374"/>
      <c r="EV5" s="374"/>
      <c r="EW5" s="374"/>
      <c r="EX5" s="374"/>
      <c r="EY5" s="374"/>
      <c r="EZ5" s="374"/>
      <c r="FA5" s="374"/>
      <c r="FB5" s="374"/>
      <c r="FC5" s="374"/>
      <c r="FD5" s="374"/>
      <c r="FE5" s="374"/>
      <c r="FF5" s="374"/>
      <c r="FG5" s="374"/>
      <c r="FH5" s="374"/>
      <c r="FI5" s="374"/>
      <c r="FJ5" s="374"/>
      <c r="FK5" s="374"/>
      <c r="FL5" s="374"/>
      <c r="FM5" s="374"/>
      <c r="FN5" s="374"/>
      <c r="FO5" s="374"/>
      <c r="FP5" s="374"/>
      <c r="FQ5" s="374"/>
      <c r="FR5" s="374"/>
      <c r="FS5" s="374"/>
      <c r="FT5" s="374"/>
      <c r="FU5" s="374"/>
      <c r="FV5" s="374"/>
      <c r="FW5" s="374"/>
      <c r="FX5" s="374"/>
      <c r="FY5" s="374"/>
      <c r="FZ5" s="374"/>
      <c r="GA5" s="374"/>
      <c r="GB5" s="374"/>
      <c r="GC5" s="374"/>
      <c r="GD5" s="374"/>
      <c r="GE5" s="374"/>
      <c r="GF5" s="374"/>
      <c r="GG5" s="374"/>
      <c r="GH5" s="374"/>
      <c r="GI5" s="374"/>
      <c r="GJ5" s="374"/>
      <c r="GK5" s="374"/>
      <c r="GL5" s="374"/>
      <c r="GM5" s="374"/>
      <c r="GN5" s="374"/>
      <c r="GO5" s="374"/>
      <c r="GP5" s="374"/>
      <c r="GQ5" s="374"/>
      <c r="GR5" s="374"/>
      <c r="GS5" s="374"/>
      <c r="GT5" s="374"/>
      <c r="GU5" s="374"/>
      <c r="GV5" s="374"/>
      <c r="GW5" s="374"/>
      <c r="GX5" s="374"/>
      <c r="GY5" s="374"/>
      <c r="GZ5" s="374"/>
      <c r="HA5" s="374"/>
      <c r="HB5" s="374"/>
      <c r="HC5" s="374"/>
      <c r="HD5" s="374"/>
      <c r="HE5" s="374"/>
      <c r="HF5" s="374"/>
      <c r="HG5" s="374"/>
      <c r="HH5" s="374"/>
      <c r="HI5" s="374"/>
      <c r="HJ5" s="374"/>
      <c r="HK5" s="374"/>
      <c r="HL5" s="374"/>
      <c r="HM5" s="374"/>
      <c r="HN5" s="374"/>
      <c r="HO5" s="374"/>
      <c r="HP5" s="374"/>
      <c r="HQ5" s="374"/>
      <c r="HR5" s="374"/>
      <c r="HS5" s="374"/>
      <c r="HT5" s="374"/>
      <c r="HU5" s="374"/>
      <c r="HV5" s="374"/>
      <c r="HW5" s="374"/>
      <c r="HX5" s="374"/>
      <c r="HY5" s="374"/>
      <c r="HZ5" s="374"/>
      <c r="IA5" s="374"/>
      <c r="IB5" s="374"/>
      <c r="IC5" s="374"/>
      <c r="ID5" s="374"/>
      <c r="IE5" s="374"/>
      <c r="IF5" s="374"/>
      <c r="IG5" s="374"/>
      <c r="IH5" s="374"/>
      <c r="II5" s="374"/>
      <c r="IJ5" s="374"/>
      <c r="IK5" s="374"/>
      <c r="IL5" s="374"/>
      <c r="IM5" s="374"/>
      <c r="IN5" s="374"/>
      <c r="IO5" s="374"/>
      <c r="IP5" s="374"/>
      <c r="IQ5" s="374"/>
      <c r="IR5" s="374"/>
      <c r="IS5" s="374"/>
      <c r="IT5" s="374"/>
      <c r="IU5" s="374"/>
      <c r="IV5" s="374"/>
      <c r="IW5" s="374"/>
    </row>
    <row r="6" customFormat="false" ht="15.75" hidden="false" customHeight="false" outlineLevel="0" collapsed="false">
      <c r="A6" s="396"/>
      <c r="B6" s="396"/>
      <c r="C6" s="396"/>
      <c r="D6" s="397"/>
      <c r="E6" s="396"/>
      <c r="F6" s="396"/>
      <c r="G6" s="398"/>
      <c r="H6" s="398"/>
      <c r="I6" s="398" t="s">
        <v>183</v>
      </c>
      <c r="J6" s="399" t="s">
        <v>184</v>
      </c>
      <c r="K6" s="396"/>
      <c r="L6" s="394"/>
      <c r="M6" s="400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  <c r="HJ6" s="396"/>
      <c r="HK6" s="396"/>
      <c r="HL6" s="396"/>
      <c r="HM6" s="396"/>
      <c r="HN6" s="396"/>
      <c r="HO6" s="396"/>
      <c r="HP6" s="396"/>
      <c r="HQ6" s="396"/>
      <c r="HR6" s="396"/>
      <c r="HS6" s="396"/>
      <c r="HT6" s="396"/>
      <c r="HU6" s="396"/>
      <c r="HV6" s="396"/>
      <c r="HW6" s="396"/>
      <c r="HX6" s="396"/>
      <c r="HY6" s="396"/>
      <c r="HZ6" s="396"/>
      <c r="IA6" s="396"/>
      <c r="IB6" s="396"/>
      <c r="IC6" s="396"/>
      <c r="ID6" s="396"/>
      <c r="IE6" s="396"/>
      <c r="IF6" s="396"/>
      <c r="IG6" s="396"/>
      <c r="IH6" s="396"/>
      <c r="II6" s="396"/>
      <c r="IJ6" s="396"/>
      <c r="IK6" s="396"/>
      <c r="IL6" s="396"/>
      <c r="IM6" s="396"/>
      <c r="IN6" s="396"/>
      <c r="IO6" s="396"/>
      <c r="IP6" s="396"/>
      <c r="IQ6" s="396"/>
      <c r="IR6" s="396"/>
      <c r="IS6" s="396"/>
      <c r="IT6" s="396"/>
      <c r="IU6" s="396"/>
      <c r="IV6" s="396"/>
      <c r="IW6" s="396"/>
    </row>
    <row r="7" customFormat="false" ht="16.5" hidden="false" customHeight="false" outlineLevel="0" collapsed="false">
      <c r="A7" s="396"/>
      <c r="B7" s="396"/>
      <c r="C7" s="401" t="s">
        <v>89</v>
      </c>
      <c r="D7" s="402" t="s">
        <v>185</v>
      </c>
      <c r="E7" s="401" t="s">
        <v>186</v>
      </c>
      <c r="F7" s="401" t="s">
        <v>187</v>
      </c>
      <c r="G7" s="403" t="s">
        <v>188</v>
      </c>
      <c r="H7" s="403" t="s">
        <v>189</v>
      </c>
      <c r="I7" s="403" t="s">
        <v>190</v>
      </c>
      <c r="J7" s="404" t="s">
        <v>63</v>
      </c>
      <c r="K7" s="396"/>
      <c r="L7" s="394"/>
      <c r="M7" s="400"/>
      <c r="N7" s="396"/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396"/>
      <c r="AM7" s="396"/>
      <c r="AN7" s="396"/>
      <c r="AO7" s="396"/>
      <c r="AP7" s="396"/>
      <c r="AQ7" s="396"/>
      <c r="AR7" s="396"/>
      <c r="AS7" s="396"/>
      <c r="AT7" s="396"/>
      <c r="AU7" s="396"/>
      <c r="AV7" s="396"/>
      <c r="AW7" s="396"/>
      <c r="AX7" s="396"/>
      <c r="AY7" s="396"/>
      <c r="AZ7" s="396"/>
      <c r="BA7" s="396"/>
      <c r="BB7" s="396"/>
      <c r="BC7" s="396"/>
      <c r="BD7" s="396"/>
      <c r="BE7" s="396"/>
      <c r="BF7" s="396"/>
      <c r="BG7" s="396"/>
      <c r="BH7" s="396"/>
      <c r="BI7" s="396"/>
      <c r="BJ7" s="396"/>
      <c r="BK7" s="396"/>
      <c r="BL7" s="396"/>
      <c r="BM7" s="396"/>
      <c r="BN7" s="396"/>
      <c r="BO7" s="396"/>
      <c r="BP7" s="396"/>
      <c r="BQ7" s="396"/>
      <c r="BR7" s="396"/>
      <c r="BS7" s="396"/>
      <c r="BT7" s="396"/>
      <c r="BU7" s="396"/>
      <c r="BV7" s="396"/>
      <c r="BW7" s="396"/>
      <c r="BX7" s="396"/>
      <c r="BY7" s="396"/>
      <c r="BZ7" s="396"/>
      <c r="CA7" s="396"/>
      <c r="CB7" s="396"/>
      <c r="CC7" s="396"/>
      <c r="CD7" s="396"/>
      <c r="CE7" s="396"/>
      <c r="CF7" s="396"/>
      <c r="CG7" s="396"/>
      <c r="CH7" s="396"/>
      <c r="CI7" s="396"/>
      <c r="CJ7" s="396"/>
      <c r="CK7" s="396"/>
      <c r="CL7" s="396"/>
      <c r="CM7" s="396"/>
      <c r="CN7" s="396"/>
      <c r="CO7" s="396"/>
      <c r="CP7" s="396"/>
      <c r="CQ7" s="396"/>
      <c r="CR7" s="396"/>
      <c r="CS7" s="396"/>
      <c r="CT7" s="396"/>
      <c r="CU7" s="396"/>
      <c r="CV7" s="396"/>
      <c r="CW7" s="396"/>
      <c r="CX7" s="396"/>
      <c r="CY7" s="396"/>
      <c r="CZ7" s="396"/>
      <c r="DA7" s="396"/>
      <c r="DB7" s="396"/>
      <c r="DC7" s="396"/>
      <c r="DD7" s="396"/>
      <c r="DE7" s="396"/>
      <c r="DF7" s="396"/>
      <c r="DG7" s="396"/>
      <c r="DH7" s="396"/>
      <c r="DI7" s="396"/>
      <c r="DJ7" s="396"/>
      <c r="DK7" s="396"/>
      <c r="DL7" s="396"/>
      <c r="DM7" s="396"/>
      <c r="DN7" s="396"/>
      <c r="DO7" s="396"/>
      <c r="DP7" s="396"/>
      <c r="DQ7" s="396"/>
      <c r="DR7" s="396"/>
      <c r="DS7" s="396"/>
      <c r="DT7" s="396"/>
      <c r="DU7" s="396"/>
      <c r="DV7" s="396"/>
      <c r="DW7" s="396"/>
      <c r="DX7" s="396"/>
      <c r="DY7" s="396"/>
      <c r="DZ7" s="396"/>
      <c r="EA7" s="396"/>
      <c r="EB7" s="396"/>
      <c r="EC7" s="396"/>
      <c r="ED7" s="396"/>
      <c r="EE7" s="396"/>
      <c r="EF7" s="396"/>
      <c r="EG7" s="396"/>
      <c r="EH7" s="396"/>
      <c r="EI7" s="396"/>
      <c r="EJ7" s="396"/>
      <c r="EK7" s="396"/>
      <c r="EL7" s="396"/>
      <c r="EM7" s="396"/>
      <c r="EN7" s="396"/>
      <c r="EO7" s="396"/>
      <c r="EP7" s="396"/>
      <c r="EQ7" s="396"/>
      <c r="ER7" s="396"/>
      <c r="ES7" s="396"/>
      <c r="ET7" s="396"/>
      <c r="EU7" s="396"/>
      <c r="EV7" s="396"/>
      <c r="EW7" s="396"/>
      <c r="EX7" s="396"/>
      <c r="EY7" s="396"/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6"/>
      <c r="FL7" s="396"/>
      <c r="FM7" s="396"/>
      <c r="FN7" s="396"/>
      <c r="FO7" s="396"/>
      <c r="FP7" s="396"/>
      <c r="FQ7" s="396"/>
      <c r="FR7" s="396"/>
      <c r="FS7" s="396"/>
      <c r="FT7" s="396"/>
      <c r="FU7" s="396"/>
      <c r="FV7" s="396"/>
      <c r="FW7" s="396"/>
      <c r="FX7" s="396"/>
      <c r="FY7" s="396"/>
      <c r="FZ7" s="396"/>
      <c r="GA7" s="396"/>
      <c r="GB7" s="396"/>
      <c r="GC7" s="396"/>
      <c r="GD7" s="396"/>
      <c r="GE7" s="396"/>
      <c r="GF7" s="396"/>
      <c r="GG7" s="396"/>
      <c r="GH7" s="396"/>
      <c r="GI7" s="396"/>
      <c r="GJ7" s="396"/>
      <c r="GK7" s="396"/>
      <c r="GL7" s="396"/>
      <c r="GM7" s="396"/>
      <c r="GN7" s="396"/>
      <c r="GO7" s="396"/>
      <c r="GP7" s="396"/>
      <c r="GQ7" s="396"/>
      <c r="GR7" s="396"/>
      <c r="GS7" s="396"/>
      <c r="GT7" s="396"/>
      <c r="GU7" s="396"/>
      <c r="GV7" s="396"/>
      <c r="GW7" s="396"/>
      <c r="GX7" s="396"/>
      <c r="GY7" s="396"/>
      <c r="GZ7" s="396"/>
      <c r="HA7" s="396"/>
      <c r="HB7" s="396"/>
      <c r="HC7" s="396"/>
      <c r="HD7" s="396"/>
      <c r="HE7" s="396"/>
      <c r="HF7" s="396"/>
      <c r="HG7" s="396"/>
      <c r="HH7" s="396"/>
      <c r="HI7" s="396"/>
      <c r="HJ7" s="396"/>
      <c r="HK7" s="396"/>
      <c r="HL7" s="396"/>
      <c r="HM7" s="396"/>
      <c r="HN7" s="396"/>
      <c r="HO7" s="396"/>
      <c r="HP7" s="396"/>
      <c r="HQ7" s="396"/>
      <c r="HR7" s="396"/>
      <c r="HS7" s="396"/>
      <c r="HT7" s="396"/>
      <c r="HU7" s="396"/>
      <c r="HV7" s="396"/>
      <c r="HW7" s="396"/>
      <c r="HX7" s="396"/>
      <c r="HY7" s="396"/>
      <c r="HZ7" s="396"/>
      <c r="IA7" s="396"/>
      <c r="IB7" s="396"/>
      <c r="IC7" s="396"/>
      <c r="ID7" s="396"/>
      <c r="IE7" s="396"/>
      <c r="IF7" s="396"/>
      <c r="IG7" s="396"/>
      <c r="IH7" s="396"/>
      <c r="II7" s="396"/>
      <c r="IJ7" s="396"/>
      <c r="IK7" s="396"/>
      <c r="IL7" s="396"/>
      <c r="IM7" s="396"/>
      <c r="IN7" s="396"/>
      <c r="IO7" s="396"/>
      <c r="IP7" s="396"/>
      <c r="IQ7" s="396"/>
      <c r="IR7" s="396"/>
      <c r="IS7" s="396"/>
      <c r="IT7" s="396"/>
      <c r="IU7" s="396"/>
      <c r="IV7" s="396"/>
      <c r="IW7" s="396"/>
    </row>
    <row r="8" customFormat="false" ht="15.75" hidden="false" customHeight="false" outlineLevel="0" collapsed="false">
      <c r="B8" s="405" t="n">
        <f aca="false">'Revenues &amp; Expenses'!K8</f>
        <v>36557</v>
      </c>
      <c r="C8" s="406"/>
      <c r="E8" s="407"/>
      <c r="F8" s="408"/>
      <c r="J8" s="409"/>
      <c r="L8" s="410"/>
      <c r="M8" s="395"/>
    </row>
    <row r="9" customFormat="false" ht="15.75" hidden="false" customHeight="false" outlineLevel="0" collapsed="false">
      <c r="B9" s="405" t="n">
        <f aca="false">'Revenues &amp; Expenses'!K9</f>
        <v>36586</v>
      </c>
      <c r="C9" s="406"/>
      <c r="D9" s="407"/>
      <c r="E9" s="407"/>
      <c r="F9" s="408"/>
      <c r="J9" s="409"/>
      <c r="L9" s="410"/>
      <c r="M9" s="395"/>
    </row>
    <row r="10" customFormat="false" ht="15.75" hidden="false" customHeight="false" outlineLevel="0" collapsed="false">
      <c r="B10" s="405" t="n">
        <f aca="false">'Revenues &amp; Expenses'!K10</f>
        <v>36617</v>
      </c>
      <c r="C10" s="406"/>
      <c r="D10" s="407"/>
      <c r="E10" s="407"/>
      <c r="F10" s="408"/>
      <c r="J10" s="409"/>
      <c r="L10" s="410"/>
      <c r="M10" s="395"/>
    </row>
    <row r="11" customFormat="false" ht="15.75" hidden="false" customHeight="false" outlineLevel="0" collapsed="false">
      <c r="B11" s="405" t="n">
        <f aca="false">'Revenues &amp; Expenses'!K11</f>
        <v>36647</v>
      </c>
      <c r="C11" s="406"/>
      <c r="D11" s="407"/>
      <c r="E11" s="407"/>
      <c r="F11" s="408"/>
      <c r="J11" s="409"/>
      <c r="L11" s="410"/>
      <c r="M11" s="395"/>
    </row>
    <row r="12" customFormat="false" ht="15.75" hidden="false" customHeight="false" outlineLevel="0" collapsed="false">
      <c r="B12" s="405" t="n">
        <f aca="false">'Revenues &amp; Expenses'!K12</f>
        <v>36678</v>
      </c>
      <c r="C12" s="406" t="n">
        <f aca="false">PJM_01212000!C41</f>
        <v>58.0750007629395</v>
      </c>
      <c r="D12" s="407" t="n">
        <f aca="false">PJM_01212000!X12</f>
        <v>0.4285</v>
      </c>
      <c r="E12" s="407" t="n">
        <f aca="false">VLOOKUP(B12,'Revenues &amp; Expenses'!$K$8:$N$258,2)</f>
        <v>0.062177946159863</v>
      </c>
      <c r="F12" s="408" t="n">
        <f aca="false">VLOOKUP(B12,'Revenues &amp; Expenses'!$K$8:$N$246,4)</f>
        <v>0.977950427546173</v>
      </c>
      <c r="G12" s="376" t="n">
        <f aca="false">(B12-$B$1)/365.25</f>
        <v>0.243668720054757</v>
      </c>
      <c r="H12" s="376" t="n">
        <f aca="false">SQRT(G12)</f>
        <v>0.493628119189696</v>
      </c>
      <c r="I12" s="376" t="n">
        <f aca="false">IF($I$2=0,0,-(D12^2)/2)</f>
        <v>0</v>
      </c>
      <c r="J12" s="409" t="n">
        <f aca="false">C12*EXP(I12*G12+D12*$I$2*H12)</f>
        <v>58.0750007629395</v>
      </c>
      <c r="L12" s="395"/>
      <c r="M12" s="395"/>
    </row>
    <row r="13" customFormat="false" ht="15.75" hidden="false" customHeight="false" outlineLevel="0" collapsed="false">
      <c r="B13" s="405" t="n">
        <f aca="false">'Revenues &amp; Expenses'!K13</f>
        <v>36708</v>
      </c>
      <c r="C13" s="406" t="n">
        <f aca="false">PJM_01212000!C42</f>
        <v>103.75</v>
      </c>
      <c r="D13" s="407" t="n">
        <f aca="false">PJM_01212000!X13</f>
        <v>0.55</v>
      </c>
      <c r="E13" s="407" t="n">
        <f aca="false">VLOOKUP(B13,'Revenues &amp; Expenses'!$K$8:$N$258,2)</f>
        <v>0.063156630597147</v>
      </c>
      <c r="F13" s="408" t="n">
        <f aca="false">VLOOKUP(B13,'Revenues &amp; Expenses'!$K$8:$N$246,4)</f>
        <v>0.972632441915619</v>
      </c>
      <c r="G13" s="376" t="n">
        <f aca="false">(B13-$B$1)/365.25</f>
        <v>0.32580424366872</v>
      </c>
      <c r="H13" s="376" t="n">
        <f aca="false">SQRT(G13)</f>
        <v>0.570792645072377</v>
      </c>
      <c r="I13" s="376" t="n">
        <f aca="false">IF($I$2=0,0,-(D13^2)/2)</f>
        <v>0</v>
      </c>
      <c r="J13" s="409" t="n">
        <f aca="false">C13*EXP(I13*G13+D13*$I$2*H13)</f>
        <v>103.75</v>
      </c>
      <c r="L13" s="395"/>
      <c r="M13" s="395"/>
    </row>
    <row r="14" customFormat="false" ht="15.75" hidden="false" customHeight="false" outlineLevel="0" collapsed="false">
      <c r="B14" s="405" t="n">
        <f aca="false">'Revenues &amp; Expenses'!K14</f>
        <v>36739</v>
      </c>
      <c r="C14" s="406" t="n">
        <f aca="false">PJM_01212000!C43</f>
        <v>90.75</v>
      </c>
      <c r="D14" s="407" t="n">
        <f aca="false">PJM_01212000!X14</f>
        <v>0.52</v>
      </c>
      <c r="E14" s="407" t="n">
        <f aca="false">VLOOKUP(B14,'Revenues &amp; Expenses'!$K$8:$N$258,2)</f>
        <v>0.063794910183085</v>
      </c>
      <c r="F14" s="408" t="n">
        <f aca="false">VLOOKUP(B14,'Revenues &amp; Expenses'!$K$8:$N$246,4)</f>
        <v>0.967195108750546</v>
      </c>
      <c r="G14" s="376" t="n">
        <f aca="false">(B14-$B$1)/365.25</f>
        <v>0.410677618069815</v>
      </c>
      <c r="H14" s="376" t="n">
        <f aca="false">SQRT(G14)</f>
        <v>0.640841336112001</v>
      </c>
      <c r="I14" s="376" t="n">
        <f aca="false">IF($I$2=0,0,-(D14^2)/2)</f>
        <v>0</v>
      </c>
      <c r="J14" s="409" t="n">
        <f aca="false">C14*EXP(I14*G14+D14*$I$2*H14)</f>
        <v>90.75</v>
      </c>
      <c r="L14" s="395"/>
      <c r="M14" s="395"/>
    </row>
    <row r="15" customFormat="false" ht="15.75" hidden="false" customHeight="false" outlineLevel="0" collapsed="false">
      <c r="B15" s="405" t="n">
        <f aca="false">'Revenues &amp; Expenses'!K15</f>
        <v>36770</v>
      </c>
      <c r="C15" s="406" t="n">
        <f aca="false">PJM_01212000!C44</f>
        <v>35.5499992370606</v>
      </c>
      <c r="D15" s="407" t="n">
        <f aca="false">PJM_01212000!X15</f>
        <v>0.32</v>
      </c>
      <c r="E15" s="407" t="n">
        <f aca="false">VLOOKUP(B15,'Revenues &amp; Expenses'!$K$8:$N$258,2)</f>
        <v>0.064433189904138</v>
      </c>
      <c r="F15" s="408" t="n">
        <f aca="false">VLOOKUP(B15,'Revenues &amp; Expenses'!$K$8:$N$246,4)</f>
        <v>0.961687290353495</v>
      </c>
      <c r="G15" s="376" t="n">
        <f aca="false">(B15-$B$1)/365.25</f>
        <v>0.49555099247091</v>
      </c>
      <c r="H15" s="376" t="n">
        <f aca="false">SQRT(G15)</f>
        <v>0.703953828365831</v>
      </c>
      <c r="I15" s="376" t="n">
        <f aca="false">IF($I$2=0,0,-(D15^2)/2)</f>
        <v>0</v>
      </c>
      <c r="J15" s="409" t="n">
        <f aca="false">C15*EXP(I15*G15+D15*$I$2*H15)</f>
        <v>35.5499992370606</v>
      </c>
      <c r="L15" s="395"/>
      <c r="M15" s="395"/>
    </row>
    <row r="16" customFormat="false" ht="15.75" hidden="false" customHeight="false" outlineLevel="0" collapsed="false">
      <c r="B16" s="405" t="n">
        <f aca="false">'Revenues &amp; Expenses'!K16</f>
        <v>36800</v>
      </c>
      <c r="C16" s="406" t="n">
        <f aca="false">PJM_01212000!C45</f>
        <v>25.4500007629395</v>
      </c>
      <c r="D16" s="407" t="n">
        <f aca="false">PJM_01212000!X16</f>
        <v>0.21</v>
      </c>
      <c r="E16" s="407" t="n">
        <f aca="false">VLOOKUP(B16,'Revenues &amp; Expenses'!$K$8:$N$258,2)</f>
        <v>0.065011694486706</v>
      </c>
      <c r="F16" s="408" t="n">
        <f aca="false">VLOOKUP(B16,'Revenues &amp; Expenses'!$K$8:$N$246,4)</f>
        <v>0.95631687732409</v>
      </c>
      <c r="G16" s="376" t="n">
        <f aca="false">(B16-$B$1)/365.25</f>
        <v>0.577686516084873</v>
      </c>
      <c r="H16" s="376" t="n">
        <f aca="false">SQRT(G16)</f>
        <v>0.76005691634566</v>
      </c>
      <c r="I16" s="376" t="n">
        <f aca="false">IF($I$2=0,0,-(D16^2)/2)</f>
        <v>0</v>
      </c>
      <c r="J16" s="409" t="n">
        <f aca="false">C16*EXP(I16*G16+D16*$I$2*H16)</f>
        <v>25.4500007629395</v>
      </c>
      <c r="L16" s="395"/>
      <c r="M16" s="395"/>
    </row>
    <row r="17" customFormat="false" ht="15.75" hidden="false" customHeight="false" outlineLevel="0" collapsed="false">
      <c r="B17" s="405" t="n">
        <f aca="false">'Revenues &amp; Expenses'!K17</f>
        <v>36831</v>
      </c>
      <c r="C17" s="406" t="n">
        <f aca="false">PJM_01212000!C46</f>
        <v>25.1499996185303</v>
      </c>
      <c r="D17" s="407" t="n">
        <f aca="false">PJM_01212000!X17</f>
        <v>0.2</v>
      </c>
      <c r="E17" s="407" t="n">
        <f aca="false">VLOOKUP(B17,'Revenues &amp; Expenses'!$K$8:$N$258,2)</f>
        <v>0.065536848233941</v>
      </c>
      <c r="F17" s="408" t="n">
        <f aca="false">VLOOKUP(B17,'Revenues &amp; Expenses'!$K$8:$N$246,4)</f>
        <v>0.950759489883635</v>
      </c>
      <c r="G17" s="376" t="n">
        <f aca="false">(B17-$B$1)/365.25</f>
        <v>0.662559890485969</v>
      </c>
      <c r="H17" s="376" t="n">
        <f aca="false">SQRT(G17)</f>
        <v>0.813977819406628</v>
      </c>
      <c r="I17" s="376" t="n">
        <f aca="false">IF($I$2=0,0,-(D17^2)/2)</f>
        <v>0</v>
      </c>
      <c r="J17" s="409" t="n">
        <f aca="false">C17*EXP(I17*G17+D17*$I$2*H17)</f>
        <v>25.1499996185303</v>
      </c>
      <c r="L17" s="395"/>
      <c r="M17" s="395"/>
    </row>
    <row r="18" customFormat="false" ht="15.75" hidden="false" customHeight="false" outlineLevel="0" collapsed="false">
      <c r="B18" s="405" t="n">
        <f aca="false">'Revenues &amp; Expenses'!K18</f>
        <v>36861</v>
      </c>
      <c r="C18" s="406" t="n">
        <f aca="false">PJM_01212000!C47</f>
        <v>27.375</v>
      </c>
      <c r="D18" s="407" t="n">
        <f aca="false">PJM_01212000!X18</f>
        <v>0.2</v>
      </c>
      <c r="E18" s="407" t="n">
        <f aca="false">VLOOKUP(B18,'Revenues &amp; Expenses'!$K$8:$N$258,2)</f>
        <v>0.06604506162473</v>
      </c>
      <c r="F18" s="408" t="n">
        <f aca="false">VLOOKUP(B18,'Revenues &amp; Expenses'!$K$8:$N$246,4)</f>
        <v>0.945334521362693</v>
      </c>
      <c r="G18" s="376" t="n">
        <f aca="false">(B18-$B$1)/365.25</f>
        <v>0.744695414099932</v>
      </c>
      <c r="H18" s="376" t="n">
        <f aca="false">SQRT(G18)</f>
        <v>0.862957365169295</v>
      </c>
      <c r="I18" s="376" t="n">
        <f aca="false">IF($I$2=0,0,-(D18^2)/2)</f>
        <v>0</v>
      </c>
      <c r="J18" s="409" t="n">
        <f aca="false">C18*EXP(I18*G18+D18*$I$2*H18)</f>
        <v>27.375</v>
      </c>
      <c r="L18" s="395"/>
      <c r="M18" s="395"/>
    </row>
    <row r="19" customFormat="false" ht="15.75" hidden="false" customHeight="false" outlineLevel="0" collapsed="false">
      <c r="B19" s="405" t="n">
        <f aca="false">'Revenues &amp; Expenses'!K19</f>
        <v>36892</v>
      </c>
      <c r="C19" s="406" t="n">
        <f aca="false">PJM_01212000!C48</f>
        <v>35.2249984741211</v>
      </c>
      <c r="D19" s="407" t="n">
        <f aca="false">PJM_01212000!X19</f>
        <v>0.24</v>
      </c>
      <c r="E19" s="407" t="n">
        <f aca="false">VLOOKUP(B19,'Revenues &amp; Expenses'!$K$8:$N$258,2)</f>
        <v>0.066545865575548</v>
      </c>
      <c r="F19" s="408" t="n">
        <f aca="false">VLOOKUP(B19,'Revenues &amp; Expenses'!$K$8:$N$246,4)</f>
        <v>0.939702595645664</v>
      </c>
      <c r="G19" s="376" t="n">
        <f aca="false">(B19-$B$1)/365.25</f>
        <v>0.829568788501027</v>
      </c>
      <c r="H19" s="376" t="n">
        <f aca="false">SQRT(G19)</f>
        <v>0.91080666911317</v>
      </c>
      <c r="I19" s="376" t="n">
        <f aca="false">IF($I$2=0,0,-(D19^2)/2)</f>
        <v>0</v>
      </c>
      <c r="J19" s="409" t="n">
        <f aca="false">C19*EXP(I19*G19+D19*$I$2*H19)</f>
        <v>35.2249984741211</v>
      </c>
      <c r="L19" s="395"/>
      <c r="M19" s="395"/>
    </row>
    <row r="20" customFormat="false" ht="15.75" hidden="false" customHeight="false" outlineLevel="0" collapsed="false">
      <c r="B20" s="405" t="n">
        <f aca="false">'Revenues &amp; Expenses'!K20</f>
        <v>36923</v>
      </c>
      <c r="C20" s="406" t="n">
        <f aca="false">PJM_01212000!C49</f>
        <v>35.2249984741211</v>
      </c>
      <c r="D20" s="407" t="n">
        <f aca="false">PJM_01212000!X20</f>
        <v>0.24</v>
      </c>
      <c r="E20" s="407" t="n">
        <f aca="false">VLOOKUP(B20,'Revenues &amp; Expenses'!$K$8:$N$258,2)</f>
        <v>0.067008115474421</v>
      </c>
      <c r="F20" s="408" t="n">
        <f aca="false">VLOOKUP(B20,'Revenues &amp; Expenses'!$K$8:$N$246,4)</f>
        <v>0.934063538891895</v>
      </c>
      <c r="G20" s="376" t="n">
        <f aca="false">(B20-$B$1)/365.25</f>
        <v>0.914442162902122</v>
      </c>
      <c r="H20" s="376" t="n">
        <f aca="false">SQRT(G20)</f>
        <v>0.956264692907838</v>
      </c>
      <c r="I20" s="376" t="n">
        <f aca="false">IF($I$2=0,0,-(D20^2)/2)</f>
        <v>0</v>
      </c>
      <c r="J20" s="409" t="n">
        <f aca="false">C20*EXP(I20*G20+D20*$I$2*H20)</f>
        <v>35.2249984741211</v>
      </c>
      <c r="L20" s="395"/>
      <c r="M20" s="395"/>
    </row>
    <row r="21" customFormat="false" ht="15.75" hidden="false" customHeight="false" outlineLevel="0" collapsed="false">
      <c r="B21" s="405" t="n">
        <f aca="false">'Revenues &amp; Expenses'!K21</f>
        <v>36951</v>
      </c>
      <c r="C21" s="406" t="n">
        <f aca="false">PJM_01212000!C50</f>
        <v>25.5750007629395</v>
      </c>
      <c r="D21" s="407" t="n">
        <f aca="false">PJM_01212000!X21</f>
        <v>0.2</v>
      </c>
      <c r="E21" s="407" t="n">
        <f aca="false">VLOOKUP(B21,'Revenues &amp; Expenses'!$K$8:$N$258,2)</f>
        <v>0.067425631572931</v>
      </c>
      <c r="F21" s="408" t="n">
        <f aca="false">VLOOKUP(B21,'Revenues &amp; Expenses'!$K$8:$N$246,4)</f>
        <v>0.928938749434895</v>
      </c>
      <c r="G21" s="376" t="n">
        <f aca="false">(B21-$B$1)/365.25</f>
        <v>0.991101984941821</v>
      </c>
      <c r="H21" s="376" t="n">
        <f aca="false">SQRT(G21)</f>
        <v>0.995541051359421</v>
      </c>
      <c r="I21" s="376" t="n">
        <f aca="false">IF($I$2=0,0,-(D21^2)/2)</f>
        <v>0</v>
      </c>
      <c r="J21" s="409" t="n">
        <f aca="false">C21*EXP(I21*G21+D21*$I$2*H21)</f>
        <v>25.5750007629395</v>
      </c>
      <c r="L21" s="395"/>
      <c r="M21" s="395"/>
    </row>
    <row r="22" customFormat="false" ht="15.75" hidden="false" customHeight="false" outlineLevel="0" collapsed="false">
      <c r="B22" s="405" t="n">
        <f aca="false">'Revenues &amp; Expenses'!K22</f>
        <v>36982</v>
      </c>
      <c r="C22" s="406" t="n">
        <f aca="false">PJM_01212000!C51</f>
        <v>25.5750007629395</v>
      </c>
      <c r="D22" s="407" t="n">
        <f aca="false">PJM_01212000!X22</f>
        <v>0.19</v>
      </c>
      <c r="E22" s="407" t="n">
        <f aca="false">VLOOKUP(B22,'Revenues &amp; Expenses'!$K$8:$N$258,2)</f>
        <v>0.067843658533167</v>
      </c>
      <c r="F22" s="408" t="n">
        <f aca="false">VLOOKUP(B22,'Revenues &amp; Expenses'!$K$8:$N$246,4)</f>
        <v>0.923278320771271</v>
      </c>
      <c r="G22" s="376" t="n">
        <f aca="false">(B22-$B$1)/365.25</f>
        <v>1.07597535934292</v>
      </c>
      <c r="H22" s="376" t="n">
        <f aca="false">SQRT(G22)</f>
        <v>1.03729232106621</v>
      </c>
      <c r="I22" s="376" t="n">
        <f aca="false">IF($I$2=0,0,-(D22^2)/2)</f>
        <v>0</v>
      </c>
      <c r="J22" s="409" t="n">
        <f aca="false">C22*EXP(I22*G22+D22*$I$2*H22)</f>
        <v>25.5750007629395</v>
      </c>
      <c r="L22" s="395"/>
      <c r="M22" s="395"/>
    </row>
    <row r="23" customFormat="false" ht="15.75" hidden="false" customHeight="false" outlineLevel="0" collapsed="false">
      <c r="B23" s="405" t="n">
        <f aca="false">'Revenues &amp; Expenses'!K23</f>
        <v>37012</v>
      </c>
      <c r="C23" s="406" t="n">
        <f aca="false">PJM_01212000!C52</f>
        <v>30.875</v>
      </c>
      <c r="D23" s="407" t="n">
        <f aca="false">PJM_01212000!X23</f>
        <v>0.21</v>
      </c>
      <c r="E23" s="407" t="n">
        <f aca="false">VLOOKUP(B23,'Revenues &amp; Expenses'!$K$8:$N$258,2)</f>
        <v>0.068169636069557</v>
      </c>
      <c r="F23" s="408" t="n">
        <f aca="false">VLOOKUP(B23,'Revenues &amp; Expenses'!$K$8:$N$246,4)</f>
        <v>0.917862595226578</v>
      </c>
      <c r="G23" s="376" t="n">
        <f aca="false">(B23-$B$1)/365.25</f>
        <v>1.15811088295688</v>
      </c>
      <c r="H23" s="376" t="n">
        <f aca="false">SQRT(G23)</f>
        <v>1.07615560350578</v>
      </c>
      <c r="I23" s="376" t="n">
        <f aca="false">IF($I$2=0,0,-(D23^2)/2)</f>
        <v>0</v>
      </c>
      <c r="J23" s="409" t="n">
        <f aca="false">C23*EXP(I23*G23+D23*$I$2*H23)</f>
        <v>30.875</v>
      </c>
      <c r="L23" s="395"/>
      <c r="M23" s="395"/>
    </row>
    <row r="24" customFormat="false" ht="15.75" hidden="false" customHeight="false" outlineLevel="0" collapsed="false">
      <c r="B24" s="405" t="n">
        <f aca="false">'Revenues &amp; Expenses'!K24</f>
        <v>37043</v>
      </c>
      <c r="C24" s="406" t="n">
        <f aca="false">PJM_01212000!C53</f>
        <v>55.3499984741211</v>
      </c>
      <c r="D24" s="407" t="n">
        <f aca="false">PJM_01212000!X24</f>
        <v>0.27</v>
      </c>
      <c r="E24" s="407" t="n">
        <f aca="false">VLOOKUP(B24,'Revenues &amp; Expenses'!$K$8:$N$258,2)</f>
        <v>0.068506479560772</v>
      </c>
      <c r="F24" s="408" t="n">
        <f aca="false">VLOOKUP(B24,'Revenues &amp; Expenses'!$K$8:$N$246,4)</f>
        <v>0.912250148425762</v>
      </c>
      <c r="G24" s="376" t="n">
        <f aca="false">(B24-$B$1)/365.25</f>
        <v>1.24298425735797</v>
      </c>
      <c r="H24" s="376" t="n">
        <f aca="false">SQRT(G24)</f>
        <v>1.11489203843151</v>
      </c>
      <c r="I24" s="376" t="n">
        <f aca="false">IF($I$2=0,0,-(D24^2)/2)</f>
        <v>0</v>
      </c>
      <c r="J24" s="409" t="n">
        <f aca="false">C24*EXP(I24*G24+D24*$I$2*H24)</f>
        <v>55.3499984741211</v>
      </c>
      <c r="L24" s="395"/>
      <c r="M24" s="395"/>
    </row>
    <row r="25" customFormat="false" ht="15.75" hidden="false" customHeight="false" outlineLevel="0" collapsed="false">
      <c r="B25" s="405" t="n">
        <f aca="false">'Revenues &amp; Expenses'!K25</f>
        <v>37073</v>
      </c>
      <c r="C25" s="406" t="n">
        <f aca="false">PJM_01212000!C54</f>
        <v>96.6999969482422</v>
      </c>
      <c r="D25" s="407" t="n">
        <f aca="false">PJM_01212000!X25</f>
        <v>0.33</v>
      </c>
      <c r="E25" s="407" t="n">
        <f aca="false">VLOOKUP(B25,'Revenues &amp; Expenses'!$K$8:$N$258,2)</f>
        <v>0.068813575700041</v>
      </c>
      <c r="F25" s="408" t="n">
        <f aca="false">VLOOKUP(B25,'Revenues &amp; Expenses'!$K$8:$N$246,4)</f>
        <v>0.906827682607942</v>
      </c>
      <c r="G25" s="376" t="n">
        <f aca="false">(B25-$B$1)/365.25</f>
        <v>1.32511978097194</v>
      </c>
      <c r="H25" s="376" t="n">
        <f aca="false">SQRT(G25)</f>
        <v>1.15113847167573</v>
      </c>
      <c r="I25" s="376" t="n">
        <f aca="false">IF($I$2=0,0,-(D25^2)/2)</f>
        <v>0</v>
      </c>
      <c r="J25" s="409" t="n">
        <f aca="false">C25*EXP(I25*G25+D25*$I$2*H25)</f>
        <v>96.6999969482422</v>
      </c>
      <c r="L25" s="395"/>
      <c r="M25" s="395"/>
    </row>
    <row r="26" customFormat="false" ht="15.75" hidden="false" customHeight="false" outlineLevel="0" collapsed="false">
      <c r="B26" s="405" t="n">
        <f aca="false">'Revenues &amp; Expenses'!K26</f>
        <v>37104</v>
      </c>
      <c r="C26" s="406" t="n">
        <f aca="false">PJM_01212000!C55</f>
        <v>83.6999969482422</v>
      </c>
      <c r="D26" s="407" t="n">
        <f aca="false">PJM_01212000!X26</f>
        <v>0.33</v>
      </c>
      <c r="E26" s="407" t="n">
        <f aca="false">VLOOKUP(B26,'Revenues &amp; Expenses'!$K$8:$N$258,2)</f>
        <v>0.069095201423199</v>
      </c>
      <c r="F26" s="408" t="n">
        <f aca="false">VLOOKUP(B26,'Revenues &amp; Expenses'!$K$8:$N$246,4)</f>
        <v>0.901259818314328</v>
      </c>
      <c r="G26" s="376" t="n">
        <f aca="false">(B26-$B$1)/365.25</f>
        <v>1.40999315537303</v>
      </c>
      <c r="H26" s="376" t="n">
        <f aca="false">SQRT(G26)</f>
        <v>1.18743132659242</v>
      </c>
      <c r="I26" s="376" t="n">
        <f aca="false">IF($I$2=0,0,-(D26^2)/2)</f>
        <v>0</v>
      </c>
      <c r="J26" s="409" t="n">
        <f aca="false">C26*EXP(I26*G26+D26*$I$2*H26)</f>
        <v>83.6999969482422</v>
      </c>
      <c r="L26" s="395"/>
      <c r="M26" s="395"/>
    </row>
    <row r="27" customFormat="false" ht="15.75" hidden="false" customHeight="false" outlineLevel="0" collapsed="false">
      <c r="B27" s="405" t="n">
        <f aca="false">'Revenues &amp; Expenses'!K27</f>
        <v>37135</v>
      </c>
      <c r="C27" s="406" t="n">
        <f aca="false">PJM_01212000!C56</f>
        <v>32.7249984741211</v>
      </c>
      <c r="D27" s="407" t="n">
        <f aca="false">PJM_01212000!X27</f>
        <v>0.2</v>
      </c>
      <c r="E27" s="407" t="n">
        <f aca="false">VLOOKUP(B27,'Revenues &amp; Expenses'!$K$8:$N$258,2)</f>
        <v>0.069376827172596</v>
      </c>
      <c r="F27" s="408" t="n">
        <f aca="false">VLOOKUP(B27,'Revenues &amp; Expenses'!$K$8:$N$246,4)</f>
        <v>0.895684801765886</v>
      </c>
      <c r="G27" s="376" t="n">
        <f aca="false">(B27-$B$1)/365.25</f>
        <v>1.49486652977413</v>
      </c>
      <c r="H27" s="376" t="n">
        <f aca="false">SQRT(G27)</f>
        <v>1.2226473448113</v>
      </c>
      <c r="I27" s="376" t="n">
        <f aca="false">IF($I$2=0,0,-(D27^2)/2)</f>
        <v>0</v>
      </c>
      <c r="J27" s="409" t="n">
        <f aca="false">C27*EXP(I27*G27+D27*$I$2*H27)</f>
        <v>32.7249984741211</v>
      </c>
      <c r="L27" s="395"/>
      <c r="M27" s="395"/>
    </row>
    <row r="28" customFormat="false" ht="15.75" hidden="false" customHeight="false" outlineLevel="0" collapsed="false">
      <c r="B28" s="405" t="n">
        <f aca="false">'Revenues &amp; Expenses'!K28</f>
        <v>37165</v>
      </c>
      <c r="C28" s="406" t="n">
        <f aca="false">PJM_01212000!C57</f>
        <v>26.2250003814697</v>
      </c>
      <c r="D28" s="407" t="n">
        <f aca="false">PJM_01212000!X28</f>
        <v>0.15</v>
      </c>
      <c r="E28" s="407" t="n">
        <f aca="false">VLOOKUP(B28,'Revenues &amp; Expenses'!$K$8:$N$258,2)</f>
        <v>0.069627293262601</v>
      </c>
      <c r="F28" s="408" t="n">
        <f aca="false">VLOOKUP(B28,'Revenues &amp; Expenses'!$K$8:$N$246,4)</f>
        <v>0.890315585730075</v>
      </c>
      <c r="G28" s="376" t="n">
        <f aca="false">(B28-$B$1)/365.25</f>
        <v>1.57700205338809</v>
      </c>
      <c r="H28" s="376" t="n">
        <f aca="false">SQRT(G28)</f>
        <v>1.25578742364625</v>
      </c>
      <c r="I28" s="376" t="n">
        <f aca="false">IF($I$2=0,0,-(D28^2)/2)</f>
        <v>0</v>
      </c>
      <c r="J28" s="409" t="n">
        <f aca="false">C28*EXP(I28*G28+D28*$I$2*H28)</f>
        <v>26.2250003814697</v>
      </c>
      <c r="L28" s="395"/>
      <c r="M28" s="395"/>
    </row>
    <row r="29" customFormat="false" ht="15.75" hidden="false" customHeight="false" outlineLevel="0" collapsed="false">
      <c r="B29" s="405" t="n">
        <f aca="false">'Revenues &amp; Expenses'!K29</f>
        <v>37196</v>
      </c>
      <c r="C29" s="406" t="n">
        <f aca="false">PJM_01212000!C58</f>
        <v>25.8974990844727</v>
      </c>
      <c r="D29" s="407" t="n">
        <f aca="false">PJM_01212000!X29</f>
        <v>0.15</v>
      </c>
      <c r="E29" s="407" t="n">
        <f aca="false">VLOOKUP(B29,'Revenues &amp; Expenses'!$K$8:$N$258,2)</f>
        <v>0.069849822771288</v>
      </c>
      <c r="F29" s="408" t="n">
        <f aca="false">VLOOKUP(B29,'Revenues &amp; Expenses'!$K$8:$N$246,4)</f>
        <v>0.88481958609446</v>
      </c>
      <c r="G29" s="376" t="n">
        <f aca="false">(B29-$B$1)/365.25</f>
        <v>1.66187542778919</v>
      </c>
      <c r="H29" s="376" t="n">
        <f aca="false">SQRT(G29)</f>
        <v>1.28913747435608</v>
      </c>
      <c r="I29" s="376" t="n">
        <f aca="false">IF($I$2=0,0,-(D29^2)/2)</f>
        <v>0</v>
      </c>
      <c r="J29" s="409" t="n">
        <f aca="false">C29*EXP(I29*G29+D29*$I$2*H29)</f>
        <v>25.8974990844727</v>
      </c>
      <c r="L29" s="395"/>
      <c r="M29" s="395"/>
    </row>
    <row r="30" customFormat="false" ht="15.75" hidden="false" customHeight="false" outlineLevel="0" collapsed="false">
      <c r="B30" s="405" t="n">
        <f aca="false">'Revenues &amp; Expenses'!K30</f>
        <v>37226</v>
      </c>
      <c r="C30" s="406" t="n">
        <f aca="false">PJM_01212000!C59</f>
        <v>27.6499996185303</v>
      </c>
      <c r="D30" s="407" t="n">
        <f aca="false">PJM_01212000!X30</f>
        <v>0.15</v>
      </c>
      <c r="E30" s="407" t="n">
        <f aca="false">VLOOKUP(B30,'Revenues &amp; Expenses'!$K$8:$N$258,2)</f>
        <v>0.07006517392432</v>
      </c>
      <c r="F30" s="408" t="n">
        <f aca="false">VLOOKUP(B30,'Revenues &amp; Expenses'!$K$8:$N$246,4)</f>
        <v>0.879502651784524</v>
      </c>
      <c r="G30" s="376" t="n">
        <f aca="false">(B30-$B$1)/365.25</f>
        <v>1.74401095140315</v>
      </c>
      <c r="H30" s="376" t="n">
        <f aca="false">SQRT(G30)</f>
        <v>1.32061006788649</v>
      </c>
      <c r="I30" s="376" t="n">
        <f aca="false">IF($I$2=0,0,-(D30^2)/2)</f>
        <v>0</v>
      </c>
      <c r="J30" s="409" t="n">
        <f aca="false">C30*EXP(I30*G30+D30*$I$2*H30)</f>
        <v>27.6499996185303</v>
      </c>
      <c r="L30" s="395"/>
      <c r="M30" s="395"/>
    </row>
    <row r="31" customFormat="false" ht="15.75" hidden="false" customHeight="false" outlineLevel="0" collapsed="false">
      <c r="B31" s="405" t="n">
        <f aca="false">'Revenues &amp; Expenses'!K31</f>
        <v>37257</v>
      </c>
      <c r="C31" s="406" t="n">
        <f aca="false">PJM_01212000!C60</f>
        <v>35.7749984741211</v>
      </c>
      <c r="D31" s="407" t="n">
        <f aca="false">PJM_01212000!X31</f>
        <v>0.198</v>
      </c>
      <c r="E31" s="407" t="n">
        <f aca="false">VLOOKUP(B31,'Revenues &amp; Expenses'!$K$8:$N$258,2)</f>
        <v>0.070276460298628</v>
      </c>
      <c r="F31" s="408" t="n">
        <f aca="false">VLOOKUP(B31,'Revenues &amp; Expenses'!$K$8:$N$246,4)</f>
        <v>0.874029208424058</v>
      </c>
      <c r="G31" s="376" t="n">
        <f aca="false">(B31-$B$1)/365.25</f>
        <v>1.82888432580424</v>
      </c>
      <c r="H31" s="376" t="n">
        <f aca="false">SQRT(G31)</f>
        <v>1.35236249792881</v>
      </c>
      <c r="I31" s="376" t="n">
        <f aca="false">IF($I$2=0,0,-(D31^2)/2)</f>
        <v>0</v>
      </c>
      <c r="J31" s="409" t="n">
        <f aca="false">C31*EXP(I31*G31+D31*$I$2*H31)</f>
        <v>35.7749984741211</v>
      </c>
      <c r="L31" s="395"/>
      <c r="M31" s="395"/>
    </row>
    <row r="32" customFormat="false" ht="15.75" hidden="false" customHeight="false" outlineLevel="0" collapsed="false">
      <c r="B32" s="405" t="n">
        <f aca="false">'Revenues &amp; Expenses'!K32</f>
        <v>37288</v>
      </c>
      <c r="C32" s="406" t="n">
        <f aca="false">PJM_01212000!C61</f>
        <v>35.7749984741211</v>
      </c>
      <c r="D32" s="407" t="n">
        <f aca="false">PJM_01212000!X32</f>
        <v>0.198</v>
      </c>
      <c r="E32" s="407" t="n">
        <f aca="false">VLOOKUP(B32,'Revenues &amp; Expenses'!$K$8:$N$258,2)</f>
        <v>0.07047217922523</v>
      </c>
      <c r="F32" s="408" t="n">
        <f aca="false">VLOOKUP(B32,'Revenues &amp; Expenses'!$K$8:$N$246,4)</f>
        <v>0.868586338670144</v>
      </c>
      <c r="G32" s="376" t="n">
        <f aca="false">(B32-$B$1)/365.25</f>
        <v>1.91375770020534</v>
      </c>
      <c r="H32" s="376" t="n">
        <f aca="false">SQRT(G32)</f>
        <v>1.38338631632865</v>
      </c>
      <c r="I32" s="376" t="n">
        <f aca="false">IF($I$2=0,0,-(D32^2)/2)</f>
        <v>0</v>
      </c>
      <c r="J32" s="409" t="n">
        <f aca="false">C32*EXP(I32*G32+D32*$I$2*H32)</f>
        <v>35.7749984741211</v>
      </c>
      <c r="L32" s="395"/>
      <c r="M32" s="395"/>
    </row>
    <row r="33" customFormat="false" ht="15.75" hidden="false" customHeight="false" outlineLevel="0" collapsed="false">
      <c r="B33" s="405" t="n">
        <f aca="false">'Revenues &amp; Expenses'!K33</f>
        <v>37316</v>
      </c>
      <c r="C33" s="406" t="n">
        <f aca="false">PJM_01212000!C62</f>
        <v>25.8750007629395</v>
      </c>
      <c r="D33" s="407" t="n">
        <f aca="false">PJM_01212000!X33</f>
        <v>0.165</v>
      </c>
      <c r="E33" s="407" t="n">
        <f aca="false">VLOOKUP(B33,'Revenues &amp; Expenses'!$K$8:$N$258,2)</f>
        <v>0.070648957621433</v>
      </c>
      <c r="F33" s="408" t="n">
        <f aca="false">VLOOKUP(B33,'Revenues &amp; Expenses'!$K$8:$N$246,4)</f>
        <v>0.863675540420815</v>
      </c>
      <c r="G33" s="376" t="n">
        <f aca="false">(B33-$B$1)/365.25</f>
        <v>1.99041752224504</v>
      </c>
      <c r="H33" s="376" t="n">
        <f aca="false">SQRT(G33)</f>
        <v>1.41082157704121</v>
      </c>
      <c r="I33" s="376" t="n">
        <f aca="false">IF($I$2=0,0,-(D33^2)/2)</f>
        <v>0</v>
      </c>
      <c r="J33" s="409" t="n">
        <f aca="false">C33*EXP(I33*G33+D33*$I$2*H33)</f>
        <v>25.8750007629395</v>
      </c>
      <c r="L33" s="395"/>
      <c r="M33" s="395"/>
    </row>
    <row r="34" customFormat="false" ht="15.75" hidden="false" customHeight="false" outlineLevel="0" collapsed="false">
      <c r="B34" s="405" t="n">
        <f aca="false">'Revenues &amp; Expenses'!K34</f>
        <v>37347</v>
      </c>
      <c r="C34" s="406" t="n">
        <f aca="false">PJM_01212000!C63</f>
        <v>25.7750007629395</v>
      </c>
      <c r="D34" s="407" t="n">
        <f aca="false">PJM_01212000!X34</f>
        <v>0.15675</v>
      </c>
      <c r="E34" s="407" t="n">
        <f aca="false">VLOOKUP(B34,'Revenues &amp; Expenses'!$K$8:$N$258,2)</f>
        <v>0.070820178359482</v>
      </c>
      <c r="F34" s="408" t="n">
        <f aca="false">VLOOKUP(B34,'Revenues &amp; Expenses'!$K$8:$N$246,4)</f>
        <v>0.85828937638612</v>
      </c>
      <c r="G34" s="376" t="n">
        <f aca="false">(B34-$B$1)/365.25</f>
        <v>2.07529089664613</v>
      </c>
      <c r="H34" s="376" t="n">
        <f aca="false">SQRT(G34)</f>
        <v>1.44058699725013</v>
      </c>
      <c r="I34" s="376" t="n">
        <f aca="false">IF($I$2=0,0,-(D34^2)/2)</f>
        <v>0</v>
      </c>
      <c r="J34" s="409" t="n">
        <f aca="false">C34*EXP(I34*G34+D34*$I$2*H34)</f>
        <v>25.7750007629395</v>
      </c>
      <c r="L34" s="395"/>
      <c r="M34" s="395"/>
    </row>
    <row r="35" customFormat="false" ht="15.75" hidden="false" customHeight="false" outlineLevel="0" collapsed="false">
      <c r="B35" s="405" t="n">
        <f aca="false">'Revenues &amp; Expenses'!K35</f>
        <v>37377</v>
      </c>
      <c r="C35" s="406" t="n">
        <f aca="false">PJM_01212000!C64</f>
        <v>30.875</v>
      </c>
      <c r="D35" s="407" t="n">
        <f aca="false">PJM_01212000!X35</f>
        <v>0.17325</v>
      </c>
      <c r="E35" s="407" t="n">
        <f aca="false">VLOOKUP(B35,'Revenues &amp; Expenses'!$K$8:$N$258,2)</f>
        <v>0.070949708337774</v>
      </c>
      <c r="F35" s="408" t="n">
        <f aca="false">VLOOKUP(B35,'Revenues &amp; Expenses'!$K$8:$N$246,4)</f>
        <v>0.853154044119824</v>
      </c>
      <c r="G35" s="376" t="n">
        <f aca="false">(B35-$B$1)/365.25</f>
        <v>2.1574264202601</v>
      </c>
      <c r="H35" s="376" t="n">
        <f aca="false">SQRT(G35)</f>
        <v>1.46881803510853</v>
      </c>
      <c r="I35" s="376" t="n">
        <f aca="false">IF($I$2=0,0,-(D35^2)/2)</f>
        <v>0</v>
      </c>
      <c r="J35" s="409" t="n">
        <f aca="false">C35*EXP(I35*G35+D35*$I$2*H35)</f>
        <v>30.875</v>
      </c>
      <c r="L35" s="395"/>
      <c r="M35" s="395"/>
    </row>
    <row r="36" customFormat="false" ht="15.75" hidden="false" customHeight="false" outlineLevel="0" collapsed="false">
      <c r="B36" s="405" t="n">
        <f aca="false">'Revenues &amp; Expenses'!K36</f>
        <v>37408</v>
      </c>
      <c r="C36" s="406" t="n">
        <f aca="false">PJM_01212000!C65</f>
        <v>54.8499984741211</v>
      </c>
      <c r="D36" s="407" t="n">
        <f aca="false">PJM_01212000!X36</f>
        <v>0.22275</v>
      </c>
      <c r="E36" s="407" t="n">
        <f aca="false">VLOOKUP(B36,'Revenues &amp; Expenses'!$K$8:$N$258,2)</f>
        <v>0.071083555987836</v>
      </c>
      <c r="F36" s="408" t="n">
        <f aca="false">VLOOKUP(B36,'Revenues &amp; Expenses'!$K$8:$N$246,4)</f>
        <v>0.847861523253344</v>
      </c>
      <c r="G36" s="376" t="n">
        <f aca="false">(B36-$B$1)/365.25</f>
        <v>2.24229979466119</v>
      </c>
      <c r="H36" s="376" t="n">
        <f aca="false">SQRT(G36)</f>
        <v>1.49743106507819</v>
      </c>
      <c r="I36" s="376" t="n">
        <f aca="false">IF($I$2=0,0,-(D36^2)/2)</f>
        <v>0</v>
      </c>
      <c r="J36" s="409" t="n">
        <f aca="false">C36*EXP(I36*G36+D36*$I$2*H36)</f>
        <v>54.8499984741211</v>
      </c>
      <c r="L36" s="395"/>
      <c r="M36" s="395"/>
    </row>
    <row r="37" customFormat="false" ht="15.75" hidden="false" customHeight="false" outlineLevel="0" collapsed="false">
      <c r="B37" s="405" t="n">
        <f aca="false">'Revenues &amp; Expenses'!K37</f>
        <v>37438</v>
      </c>
      <c r="C37" s="406" t="n">
        <f aca="false">PJM_01212000!C66</f>
        <v>94.6999969482422</v>
      </c>
      <c r="D37" s="407" t="n">
        <f aca="false">PJM_01212000!X37</f>
        <v>0.27225</v>
      </c>
      <c r="E37" s="407" t="n">
        <f aca="false">VLOOKUP(B37,'Revenues &amp; Expenses'!$K$8:$N$258,2)</f>
        <v>0.071203412357002</v>
      </c>
      <c r="F37" s="408" t="n">
        <f aca="false">VLOOKUP(B37,'Revenues &amp; Expenses'!$K$8:$N$246,4)</f>
        <v>0.84277264871996</v>
      </c>
      <c r="G37" s="376" t="n">
        <f aca="false">(B37-$B$1)/365.25</f>
        <v>2.32443531827515</v>
      </c>
      <c r="H37" s="376" t="n">
        <f aca="false">SQRT(G37)</f>
        <v>1.52460989052123</v>
      </c>
      <c r="I37" s="376" t="n">
        <f aca="false">IF($I$2=0,0,-(D37^2)/2)</f>
        <v>0</v>
      </c>
      <c r="J37" s="409" t="n">
        <f aca="false">C37*EXP(I37*G37+D37*$I$2*H37)</f>
        <v>94.6999969482422</v>
      </c>
      <c r="L37" s="395"/>
      <c r="M37" s="395"/>
    </row>
    <row r="38" customFormat="false" ht="15.75" hidden="false" customHeight="false" outlineLevel="0" collapsed="false">
      <c r="B38" s="405" t="n">
        <f aca="false">'Revenues &amp; Expenses'!K38</f>
        <v>37469</v>
      </c>
      <c r="C38" s="406" t="n">
        <f aca="false">PJM_01212000!C67</f>
        <v>81.6999969482422</v>
      </c>
      <c r="D38" s="407" t="n">
        <f aca="false">PJM_01212000!X38</f>
        <v>0.27225</v>
      </c>
      <c r="E38" s="407" t="n">
        <f aca="false">VLOOKUP(B38,'Revenues &amp; Expenses'!$K$8:$N$258,2)</f>
        <v>0.071311312147306</v>
      </c>
      <c r="F38" s="408" t="n">
        <f aca="false">VLOOKUP(B38,'Revenues &amp; Expenses'!$K$8:$N$246,4)</f>
        <v>0.837562151534639</v>
      </c>
      <c r="G38" s="376" t="n">
        <f aca="false">(B38-$B$1)/365.25</f>
        <v>2.40930869267625</v>
      </c>
      <c r="H38" s="376" t="n">
        <f aca="false">SQRT(G38)</f>
        <v>1.55219479855985</v>
      </c>
      <c r="I38" s="376" t="n">
        <f aca="false">IF($I$2=0,0,-(D38^2)/2)</f>
        <v>0</v>
      </c>
      <c r="J38" s="409" t="n">
        <f aca="false">C38*EXP(I38*G38+D38*$I$2*H38)</f>
        <v>81.6999969482422</v>
      </c>
      <c r="L38" s="395"/>
      <c r="M38" s="395"/>
    </row>
    <row r="39" customFormat="false" ht="15.75" hidden="false" customHeight="false" outlineLevel="0" collapsed="false">
      <c r="B39" s="405" t="n">
        <f aca="false">'Revenues &amp; Expenses'!K39</f>
        <v>37500</v>
      </c>
      <c r="C39" s="406" t="n">
        <f aca="false">PJM_01212000!C68</f>
        <v>32.8249984741211</v>
      </c>
      <c r="D39" s="407" t="n">
        <f aca="false">PJM_01212000!X39</f>
        <v>0.175</v>
      </c>
      <c r="E39" s="407" t="n">
        <f aca="false">VLOOKUP(B39,'Revenues &amp; Expenses'!$K$8:$N$258,2)</f>
        <v>0.071419211941457</v>
      </c>
      <c r="F39" s="408" t="n">
        <f aca="false">VLOOKUP(B39,'Revenues &amp; Expenses'!$K$8:$N$246,4)</f>
        <v>0.832369159376618</v>
      </c>
      <c r="G39" s="376" t="n">
        <f aca="false">(B39-$B$1)/365.25</f>
        <v>2.49418206707734</v>
      </c>
      <c r="H39" s="376" t="n">
        <f aca="false">SQRT(G39)</f>
        <v>1.57929796652733</v>
      </c>
      <c r="I39" s="376" t="n">
        <f aca="false">IF($I$2=0,0,-(D39^2)/2)</f>
        <v>0</v>
      </c>
      <c r="J39" s="409" t="n">
        <f aca="false">C39*EXP(I39*G39+D39*$I$2*H39)</f>
        <v>32.8249984741211</v>
      </c>
      <c r="L39" s="395"/>
      <c r="M39" s="395"/>
    </row>
    <row r="40" customFormat="false" ht="15.75" hidden="false" customHeight="false" outlineLevel="0" collapsed="false">
      <c r="B40" s="405" t="n">
        <f aca="false">'Revenues &amp; Expenses'!K40</f>
        <v>37530</v>
      </c>
      <c r="C40" s="406" t="n">
        <f aca="false">PJM_01212000!C69</f>
        <v>26.4750003814697</v>
      </c>
      <c r="D40" s="407" t="n">
        <f aca="false">PJM_01212000!X40</f>
        <v>0.12375</v>
      </c>
      <c r="E40" s="407" t="n">
        <f aca="false">VLOOKUP(B40,'Revenues &amp; Expenses'!$K$8:$N$258,2)</f>
        <v>0.071515306365121</v>
      </c>
      <c r="F40" s="408" t="n">
        <f aca="false">VLOOKUP(B40,'Revenues &amp; Expenses'!$K$8:$N$246,4)</f>
        <v>0.82737835456572</v>
      </c>
      <c r="G40" s="376" t="n">
        <f aca="false">(B40-$B$1)/365.25</f>
        <v>2.57631759069131</v>
      </c>
      <c r="H40" s="376" t="n">
        <f aca="false">SQRT(G40)</f>
        <v>1.60509114715997</v>
      </c>
      <c r="I40" s="376" t="n">
        <f aca="false">IF($I$2=0,0,-(D40^2)/2)</f>
        <v>0</v>
      </c>
      <c r="J40" s="409" t="n">
        <f aca="false">C40*EXP(I40*G40+D40*$I$2*H40)</f>
        <v>26.4750003814697</v>
      </c>
      <c r="L40" s="395"/>
      <c r="M40" s="395"/>
    </row>
    <row r="41" customFormat="false" ht="15.75" hidden="false" customHeight="false" outlineLevel="0" collapsed="false">
      <c r="B41" s="405" t="n">
        <f aca="false">'Revenues &amp; Expenses'!K41</f>
        <v>37561</v>
      </c>
      <c r="C41" s="406" t="n">
        <f aca="false">PJM_01212000!C70</f>
        <v>26.1474990844727</v>
      </c>
      <c r="D41" s="407" t="n">
        <f aca="false">PJM_01212000!X41</f>
        <v>0.12375</v>
      </c>
      <c r="E41" s="407" t="n">
        <f aca="false">VLOOKUP(B41,'Revenues &amp; Expenses'!$K$8:$N$258,2)</f>
        <v>0.071602640768726</v>
      </c>
      <c r="F41" s="408" t="n">
        <f aca="false">VLOOKUP(B41,'Revenues &amp; Expenses'!$K$8:$N$246,4)</f>
        <v>0.822265886347907</v>
      </c>
      <c r="G41" s="376" t="n">
        <f aca="false">(B41-$B$1)/365.25</f>
        <v>2.6611909650924</v>
      </c>
      <c r="H41" s="376" t="n">
        <f aca="false">SQRT(G41)</f>
        <v>1.631315715946</v>
      </c>
      <c r="I41" s="376" t="n">
        <f aca="false">IF($I$2=0,0,-(D41^2)/2)</f>
        <v>0</v>
      </c>
      <c r="J41" s="409" t="n">
        <f aca="false">C41*EXP(I41*G41+D41*$I$2*H41)</f>
        <v>26.1474990844727</v>
      </c>
      <c r="L41" s="395"/>
      <c r="M41" s="395"/>
    </row>
    <row r="42" customFormat="false" ht="15.75" hidden="false" customHeight="false" outlineLevel="0" collapsed="false">
      <c r="B42" s="405" t="n">
        <f aca="false">'Revenues &amp; Expenses'!K42</f>
        <v>37591</v>
      </c>
      <c r="C42" s="406" t="n">
        <f aca="false">PJM_01212000!C71</f>
        <v>27.8999996185303</v>
      </c>
      <c r="D42" s="407" t="n">
        <f aca="false">PJM_01212000!X42</f>
        <v>0.12375</v>
      </c>
      <c r="E42" s="407" t="n">
        <f aca="false">VLOOKUP(B42,'Revenues &amp; Expenses'!$K$8:$N$258,2)</f>
        <v>0.071687157935905</v>
      </c>
      <c r="F42" s="408" t="n">
        <f aca="false">VLOOKUP(B42,'Revenues &amp; Expenses'!$K$8:$N$246,4)</f>
        <v>0.817337286416049</v>
      </c>
      <c r="G42" s="376" t="n">
        <f aca="false">(B42-$B$1)/365.25</f>
        <v>2.74332648870637</v>
      </c>
      <c r="H42" s="376" t="n">
        <f aca="false">SQRT(G42)</f>
        <v>1.65629903360063</v>
      </c>
      <c r="I42" s="376" t="n">
        <f aca="false">IF($I$2=0,0,-(D42^2)/2)</f>
        <v>0</v>
      </c>
      <c r="J42" s="409" t="n">
        <f aca="false">C42*EXP(I42*G42+D42*$I$2*H42)</f>
        <v>27.8999996185303</v>
      </c>
      <c r="L42" s="395"/>
      <c r="M42" s="395"/>
    </row>
    <row r="43" customFormat="false" ht="15.75" hidden="false" customHeight="false" outlineLevel="0" collapsed="false">
      <c r="B43" s="405" t="n">
        <f aca="false">'Revenues &amp; Expenses'!K43</f>
        <v>37622</v>
      </c>
      <c r="C43" s="406" t="n">
        <f aca="false">PJM_01212000!C72</f>
        <v>36.3249984741211</v>
      </c>
      <c r="D43" s="407" t="n">
        <f aca="false">PJM_01212000!X43</f>
        <v>0.18612</v>
      </c>
      <c r="E43" s="407" t="n">
        <f aca="false">VLOOKUP(B43,'Revenues &amp; Expenses'!$K$8:$N$258,2)</f>
        <v>0.071774577695173</v>
      </c>
      <c r="F43" s="408" t="n">
        <f aca="false">VLOOKUP(B43,'Revenues &amp; Expenses'!$K$8:$N$246,4)</f>
        <v>0.812263806199084</v>
      </c>
      <c r="G43" s="376" t="n">
        <f aca="false">(B43-$B$1)/365.25</f>
        <v>2.82819986310746</v>
      </c>
      <c r="H43" s="376" t="n">
        <f aca="false">SQRT(G43)</f>
        <v>1.68172526386074</v>
      </c>
      <c r="I43" s="376" t="n">
        <f aca="false">IF($I$2=0,0,-(D43^2)/2)</f>
        <v>0</v>
      </c>
      <c r="J43" s="409" t="n">
        <f aca="false">C43*EXP(I43*G43+D43*$I$2*H43)</f>
        <v>36.3249984741211</v>
      </c>
      <c r="L43" s="395"/>
      <c r="M43" s="395"/>
    </row>
    <row r="44" customFormat="false" ht="15.75" hidden="false" customHeight="false" outlineLevel="0" collapsed="false">
      <c r="B44" s="405" t="n">
        <f aca="false">'Revenues &amp; Expenses'!K44</f>
        <v>37653</v>
      </c>
      <c r="C44" s="406" t="n">
        <f aca="false">PJM_01212000!C73</f>
        <v>36.3249984741211</v>
      </c>
      <c r="D44" s="407" t="n">
        <f aca="false">PJM_01212000!X44</f>
        <v>0.18612</v>
      </c>
      <c r="E44" s="407" t="n">
        <f aca="false">VLOOKUP(B44,'Revenues &amp; Expenses'!$K$8:$N$258,2)</f>
        <v>0.07186210109711</v>
      </c>
      <c r="F44" s="408" t="n">
        <f aca="false">VLOOKUP(B44,'Revenues &amp; Expenses'!$K$8:$N$246,4)</f>
        <v>0.807210018749089</v>
      </c>
      <c r="G44" s="376" t="n">
        <f aca="false">(B44-$B$1)/365.25</f>
        <v>2.91307323750856</v>
      </c>
      <c r="H44" s="376" t="n">
        <f aca="false">SQRT(G44)</f>
        <v>1.70677275508738</v>
      </c>
      <c r="I44" s="376" t="n">
        <f aca="false">IF($I$2=0,0,-(D44^2)/2)</f>
        <v>0</v>
      </c>
      <c r="J44" s="409" t="n">
        <f aca="false">C44*EXP(I44*G44+D44*$I$2*H44)</f>
        <v>36.3249984741211</v>
      </c>
      <c r="L44" s="395"/>
      <c r="M44" s="395"/>
    </row>
    <row r="45" customFormat="false" ht="15.75" hidden="false" customHeight="false" outlineLevel="0" collapsed="false">
      <c r="B45" s="405" t="n">
        <f aca="false">'Revenues &amp; Expenses'!K45</f>
        <v>37681</v>
      </c>
      <c r="C45" s="406" t="n">
        <f aca="false">PJM_01212000!C74</f>
        <v>26.2000007629395</v>
      </c>
      <c r="D45" s="407" t="n">
        <f aca="false">PJM_01212000!X45</f>
        <v>0.1551</v>
      </c>
      <c r="E45" s="407" t="n">
        <f aca="false">VLOOKUP(B45,'Revenues &amp; Expenses'!$K$8:$N$258,2)</f>
        <v>0.071941154494584</v>
      </c>
      <c r="F45" s="408" t="n">
        <f aca="false">VLOOKUP(B45,'Revenues &amp; Expenses'!$K$8:$N$246,4)</f>
        <v>0.802662452765934</v>
      </c>
      <c r="G45" s="376" t="n">
        <f aca="false">(B45-$B$1)/365.25</f>
        <v>2.98973305954825</v>
      </c>
      <c r="H45" s="376" t="n">
        <f aca="false">SQRT(G45)</f>
        <v>1.7290844570316</v>
      </c>
      <c r="I45" s="376" t="n">
        <f aca="false">IF($I$2=0,0,-(D45^2)/2)</f>
        <v>0</v>
      </c>
      <c r="J45" s="409" t="n">
        <f aca="false">C45*EXP(I45*G45+D45*$I$2*H45)</f>
        <v>26.2000007629395</v>
      </c>
      <c r="L45" s="395"/>
      <c r="M45" s="395"/>
    </row>
    <row r="46" customFormat="false" ht="15.75" hidden="false" customHeight="false" outlineLevel="0" collapsed="false">
      <c r="B46" s="405" t="n">
        <f aca="false">'Revenues &amp; Expenses'!K46</f>
        <v>37712</v>
      </c>
      <c r="C46" s="406" t="n">
        <f aca="false">PJM_01212000!C75</f>
        <v>25.9750007629395</v>
      </c>
      <c r="D46" s="407" t="n">
        <f aca="false">PJM_01212000!X46</f>
        <v>0.147345</v>
      </c>
      <c r="E46" s="407" t="n">
        <f aca="false">VLOOKUP(B46,'Revenues &amp; Expenses'!$K$8:$N$258,2)</f>
        <v>0.072017864961397</v>
      </c>
      <c r="F46" s="408" t="n">
        <f aca="false">VLOOKUP(B46,'Revenues &amp; Expenses'!$K$8:$N$246,4)</f>
        <v>0.797673248177405</v>
      </c>
      <c r="G46" s="376" t="n">
        <f aca="false">(B46-$B$1)/365.25</f>
        <v>3.07460643394935</v>
      </c>
      <c r="H46" s="376" t="n">
        <f aca="false">SQRT(G46)</f>
        <v>1.75345556942551</v>
      </c>
      <c r="I46" s="376" t="n">
        <f aca="false">IF($I$2=0,0,-(D46^2)/2)</f>
        <v>0</v>
      </c>
      <c r="J46" s="409" t="n">
        <f aca="false">C46*EXP(I46*G46+D46*$I$2*H46)</f>
        <v>25.9750007629395</v>
      </c>
      <c r="L46" s="395"/>
      <c r="M46" s="395"/>
    </row>
    <row r="47" customFormat="false" ht="15.75" hidden="false" customHeight="false" outlineLevel="0" collapsed="false">
      <c r="B47" s="405" t="n">
        <f aca="false">'Revenues &amp; Expenses'!K47</f>
        <v>37742</v>
      </c>
      <c r="C47" s="406" t="n">
        <f aca="false">PJM_01212000!C76</f>
        <v>30.975</v>
      </c>
      <c r="D47" s="407" t="n">
        <f aca="false">PJM_01212000!X47</f>
        <v>0.162855</v>
      </c>
      <c r="E47" s="407" t="n">
        <f aca="false">VLOOKUP(B47,'Revenues &amp; Expenses'!$K$8:$N$258,2)</f>
        <v>0.072077719331942</v>
      </c>
      <c r="F47" s="408" t="n">
        <f aca="false">VLOOKUP(B47,'Revenues &amp; Expenses'!$K$8:$N$246,4)</f>
        <v>0.792901103049877</v>
      </c>
      <c r="G47" s="376" t="n">
        <f aca="false">(B47-$B$1)/365.25</f>
        <v>3.15674195756331</v>
      </c>
      <c r="H47" s="376" t="n">
        <f aca="false">SQRT(G47)</f>
        <v>1.77672225110266</v>
      </c>
      <c r="I47" s="376" t="n">
        <f aca="false">IF($I$2=0,0,-(D47^2)/2)</f>
        <v>0</v>
      </c>
      <c r="J47" s="409" t="n">
        <f aca="false">C47*EXP(I47*G47+D47*$I$2*H47)</f>
        <v>30.975</v>
      </c>
      <c r="L47" s="395"/>
      <c r="M47" s="395"/>
    </row>
    <row r="48" customFormat="false" ht="15.75" hidden="false" customHeight="false" outlineLevel="0" collapsed="false">
      <c r="B48" s="405" t="n">
        <f aca="false">'Revenues &amp; Expenses'!K48</f>
        <v>37773</v>
      </c>
      <c r="C48" s="406" t="n">
        <f aca="false">PJM_01212000!C77</f>
        <v>55.0999984741211</v>
      </c>
      <c r="D48" s="407" t="n">
        <f aca="false">PJM_01212000!X48</f>
        <v>0.209385</v>
      </c>
      <c r="E48" s="407" t="n">
        <f aca="false">VLOOKUP(B48,'Revenues &amp; Expenses'!$K$8:$N$258,2)</f>
        <v>0.072139568849415</v>
      </c>
      <c r="F48" s="408" t="n">
        <f aca="false">VLOOKUP(B48,'Revenues &amp; Expenses'!$K$8:$N$246,4)</f>
        <v>0.78799202563956</v>
      </c>
      <c r="G48" s="376" t="n">
        <f aca="false">(B48-$B$1)/365.25</f>
        <v>3.24161533196441</v>
      </c>
      <c r="H48" s="376" t="n">
        <f aca="false">SQRT(G48)</f>
        <v>1.80044864741109</v>
      </c>
      <c r="I48" s="376" t="n">
        <f aca="false">IF($I$2=0,0,-(D48^2)/2)</f>
        <v>0</v>
      </c>
      <c r="J48" s="409" t="n">
        <f aca="false">C48*EXP(I48*G48+D48*$I$2*H48)</f>
        <v>55.0999984741211</v>
      </c>
      <c r="L48" s="395"/>
      <c r="M48" s="395"/>
    </row>
    <row r="49" customFormat="false" ht="15.75" hidden="false" customHeight="false" outlineLevel="0" collapsed="false">
      <c r="B49" s="405" t="n">
        <f aca="false">'Revenues &amp; Expenses'!K49</f>
        <v>37803</v>
      </c>
      <c r="C49" s="406" t="n">
        <f aca="false">PJM_01212000!C78</f>
        <v>94.1999969482422</v>
      </c>
      <c r="D49" s="407" t="n">
        <f aca="false">PJM_01212000!X49</f>
        <v>0.255915</v>
      </c>
      <c r="E49" s="407" t="n">
        <f aca="false">VLOOKUP(B49,'Revenues &amp; Expenses'!$K$8:$N$258,2)</f>
        <v>0.072196593496435</v>
      </c>
      <c r="F49" s="408" t="n">
        <f aca="false">VLOOKUP(B49,'Revenues &amp; Expenses'!$K$8:$N$246,4)</f>
        <v>0.783270061390786</v>
      </c>
      <c r="G49" s="376" t="n">
        <f aca="false">(B49-$B$1)/365.25</f>
        <v>3.32375085557837</v>
      </c>
      <c r="H49" s="376" t="n">
        <f aca="false">SQRT(G49)</f>
        <v>1.82311569999777</v>
      </c>
      <c r="I49" s="376" t="n">
        <f aca="false">IF($I$2=0,0,-(D49^2)/2)</f>
        <v>0</v>
      </c>
      <c r="J49" s="409" t="n">
        <f aca="false">C49*EXP(I49*G49+D49*$I$2*H49)</f>
        <v>94.1999969482422</v>
      </c>
      <c r="L49" s="395"/>
      <c r="M49" s="395"/>
    </row>
    <row r="50" customFormat="false" ht="15.75" hidden="false" customHeight="false" outlineLevel="0" collapsed="false">
      <c r="B50" s="405" t="n">
        <f aca="false">'Revenues &amp; Expenses'!K50</f>
        <v>37834</v>
      </c>
      <c r="C50" s="406" t="n">
        <f aca="false">PJM_01212000!C79</f>
        <v>81.1999969482422</v>
      </c>
      <c r="D50" s="407" t="n">
        <f aca="false">PJM_01212000!X50</f>
        <v>0.255915</v>
      </c>
      <c r="E50" s="407" t="n">
        <f aca="false">VLOOKUP(B50,'Revenues &amp; Expenses'!$K$8:$N$258,2)</f>
        <v>0.072251448163748</v>
      </c>
      <c r="F50" s="408" t="n">
        <f aca="false">VLOOKUP(B50,'Revenues &amp; Expenses'!$K$8:$N$246,4)</f>
        <v>0.778423826491303</v>
      </c>
      <c r="G50" s="376" t="n">
        <f aca="false">(B50-$B$1)/365.25</f>
        <v>3.40862422997947</v>
      </c>
      <c r="H50" s="376" t="n">
        <f aca="false">SQRT(G50)</f>
        <v>1.84624598306387</v>
      </c>
      <c r="I50" s="376" t="n">
        <f aca="false">IF($I$2=0,0,-(D50^2)/2)</f>
        <v>0</v>
      </c>
      <c r="J50" s="409" t="n">
        <f aca="false">C50*EXP(I50*G50+D50*$I$2*H50)</f>
        <v>81.1999969482422</v>
      </c>
      <c r="L50" s="395"/>
      <c r="M50" s="395"/>
    </row>
    <row r="51" customFormat="false" ht="15.75" hidden="false" customHeight="false" outlineLevel="0" collapsed="false">
      <c r="B51" s="405" t="n">
        <f aca="false">'Revenues &amp; Expenses'!K51</f>
        <v>37865</v>
      </c>
      <c r="C51" s="406" t="n">
        <f aca="false">PJM_01212000!C80</f>
        <v>33.0749984741211</v>
      </c>
      <c r="D51" s="407" t="n">
        <f aca="false">PJM_01212000!X51</f>
        <v>0.1645</v>
      </c>
      <c r="E51" s="407" t="n">
        <f aca="false">VLOOKUP(B51,'Revenues &amp; Expenses'!$K$8:$N$258,2)</f>
        <v>0.072306302832056</v>
      </c>
      <c r="F51" s="408" t="n">
        <f aca="false">VLOOKUP(B51,'Revenues &amp; Expenses'!$K$8:$N$246,4)</f>
        <v>0.773600627769881</v>
      </c>
      <c r="G51" s="376" t="n">
        <f aca="false">(B51-$B$1)/365.25</f>
        <v>3.49349760438056</v>
      </c>
      <c r="H51" s="376" t="n">
        <f aca="false">SQRT(G51)</f>
        <v>1.86909004715679</v>
      </c>
      <c r="I51" s="376" t="n">
        <f aca="false">IF($I$2=0,0,-(D51^2)/2)</f>
        <v>0</v>
      </c>
      <c r="J51" s="409" t="n">
        <f aca="false">C51*EXP(I51*G51+D51*$I$2*H51)</f>
        <v>33.0749984741211</v>
      </c>
      <c r="L51" s="395"/>
      <c r="M51" s="395"/>
    </row>
    <row r="52" customFormat="false" ht="15.75" hidden="false" customHeight="false" outlineLevel="0" collapsed="false">
      <c r="B52" s="405" t="n">
        <f aca="false">'Revenues &amp; Expenses'!K52</f>
        <v>37895</v>
      </c>
      <c r="C52" s="406" t="n">
        <f aca="false">PJM_01212000!C81</f>
        <v>26.7250003814697</v>
      </c>
      <c r="D52" s="407" t="n">
        <f aca="false">PJM_01212000!X52</f>
        <v>0.116325</v>
      </c>
      <c r="E52" s="407" t="n">
        <f aca="false">VLOOKUP(B52,'Revenues &amp; Expenses'!$K$8:$N$258,2)</f>
        <v>0.072356619918754</v>
      </c>
      <c r="F52" s="408" t="n">
        <f aca="false">VLOOKUP(B52,'Revenues &amp; Expenses'!$K$8:$N$246,4)</f>
        <v>0.768962489377476</v>
      </c>
      <c r="G52" s="376" t="n">
        <f aca="false">(B52-$B$1)/365.25</f>
        <v>3.57563312799452</v>
      </c>
      <c r="H52" s="376" t="n">
        <f aca="false">SQRT(G52)</f>
        <v>1.89093445893678</v>
      </c>
      <c r="I52" s="376" t="n">
        <f aca="false">IF($I$2=0,0,-(D52^2)/2)</f>
        <v>0</v>
      </c>
      <c r="J52" s="409" t="n">
        <f aca="false">C52*EXP(I52*G52+D52*$I$2*H52)</f>
        <v>26.7250003814697</v>
      </c>
      <c r="L52" s="395"/>
      <c r="M52" s="395"/>
    </row>
    <row r="53" customFormat="false" ht="15.75" hidden="false" customHeight="false" outlineLevel="0" collapsed="false">
      <c r="B53" s="405" t="n">
        <f aca="false">'Revenues &amp; Expenses'!K53</f>
        <v>37926</v>
      </c>
      <c r="C53" s="406" t="n">
        <f aca="false">PJM_01212000!C82</f>
        <v>26.3974990844727</v>
      </c>
      <c r="D53" s="407" t="n">
        <f aca="false">PJM_01212000!X53</f>
        <v>0.116325</v>
      </c>
      <c r="E53" s="407" t="n">
        <f aca="false">VLOOKUP(B53,'Revenues &amp; Expenses'!$K$8:$N$258,2)</f>
        <v>0.072405134672305</v>
      </c>
      <c r="F53" s="408" t="n">
        <f aca="false">VLOOKUP(B53,'Revenues &amp; Expenses'!$K$8:$N$246,4)</f>
        <v>0.76420226024837</v>
      </c>
      <c r="G53" s="376" t="n">
        <f aca="false">(B53-$B$1)/365.25</f>
        <v>3.66050650239562</v>
      </c>
      <c r="H53" s="376" t="n">
        <f aca="false">SQRT(G53)</f>
        <v>1.91324501891306</v>
      </c>
      <c r="I53" s="376" t="n">
        <f aca="false">IF($I$2=0,0,-(D53^2)/2)</f>
        <v>0</v>
      </c>
      <c r="J53" s="409" t="n">
        <f aca="false">C53*EXP(I53*G53+D53*$I$2*H53)</f>
        <v>26.3974990844727</v>
      </c>
      <c r="L53" s="395"/>
      <c r="M53" s="395"/>
    </row>
    <row r="54" customFormat="false" ht="15.75" hidden="false" customHeight="false" outlineLevel="0" collapsed="false">
      <c r="B54" s="405" t="n">
        <f aca="false">'Revenues &amp; Expenses'!K54</f>
        <v>37956</v>
      </c>
      <c r="C54" s="406" t="n">
        <f aca="false">PJM_01212000!C83</f>
        <v>28.1499996185303</v>
      </c>
      <c r="D54" s="407" t="n">
        <f aca="false">PJM_01212000!X54</f>
        <v>0.116325</v>
      </c>
      <c r="E54" s="407" t="n">
        <f aca="false">VLOOKUP(B54,'Revenues &amp; Expenses'!$K$8:$N$258,2)</f>
        <v>0.072452084434547</v>
      </c>
      <c r="F54" s="408" t="n">
        <f aca="false">VLOOKUP(B54,'Revenues &amp; Expenses'!$K$8:$N$246,4)</f>
        <v>0.759617901104366</v>
      </c>
      <c r="G54" s="376" t="n">
        <f aca="false">(B54-$B$1)/365.25</f>
        <v>3.74264202600958</v>
      </c>
      <c r="H54" s="376" t="n">
        <f aca="false">SQRT(G54)</f>
        <v>1.9345909195511</v>
      </c>
      <c r="I54" s="376" t="n">
        <f aca="false">IF($I$2=0,0,-(D54^2)/2)</f>
        <v>0</v>
      </c>
      <c r="J54" s="409" t="n">
        <f aca="false">C54*EXP(I54*G54+D54*$I$2*H54)</f>
        <v>28.1499996185303</v>
      </c>
      <c r="L54" s="395"/>
      <c r="M54" s="395"/>
    </row>
    <row r="55" customFormat="false" ht="15.75" hidden="false" customHeight="false" outlineLevel="0" collapsed="false">
      <c r="B55" s="405" t="n">
        <f aca="false">'Revenues &amp; Expenses'!K55</f>
        <v>37987</v>
      </c>
      <c r="C55" s="406" t="n">
        <f aca="false">PJM_01212000!C84</f>
        <v>36.8249984741211</v>
      </c>
      <c r="D55" s="407" t="n">
        <f aca="false">PJM_01212000!X55</f>
        <v>0.1786752</v>
      </c>
      <c r="E55" s="407" t="n">
        <f aca="false">VLOOKUP(B55,'Revenues &amp; Expenses'!$K$8:$N$258,2)</f>
        <v>0.072504748875384</v>
      </c>
      <c r="F55" s="408" t="n">
        <f aca="false">VLOOKUP(B55,'Revenues &amp; Expenses'!$K$8:$N$246,4)</f>
        <v>0.754891785095307</v>
      </c>
      <c r="G55" s="376" t="n">
        <f aca="false">(B55-$B$1)/365.25</f>
        <v>3.82751540041068</v>
      </c>
      <c r="H55" s="376" t="n">
        <f aca="false">SQRT(G55)</f>
        <v>1.95640369055333</v>
      </c>
      <c r="I55" s="376" t="n">
        <f aca="false">IF($I$2=0,0,-(D55^2)/2)</f>
        <v>0</v>
      </c>
      <c r="J55" s="409" t="n">
        <f aca="false">C55*EXP(I55*G55+D55*$I$2*H55)</f>
        <v>36.8249984741211</v>
      </c>
      <c r="L55" s="395"/>
      <c r="M55" s="395"/>
    </row>
    <row r="56" customFormat="false" ht="15.75" hidden="false" customHeight="false" outlineLevel="0" collapsed="false">
      <c r="B56" s="405" t="n">
        <f aca="false">'Revenues &amp; Expenses'!K56</f>
        <v>38018</v>
      </c>
      <c r="C56" s="406" t="n">
        <f aca="false">PJM_01212000!C85</f>
        <v>36.8249984741211</v>
      </c>
      <c r="D56" s="407" t="n">
        <f aca="false">PJM_01212000!X56</f>
        <v>0.1786752</v>
      </c>
      <c r="E56" s="407" t="n">
        <f aca="false">VLOOKUP(B56,'Revenues &amp; Expenses'!$K$8:$N$258,2)</f>
        <v>0.072561839648691</v>
      </c>
      <c r="F56" s="408" t="n">
        <f aca="false">VLOOKUP(B56,'Revenues &amp; Expenses'!$K$8:$N$246,4)</f>
        <v>0.750175683094589</v>
      </c>
      <c r="G56" s="376" t="n">
        <f aca="false">(B56-$B$1)/365.25</f>
        <v>3.91238877481177</v>
      </c>
      <c r="H56" s="376" t="n">
        <f aca="false">SQRT(G56)</f>
        <v>1.97797592877461</v>
      </c>
      <c r="I56" s="376" t="n">
        <f aca="false">IF($I$2=0,0,-(D56^2)/2)</f>
        <v>0</v>
      </c>
      <c r="J56" s="409" t="n">
        <f aca="false">C56*EXP(I56*G56+D56*$I$2*H56)</f>
        <v>36.8249984741211</v>
      </c>
      <c r="L56" s="395"/>
      <c r="M56" s="395"/>
    </row>
    <row r="57" customFormat="false" ht="15.75" hidden="false" customHeight="false" outlineLevel="0" collapsed="false">
      <c r="B57" s="405" t="n">
        <f aca="false">'Revenues &amp; Expenses'!K57</f>
        <v>38047</v>
      </c>
      <c r="C57" s="406" t="n">
        <f aca="false">PJM_01212000!C86</f>
        <v>26.5500007629395</v>
      </c>
      <c r="D57" s="407" t="n">
        <f aca="false">PJM_01212000!X57</f>
        <v>0.148896</v>
      </c>
      <c r="E57" s="407" t="n">
        <f aca="false">VLOOKUP(B57,'Revenues &amp; Expenses'!$K$8:$N$258,2)</f>
        <v>0.072615247147275</v>
      </c>
      <c r="F57" s="408" t="n">
        <f aca="false">VLOOKUP(B57,'Revenues &amp; Expenses'!$K$8:$N$246,4)</f>
        <v>0.745784212856381</v>
      </c>
      <c r="G57" s="376" t="n">
        <f aca="false">(B57-$B$1)/365.25</f>
        <v>3.9917864476386</v>
      </c>
      <c r="H57" s="376" t="n">
        <f aca="false">SQRT(G57)</f>
        <v>1.99794555672536</v>
      </c>
      <c r="I57" s="376" t="n">
        <f aca="false">IF($I$2=0,0,-(D57^2)/2)</f>
        <v>0</v>
      </c>
      <c r="J57" s="409" t="n">
        <f aca="false">C57*EXP(I57*G57+D57*$I$2*H57)</f>
        <v>26.5500007629395</v>
      </c>
      <c r="L57" s="395"/>
      <c r="M57" s="395"/>
    </row>
    <row r="58" customFormat="false" ht="15.75" hidden="false" customHeight="false" outlineLevel="0" collapsed="false">
      <c r="B58" s="405" t="n">
        <f aca="false">'Revenues &amp; Expenses'!K58</f>
        <v>38078</v>
      </c>
      <c r="C58" s="406" t="n">
        <f aca="false">PJM_01212000!C87</f>
        <v>26.3250007629395</v>
      </c>
      <c r="D58" s="407" t="n">
        <f aca="false">PJM_01212000!X58</f>
        <v>0.1414512</v>
      </c>
      <c r="E58" s="407" t="n">
        <f aca="false">VLOOKUP(B58,'Revenues &amp; Expenses'!$K$8:$N$258,2)</f>
        <v>0.072673184464531</v>
      </c>
      <c r="F58" s="408" t="n">
        <f aca="false">VLOOKUP(B58,'Revenues &amp; Expenses'!$K$8:$N$246,4)</f>
        <v>0.74110906328764</v>
      </c>
      <c r="G58" s="376" t="n">
        <f aca="false">(B58-$B$1)/365.25</f>
        <v>4.0766598220397</v>
      </c>
      <c r="H58" s="376" t="n">
        <f aca="false">SQRT(G58)</f>
        <v>2.01907400113015</v>
      </c>
      <c r="I58" s="376" t="n">
        <f aca="false">IF($I$2=0,0,-(D58^2)/2)</f>
        <v>0</v>
      </c>
      <c r="J58" s="409" t="n">
        <f aca="false">C58*EXP(I58*G58+D58*$I$2*H58)</f>
        <v>26.3250007629395</v>
      </c>
      <c r="L58" s="395"/>
      <c r="M58" s="395"/>
    </row>
    <row r="59" customFormat="false" ht="15.75" hidden="false" customHeight="false" outlineLevel="0" collapsed="false">
      <c r="B59" s="405" t="n">
        <f aca="false">'Revenues &amp; Expenses'!K59</f>
        <v>38108</v>
      </c>
      <c r="C59" s="406" t="n">
        <f aca="false">PJM_01212000!C88</f>
        <v>31.325</v>
      </c>
      <c r="D59" s="407" t="n">
        <f aca="false">PJM_01212000!X59</f>
        <v>0.1563408</v>
      </c>
      <c r="E59" s="407" t="n">
        <f aca="false">VLOOKUP(B59,'Revenues &amp; Expenses'!$K$8:$N$258,2)</f>
        <v>0.072730126686808</v>
      </c>
      <c r="F59" s="408" t="n">
        <f aca="false">VLOOKUP(B59,'Revenues &amp; Expenses'!$K$8:$N$246,4)</f>
        <v>0.736603322523177</v>
      </c>
      <c r="G59" s="376" t="n">
        <f aca="false">(B59-$B$1)/365.25</f>
        <v>4.15879534565366</v>
      </c>
      <c r="H59" s="376" t="n">
        <f aca="false">SQRT(G59)</f>
        <v>2.03931246886142</v>
      </c>
      <c r="I59" s="376" t="n">
        <f aca="false">IF($I$2=0,0,-(D59^2)/2)</f>
        <v>0</v>
      </c>
      <c r="J59" s="409" t="n">
        <f aca="false">C59*EXP(I59*G59+D59*$I$2*H59)</f>
        <v>31.325</v>
      </c>
      <c r="L59" s="395"/>
      <c r="M59" s="395"/>
    </row>
    <row r="60" customFormat="false" ht="15.75" hidden="false" customHeight="false" outlineLevel="0" collapsed="false">
      <c r="B60" s="405" t="n">
        <f aca="false">'Revenues &amp; Expenses'!K60</f>
        <v>38139</v>
      </c>
      <c r="C60" s="406" t="n">
        <f aca="false">PJM_01212000!C89</f>
        <v>55.5999984741211</v>
      </c>
      <c r="D60" s="407" t="n">
        <f aca="false">PJM_01212000!X60</f>
        <v>0.2010096</v>
      </c>
      <c r="E60" s="407" t="n">
        <f aca="false">VLOOKUP(B60,'Revenues &amp; Expenses'!$K$8:$N$258,2)</f>
        <v>0.072788966984285</v>
      </c>
      <c r="F60" s="408" t="n">
        <f aca="false">VLOOKUP(B60,'Revenues &amp; Expenses'!$K$8:$N$246,4)</f>
        <v>0.731969231402715</v>
      </c>
      <c r="G60" s="376" t="n">
        <f aca="false">(B60-$B$1)/365.25</f>
        <v>4.24366872005476</v>
      </c>
      <c r="H60" s="376" t="n">
        <f aca="false">SQRT(G60)</f>
        <v>2.06001667955742</v>
      </c>
      <c r="I60" s="376" t="n">
        <f aca="false">IF($I$2=0,0,-(D60^2)/2)</f>
        <v>0</v>
      </c>
      <c r="J60" s="409" t="n">
        <f aca="false">C60*EXP(I60*G60+D60*$I$2*H60)</f>
        <v>55.5999984741211</v>
      </c>
      <c r="L60" s="395"/>
      <c r="M60" s="395"/>
    </row>
    <row r="61" customFormat="false" ht="15.75" hidden="false" customHeight="false" outlineLevel="0" collapsed="false">
      <c r="B61" s="405" t="n">
        <f aca="false">'Revenues &amp; Expenses'!K61</f>
        <v>38169</v>
      </c>
      <c r="C61" s="406" t="n">
        <f aca="false">PJM_01212000!C90</f>
        <v>94.4499969482422</v>
      </c>
      <c r="D61" s="407" t="n">
        <f aca="false">PJM_01212000!X61</f>
        <v>0.2456784</v>
      </c>
      <c r="E61" s="407" t="n">
        <f aca="false">VLOOKUP(B61,'Revenues &amp; Expenses'!$K$8:$N$258,2)</f>
        <v>0.072845909208739</v>
      </c>
      <c r="F61" s="408" t="n">
        <f aca="false">VLOOKUP(B61,'Revenues &amp; Expenses'!$K$8:$N$246,4)</f>
        <v>0.727505716604073</v>
      </c>
      <c r="G61" s="376" t="n">
        <f aca="false">(B61-$B$1)/365.25</f>
        <v>4.32580424366872</v>
      </c>
      <c r="H61" s="376" t="n">
        <f aca="false">SQRT(G61)</f>
        <v>2.07985678441298</v>
      </c>
      <c r="I61" s="376" t="n">
        <f aca="false">IF($I$2=0,0,-(D61^2)/2)</f>
        <v>0</v>
      </c>
      <c r="J61" s="409" t="n">
        <f aca="false">C61*EXP(I61*G61+D61*$I$2*H61)</f>
        <v>94.4499969482422</v>
      </c>
      <c r="L61" s="395"/>
      <c r="M61" s="395"/>
    </row>
    <row r="62" customFormat="false" ht="15.75" hidden="false" customHeight="false" outlineLevel="0" collapsed="false">
      <c r="B62" s="405" t="n">
        <f aca="false">'Revenues &amp; Expenses'!K62</f>
        <v>38200</v>
      </c>
      <c r="C62" s="406" t="n">
        <f aca="false">PJM_01212000!C91</f>
        <v>81.4499969482422</v>
      </c>
      <c r="D62" s="407" t="n">
        <f aca="false">PJM_01212000!X62</f>
        <v>0.2456784</v>
      </c>
      <c r="E62" s="407" t="n">
        <f aca="false">VLOOKUP(B62,'Revenues &amp; Expenses'!$K$8:$N$258,2)</f>
        <v>0.072904749508467</v>
      </c>
      <c r="F62" s="408" t="n">
        <f aca="false">VLOOKUP(B62,'Revenues &amp; Expenses'!$K$8:$N$246,4)</f>
        <v>0.722915161120814</v>
      </c>
      <c r="G62" s="376" t="n">
        <f aca="false">(B62-$B$1)/365.25</f>
        <v>4.41067761806982</v>
      </c>
      <c r="H62" s="376" t="n">
        <f aca="false">SQRT(G62)</f>
        <v>2.10016133143857</v>
      </c>
      <c r="I62" s="376" t="n">
        <f aca="false">IF($I$2=0,0,-(D62^2)/2)</f>
        <v>0</v>
      </c>
      <c r="J62" s="409" t="n">
        <f aca="false">C62*EXP(I62*G62+D62*$I$2*H62)</f>
        <v>81.4499969482422</v>
      </c>
      <c r="L62" s="395"/>
      <c r="M62" s="395"/>
    </row>
    <row r="63" customFormat="false" ht="15.75" hidden="false" customHeight="false" outlineLevel="0" collapsed="false">
      <c r="B63" s="405" t="n">
        <f aca="false">'Revenues &amp; Expenses'!K63</f>
        <v>38231</v>
      </c>
      <c r="C63" s="406" t="n">
        <f aca="false">PJM_01212000!C92</f>
        <v>33.4249984741211</v>
      </c>
      <c r="D63" s="407" t="n">
        <f aca="false">PJM_01212000!X63</f>
        <v>0.15792</v>
      </c>
      <c r="E63" s="407" t="n">
        <f aca="false">VLOOKUP(B63,'Revenues &amp; Expenses'!$K$8:$N$258,2)</f>
        <v>0.072963589809337</v>
      </c>
      <c r="F63" s="408" t="n">
        <f aca="false">VLOOKUP(B63,'Revenues &amp; Expenses'!$K$8:$N$246,4)</f>
        <v>0.718346654745936</v>
      </c>
      <c r="G63" s="376" t="n">
        <f aca="false">(B63-$B$1)/365.25</f>
        <v>4.49555099247091</v>
      </c>
      <c r="H63" s="376" t="n">
        <f aca="false">SQRT(G63)</f>
        <v>2.12027144311074</v>
      </c>
      <c r="I63" s="376" t="n">
        <f aca="false">IF($I$2=0,0,-(D63^2)/2)</f>
        <v>0</v>
      </c>
      <c r="J63" s="409" t="n">
        <f aca="false">C63*EXP(I63*G63+D63*$I$2*H63)</f>
        <v>33.4249984741211</v>
      </c>
      <c r="L63" s="395"/>
      <c r="M63" s="395"/>
    </row>
    <row r="64" customFormat="false" ht="15.75" hidden="false" customHeight="false" outlineLevel="0" collapsed="false">
      <c r="B64" s="405" t="n">
        <f aca="false">'Revenues &amp; Expenses'!K64</f>
        <v>38261</v>
      </c>
      <c r="C64" s="406" t="n">
        <f aca="false">PJM_01212000!C93</f>
        <v>27.0750003814697</v>
      </c>
      <c r="D64" s="407" t="n">
        <f aca="false">PJM_01212000!X64</f>
        <v>0.111672</v>
      </c>
      <c r="E64" s="407" t="n">
        <f aca="false">VLOOKUP(B64,'Revenues &amp; Expenses'!$K$8:$N$258,2)</f>
        <v>0.073020532037075</v>
      </c>
      <c r="F64" s="408" t="n">
        <f aca="false">VLOOKUP(B64,'Revenues &amp; Expenses'!$K$8:$N$246,4)</f>
        <v>0.713946464875069</v>
      </c>
      <c r="G64" s="376" t="n">
        <f aca="false">(B64-$B$1)/365.25</f>
        <v>4.57768651608487</v>
      </c>
      <c r="H64" s="376" t="n">
        <f aca="false">SQRT(G64)</f>
        <v>2.13955287760898</v>
      </c>
      <c r="I64" s="376" t="n">
        <f aca="false">IF($I$2=0,0,-(D64^2)/2)</f>
        <v>0</v>
      </c>
      <c r="J64" s="409" t="n">
        <f aca="false">C64*EXP(I64*G64+D64*$I$2*H64)</f>
        <v>27.0750003814697</v>
      </c>
      <c r="L64" s="395"/>
      <c r="M64" s="395"/>
    </row>
    <row r="65" customFormat="false" ht="15.75" hidden="false" customHeight="false" outlineLevel="0" collapsed="false">
      <c r="B65" s="405" t="n">
        <f aca="false">'Revenues &amp; Expenses'!K65</f>
        <v>38292</v>
      </c>
      <c r="C65" s="406" t="n">
        <f aca="false">PJM_01212000!C94</f>
        <v>26.7474990844727</v>
      </c>
      <c r="D65" s="407" t="n">
        <f aca="false">PJM_01212000!X65</f>
        <v>0.111672</v>
      </c>
      <c r="E65" s="407" t="n">
        <f aca="false">VLOOKUP(B65,'Revenues &amp; Expenses'!$K$8:$N$258,2)</f>
        <v>0.073079372340195</v>
      </c>
      <c r="F65" s="408" t="n">
        <f aca="false">VLOOKUP(B65,'Revenues &amp; Expenses'!$K$8:$N$246,4)</f>
        <v>0.70942119524404</v>
      </c>
      <c r="G65" s="376" t="n">
        <f aca="false">(B65-$B$1)/365.25</f>
        <v>4.66255989048597</v>
      </c>
      <c r="H65" s="376" t="n">
        <f aca="false">SQRT(G65)</f>
        <v>2.15929615627083</v>
      </c>
      <c r="I65" s="376" t="n">
        <f aca="false">IF($I$2=0,0,-(D65^2)/2)</f>
        <v>0</v>
      </c>
      <c r="J65" s="409" t="n">
        <f aca="false">C65*EXP(I65*G65+D65*$I$2*H65)</f>
        <v>26.7474990844727</v>
      </c>
      <c r="L65" s="395"/>
      <c r="M65" s="395"/>
    </row>
    <row r="66" customFormat="false" ht="15.75" hidden="false" customHeight="false" outlineLevel="0" collapsed="false">
      <c r="B66" s="405" t="n">
        <f aca="false">'Revenues &amp; Expenses'!K66</f>
        <v>38322</v>
      </c>
      <c r="C66" s="406" t="n">
        <f aca="false">PJM_01212000!C95</f>
        <v>28.4999996185303</v>
      </c>
      <c r="D66" s="407" t="n">
        <f aca="false">PJM_01212000!X66</f>
        <v>0.111672</v>
      </c>
      <c r="E66" s="407" t="n">
        <f aca="false">VLOOKUP(B66,'Revenues &amp; Expenses'!$K$8:$N$258,2)</f>
        <v>0.073136314570109</v>
      </c>
      <c r="F66" s="408" t="n">
        <f aca="false">VLOOKUP(B66,'Revenues &amp; Expenses'!$K$8:$N$246,4)</f>
        <v>0.705062750325475</v>
      </c>
      <c r="G66" s="376" t="n">
        <f aca="false">(B66-$B$1)/365.25</f>
        <v>4.74469541409993</v>
      </c>
      <c r="H66" s="376" t="n">
        <f aca="false">SQRT(G66)</f>
        <v>2.17823217635309</v>
      </c>
      <c r="I66" s="376" t="n">
        <f aca="false">IF($I$2=0,0,-(D66^2)/2)</f>
        <v>0</v>
      </c>
      <c r="J66" s="409" t="n">
        <f aca="false">C66*EXP(I66*G66+D66*$I$2*H66)</f>
        <v>28.4999996185303</v>
      </c>
      <c r="L66" s="395"/>
      <c r="M66" s="395"/>
    </row>
    <row r="67" customFormat="false" ht="15.75" hidden="false" customHeight="false" outlineLevel="0" collapsed="false">
      <c r="B67" s="405" t="n">
        <f aca="false">'Revenues &amp; Expenses'!K67</f>
        <v>38353</v>
      </c>
      <c r="C67" s="406" t="n">
        <f aca="false">PJM_01212000!C96</f>
        <v>37.3249984741211</v>
      </c>
      <c r="D67" s="407" t="n">
        <f aca="false">PJM_01212000!X67</f>
        <v>0.171528192</v>
      </c>
      <c r="E67" s="407" t="n">
        <f aca="false">VLOOKUP(B67,'Revenues &amp; Expenses'!$K$8:$N$258,2)</f>
        <v>0.073195154875478</v>
      </c>
      <c r="F67" s="408" t="n">
        <f aca="false">VLOOKUP(B67,'Revenues &amp; Expenses'!$K$8:$N$246,4)</f>
        <v>0.700580516261328</v>
      </c>
      <c r="G67" s="376" t="n">
        <f aca="false">(B67-$B$1)/365.25</f>
        <v>4.82956878850103</v>
      </c>
      <c r="H67" s="376" t="n">
        <f aca="false">SQRT(G67)</f>
        <v>2.19762799138094</v>
      </c>
      <c r="I67" s="376" t="n">
        <f aca="false">IF($I$2=0,0,-(D67^2)/2)</f>
        <v>0</v>
      </c>
      <c r="J67" s="409" t="n">
        <f aca="false">C67*EXP(I67*G67+D67*$I$2*H67)</f>
        <v>37.3249984741211</v>
      </c>
      <c r="L67" s="395"/>
      <c r="M67" s="395"/>
    </row>
    <row r="68" customFormat="false" ht="15.75" hidden="false" customHeight="false" outlineLevel="0" collapsed="false">
      <c r="B68" s="405" t="n">
        <f aca="false">'Revenues &amp; Expenses'!K68</f>
        <v>38384</v>
      </c>
      <c r="C68" s="406" t="n">
        <f aca="false">PJM_01212000!C97</f>
        <v>37.3249984741211</v>
      </c>
      <c r="D68" s="407" t="n">
        <f aca="false">PJM_01212000!X68</f>
        <v>0.171528192</v>
      </c>
      <c r="E68" s="407" t="n">
        <f aca="false">VLOOKUP(B68,'Revenues &amp; Expenses'!$K$8:$N$258,2)</f>
        <v>0.073253995182</v>
      </c>
      <c r="F68" s="408" t="n">
        <f aca="false">VLOOKUP(B68,'Revenues &amp; Expenses'!$K$8:$N$246,4)</f>
        <v>0.696120074888368</v>
      </c>
      <c r="G68" s="376" t="n">
        <f aca="false">(B68-$B$1)/365.25</f>
        <v>4.91444216290212</v>
      </c>
      <c r="H68" s="376" t="n">
        <f aca="false">SQRT(G68)</f>
        <v>2.21685411403234</v>
      </c>
      <c r="I68" s="376" t="n">
        <f aca="false">IF($I$2=0,0,-(D68^2)/2)</f>
        <v>0</v>
      </c>
      <c r="J68" s="409" t="n">
        <f aca="false">C68*EXP(I68*G68+D68*$I$2*H68)</f>
        <v>37.3249984741211</v>
      </c>
      <c r="L68" s="395"/>
      <c r="M68" s="395"/>
    </row>
    <row r="69" customFormat="false" ht="15.75" hidden="false" customHeight="false" outlineLevel="0" collapsed="false">
      <c r="B69" s="405" t="n">
        <f aca="false">'Revenues &amp; Expenses'!K69</f>
        <v>38412</v>
      </c>
      <c r="C69" s="406" t="n">
        <f aca="false">PJM_01212000!C98</f>
        <v>27.0500007629395</v>
      </c>
      <c r="D69" s="407" t="n">
        <f aca="false">PJM_01212000!X69</f>
        <v>0.14294016</v>
      </c>
      <c r="E69" s="407" t="n">
        <f aca="false">VLOOKUP(B69,'Revenues &amp; Expenses'!$K$8:$N$258,2)</f>
        <v>0.073307141266274</v>
      </c>
      <c r="F69" s="408" t="n">
        <f aca="false">VLOOKUP(B69,'Revenues &amp; Expenses'!$K$8:$N$246,4)</f>
        <v>0.692109976456308</v>
      </c>
      <c r="G69" s="376" t="n">
        <f aca="false">(B69-$B$1)/365.25</f>
        <v>4.99110198494182</v>
      </c>
      <c r="H69" s="376" t="n">
        <f aca="false">SQRT(G69)</f>
        <v>2.23407743485803</v>
      </c>
      <c r="I69" s="376" t="n">
        <f aca="false">IF($I$2=0,0,-(D69^2)/2)</f>
        <v>0</v>
      </c>
      <c r="J69" s="409" t="n">
        <f aca="false">C69*EXP(I69*G69+D69*$I$2*H69)</f>
        <v>27.0500007629395</v>
      </c>
      <c r="L69" s="395"/>
      <c r="M69" s="395"/>
    </row>
    <row r="70" customFormat="false" ht="15.75" hidden="false" customHeight="false" outlineLevel="0" collapsed="false">
      <c r="B70" s="405" t="n">
        <f aca="false">'Revenues &amp; Expenses'!K70</f>
        <v>38443</v>
      </c>
      <c r="C70" s="406" t="n">
        <f aca="false">PJM_01212000!C99</f>
        <v>26.8250007629395</v>
      </c>
      <c r="D70" s="407" t="n">
        <f aca="false">PJM_01212000!X70</f>
        <v>0.135793152</v>
      </c>
      <c r="E70" s="407" t="n">
        <f aca="false">VLOOKUP(B70,'Revenues &amp; Expenses'!$K$8:$N$258,2)</f>
        <v>0.073338081657494</v>
      </c>
      <c r="F70" s="408" t="n">
        <f aca="false">VLOOKUP(B70,'Revenues &amp; Expenses'!$K$8:$N$246,4)</f>
        <v>0.687787046266005</v>
      </c>
      <c r="G70" s="376" t="n">
        <f aca="false">(B70-$B$1)/365.25</f>
        <v>5.07597535934292</v>
      </c>
      <c r="H70" s="376" t="n">
        <f aca="false">SQRT(G70)</f>
        <v>2.25299253424039</v>
      </c>
      <c r="I70" s="376" t="n">
        <f aca="false">IF($I$2=0,0,-(D70^2)/2)</f>
        <v>0</v>
      </c>
      <c r="J70" s="409" t="n">
        <f aca="false">C70*EXP(I70*G70+D70*$I$2*H70)</f>
        <v>26.8250007629395</v>
      </c>
      <c r="L70" s="395"/>
      <c r="M70" s="395"/>
    </row>
    <row r="71" customFormat="false" ht="15.75" hidden="false" customHeight="false" outlineLevel="0" collapsed="false">
      <c r="B71" s="405" t="n">
        <f aca="false">'Revenues &amp; Expenses'!K71</f>
        <v>38473</v>
      </c>
      <c r="C71" s="406" t="n">
        <f aca="false">PJM_01212000!C100</f>
        <v>31.825</v>
      </c>
      <c r="D71" s="407" t="n">
        <f aca="false">PJM_01212000!X71</f>
        <v>0.150087168</v>
      </c>
      <c r="E71" s="407" t="n">
        <f aca="false">VLOOKUP(B71,'Revenues &amp; Expenses'!$K$8:$N$258,2)</f>
        <v>0.073361543991021</v>
      </c>
      <c r="F71" s="408" t="n">
        <f aca="false">VLOOKUP(B71,'Revenues &amp; Expenses'!$K$8:$N$246,4)</f>
        <v>0.683648536096482</v>
      </c>
      <c r="G71" s="376" t="n">
        <f aca="false">(B71-$B$1)/365.25</f>
        <v>5.15811088295688</v>
      </c>
      <c r="H71" s="376" t="n">
        <f aca="false">SQRT(G71)</f>
        <v>2.27114748155131</v>
      </c>
      <c r="I71" s="376" t="n">
        <f aca="false">IF($I$2=0,0,-(D71^2)/2)</f>
        <v>0</v>
      </c>
      <c r="J71" s="409" t="n">
        <f aca="false">C71*EXP(I71*G71+D71*$I$2*H71)</f>
        <v>31.825</v>
      </c>
      <c r="L71" s="395"/>
      <c r="M71" s="395"/>
    </row>
    <row r="72" customFormat="false" ht="15.75" hidden="false" customHeight="false" outlineLevel="0" collapsed="false">
      <c r="B72" s="405" t="n">
        <f aca="false">'Revenues &amp; Expenses'!K72</f>
        <v>38504</v>
      </c>
      <c r="C72" s="406" t="n">
        <f aca="false">PJM_01212000!C101</f>
        <v>56.3499984741211</v>
      </c>
      <c r="D72" s="407" t="n">
        <f aca="false">PJM_01212000!X72</f>
        <v>0.192969216</v>
      </c>
      <c r="E72" s="407" t="n">
        <f aca="false">VLOOKUP(B72,'Revenues &amp; Expenses'!$K$8:$N$258,2)</f>
        <v>0.073385788402523</v>
      </c>
      <c r="F72" s="408" t="n">
        <f aca="false">VLOOKUP(B72,'Revenues &amp; Expenses'!$K$8:$N$246,4)</f>
        <v>0.679395582160185</v>
      </c>
      <c r="G72" s="376" t="n">
        <f aca="false">(B72-$B$1)/365.25</f>
        <v>5.24298425735797</v>
      </c>
      <c r="H72" s="376" t="n">
        <f aca="false">SQRT(G72)</f>
        <v>2.28975637511024</v>
      </c>
      <c r="I72" s="376" t="n">
        <f aca="false">IF($I$2=0,0,-(D72^2)/2)</f>
        <v>0</v>
      </c>
      <c r="J72" s="409" t="n">
        <f aca="false">C72*EXP(I72*G72+D72*$I$2*H72)</f>
        <v>56.3499984741211</v>
      </c>
      <c r="L72" s="395"/>
      <c r="M72" s="395"/>
    </row>
    <row r="73" customFormat="false" ht="15.75" hidden="false" customHeight="false" outlineLevel="0" collapsed="false">
      <c r="B73" s="405" t="n">
        <f aca="false">'Revenues &amp; Expenses'!K73</f>
        <v>38534</v>
      </c>
      <c r="C73" s="406" t="n">
        <f aca="false">PJM_01212000!C102</f>
        <v>95.6999969482422</v>
      </c>
      <c r="D73" s="407" t="n">
        <f aca="false">PJM_01212000!X73</f>
        <v>0.235851264</v>
      </c>
      <c r="E73" s="407" t="n">
        <f aca="false">VLOOKUP(B73,'Revenues &amp; Expenses'!$K$8:$N$258,2)</f>
        <v>0.073409250736419</v>
      </c>
      <c r="F73" s="408" t="n">
        <f aca="false">VLOOKUP(B73,'Revenues &amp; Expenses'!$K$8:$N$246,4)</f>
        <v>0.675302461495294</v>
      </c>
      <c r="G73" s="376" t="n">
        <f aca="false">(B73-$B$1)/365.25</f>
        <v>5.32511978097194</v>
      </c>
      <c r="H73" s="376" t="n">
        <f aca="false">SQRT(G73)</f>
        <v>2.30762210532226</v>
      </c>
      <c r="I73" s="376" t="n">
        <f aca="false">IF($I$2=0,0,-(D73^2)/2)</f>
        <v>0</v>
      </c>
      <c r="J73" s="409" t="n">
        <f aca="false">C73*EXP(I73*G73+D73*$I$2*H73)</f>
        <v>95.6999969482422</v>
      </c>
      <c r="L73" s="395"/>
      <c r="M73" s="395"/>
    </row>
    <row r="74" customFormat="false" ht="15.75" hidden="false" customHeight="false" outlineLevel="0" collapsed="false">
      <c r="B74" s="405" t="n">
        <f aca="false">'Revenues &amp; Expenses'!K74</f>
        <v>38565</v>
      </c>
      <c r="C74" s="406" t="n">
        <f aca="false">PJM_01212000!C103</f>
        <v>82.6999969482422</v>
      </c>
      <c r="D74" s="407" t="n">
        <f aca="false">PJM_01212000!X74</f>
        <v>0.235851264</v>
      </c>
      <c r="E74" s="407" t="n">
        <f aca="false">VLOOKUP(B74,'Revenues &amp; Expenses'!$K$8:$N$258,2)</f>
        <v>0.073433495148302</v>
      </c>
      <c r="F74" s="408" t="n">
        <f aca="false">VLOOKUP(B74,'Revenues &amp; Expenses'!$K$8:$N$246,4)</f>
        <v>0.67109618793239</v>
      </c>
      <c r="G74" s="376" t="n">
        <f aca="false">(B74-$B$1)/365.25</f>
        <v>5.40999315537303</v>
      </c>
      <c r="H74" s="376" t="n">
        <f aca="false">SQRT(G74)</f>
        <v>2.32593919855465</v>
      </c>
      <c r="I74" s="376" t="n">
        <f aca="false">IF($I$2=0,0,-(D74^2)/2)</f>
        <v>0</v>
      </c>
      <c r="J74" s="409" t="n">
        <f aca="false">C74*EXP(I74*G74+D74*$I$2*H74)</f>
        <v>82.6999969482422</v>
      </c>
      <c r="L74" s="395"/>
      <c r="M74" s="395"/>
    </row>
    <row r="75" customFormat="false" ht="15.75" hidden="false" customHeight="false" outlineLevel="0" collapsed="false">
      <c r="B75" s="405" t="n">
        <f aca="false">'Revenues &amp; Expenses'!K75</f>
        <v>38596</v>
      </c>
      <c r="C75" s="406" t="n">
        <f aca="false">PJM_01212000!C104</f>
        <v>33.9249984741211</v>
      </c>
      <c r="D75" s="407" t="n">
        <f aca="false">PJM_01212000!X75</f>
        <v>0.1516032</v>
      </c>
      <c r="E75" s="407" t="n">
        <f aca="false">VLOOKUP(B75,'Revenues &amp; Expenses'!$K$8:$N$258,2)</f>
        <v>0.07345773956038</v>
      </c>
      <c r="F75" s="408" t="n">
        <f aca="false">VLOOKUP(B75,'Revenues &amp; Expenses'!$K$8:$N$246,4)</f>
        <v>0.666913467677035</v>
      </c>
      <c r="G75" s="376" t="n">
        <f aca="false">(B75-$B$1)/365.25</f>
        <v>5.49486652977413</v>
      </c>
      <c r="H75" s="376" t="n">
        <f aca="false">SQRT(G75)</f>
        <v>2.34411316488222</v>
      </c>
      <c r="I75" s="376" t="n">
        <f aca="false">IF($I$2=0,0,-(D75^2)/2)</f>
        <v>0</v>
      </c>
      <c r="J75" s="409" t="n">
        <f aca="false">C75*EXP(I75*G75+D75*$I$2*H75)</f>
        <v>33.9249984741211</v>
      </c>
      <c r="L75" s="395"/>
      <c r="M75" s="395"/>
    </row>
    <row r="76" customFormat="false" ht="15.75" hidden="false" customHeight="false" outlineLevel="0" collapsed="false">
      <c r="B76" s="405" t="n">
        <f aca="false">'Revenues &amp; Expenses'!K76</f>
        <v>38626</v>
      </c>
      <c r="C76" s="406" t="n">
        <f aca="false">PJM_01212000!C105</f>
        <v>27.5750003814697</v>
      </c>
      <c r="D76" s="407" t="n">
        <f aca="false">PJM_01212000!X76</f>
        <v>0.10720512</v>
      </c>
      <c r="E76" s="407" t="n">
        <f aca="false">VLOOKUP(B76,'Revenues &amp; Expenses'!$K$8:$N$258,2)</f>
        <v>0.073481201894833</v>
      </c>
      <c r="F76" s="408" t="n">
        <f aca="false">VLOOKUP(B76,'Revenues &amp; Expenses'!$K$8:$N$246,4)</f>
        <v>0.662887992706444</v>
      </c>
      <c r="G76" s="376" t="n">
        <f aca="false">(B76-$B$1)/365.25</f>
        <v>5.57700205338809</v>
      </c>
      <c r="H76" s="376" t="n">
        <f aca="false">SQRT(G76)</f>
        <v>2.36156771094714</v>
      </c>
      <c r="I76" s="376" t="n">
        <f aca="false">IF($I$2=0,0,-(D76^2)/2)</f>
        <v>0</v>
      </c>
      <c r="J76" s="409" t="n">
        <f aca="false">C76*EXP(I76*G76+D76*$I$2*H76)</f>
        <v>27.5750003814697</v>
      </c>
      <c r="L76" s="395"/>
      <c r="M76" s="395"/>
    </row>
    <row r="77" customFormat="false" ht="15.75" hidden="false" customHeight="false" outlineLevel="0" collapsed="false">
      <c r="B77" s="405" t="n">
        <f aca="false">'Revenues &amp; Expenses'!K77</f>
        <v>38657</v>
      </c>
      <c r="C77" s="406" t="n">
        <f aca="false">PJM_01212000!C106</f>
        <v>27.2474990844727</v>
      </c>
      <c r="D77" s="407" t="n">
        <f aca="false">PJM_01212000!X77</f>
        <v>0.10720512</v>
      </c>
      <c r="E77" s="407" t="n">
        <f aca="false">VLOOKUP(B77,'Revenues &amp; Expenses'!$K$8:$N$258,2)</f>
        <v>0.073505446307292</v>
      </c>
      <c r="F77" s="408" t="n">
        <f aca="false">VLOOKUP(B77,'Revenues &amp; Expenses'!$K$8:$N$246,4)</f>
        <v>0.658751287807599</v>
      </c>
      <c r="G77" s="376" t="n">
        <f aca="false">(B77-$B$1)/365.25</f>
        <v>5.66187542778919</v>
      </c>
      <c r="H77" s="376" t="n">
        <f aca="false">SQRT(G77)</f>
        <v>2.37946956857809</v>
      </c>
      <c r="I77" s="376" t="n">
        <f aca="false">IF($I$2=0,0,-(D77^2)/2)</f>
        <v>0</v>
      </c>
      <c r="J77" s="409" t="n">
        <f aca="false">C77*EXP(I77*G77+D77*$I$2*H77)</f>
        <v>27.2474990844727</v>
      </c>
      <c r="L77" s="395"/>
      <c r="M77" s="395"/>
    </row>
    <row r="78" customFormat="false" ht="15.75" hidden="false" customHeight="false" outlineLevel="0" collapsed="false">
      <c r="B78" s="405" t="n">
        <f aca="false">'Revenues &amp; Expenses'!K78</f>
        <v>38687</v>
      </c>
      <c r="C78" s="406" t="n">
        <f aca="false">PJM_01212000!C107</f>
        <v>28.9999996185303</v>
      </c>
      <c r="D78" s="407" t="n">
        <f aca="false">PJM_01212000!X78</f>
        <v>0.10720512</v>
      </c>
      <c r="E78" s="407" t="n">
        <f aca="false">VLOOKUP(B78,'Revenues &amp; Expenses'!$K$8:$N$258,2)</f>
        <v>0.073528908642115</v>
      </c>
      <c r="F78" s="408" t="n">
        <f aca="false">VLOOKUP(B78,'Revenues &amp; Expenses'!$K$8:$N$246,4)</f>
        <v>0.654770132060224</v>
      </c>
      <c r="G78" s="376" t="n">
        <f aca="false">(B78-$B$1)/365.25</f>
        <v>5.74401095140315</v>
      </c>
      <c r="H78" s="376" t="n">
        <f aca="false">SQRT(G78)</f>
        <v>2.3966666333479</v>
      </c>
      <c r="I78" s="376" t="n">
        <f aca="false">IF($I$2=0,0,-(D78^2)/2)</f>
        <v>0</v>
      </c>
      <c r="J78" s="409" t="n">
        <f aca="false">C78*EXP(I78*G78+D78*$I$2*H78)</f>
        <v>28.9999996185303</v>
      </c>
      <c r="L78" s="395"/>
      <c r="M78" s="395"/>
    </row>
    <row r="79" customFormat="false" ht="15.75" hidden="false" customHeight="false" outlineLevel="0" collapsed="false">
      <c r="B79" s="405" t="n">
        <f aca="false">'Revenues &amp; Expenses'!K79</f>
        <v>38718</v>
      </c>
      <c r="C79" s="406" t="n">
        <f aca="false">PJM_01212000!C108</f>
        <v>37.8249984741211</v>
      </c>
      <c r="D79" s="407" t="n">
        <f aca="false">PJM_01212000!X79</f>
        <v>0.16466706432</v>
      </c>
      <c r="E79" s="407" t="n">
        <f aca="false">VLOOKUP(B79,'Revenues &amp; Expenses'!$K$8:$N$258,2)</f>
        <v>0.073553153054956</v>
      </c>
      <c r="F79" s="408" t="n">
        <f aca="false">VLOOKUP(B79,'Revenues &amp; Expenses'!$K$8:$N$246,4)</f>
        <v>0.650679005686506</v>
      </c>
      <c r="G79" s="376" t="n">
        <f aca="false">(B79-$B$1)/365.25</f>
        <v>5.82888432580424</v>
      </c>
      <c r="H79" s="376" t="n">
        <f aca="false">SQRT(G79)</f>
        <v>2.41430824995572</v>
      </c>
      <c r="I79" s="376" t="n">
        <f aca="false">IF($I$2=0,0,-(D79^2)/2)</f>
        <v>0</v>
      </c>
      <c r="J79" s="409" t="n">
        <f aca="false">C79*EXP(I79*G79+D79*$I$2*H79)</f>
        <v>37.8249984741211</v>
      </c>
      <c r="L79" s="395"/>
      <c r="M79" s="395"/>
    </row>
    <row r="80" customFormat="false" ht="15.75" hidden="false" customHeight="false" outlineLevel="0" collapsed="false">
      <c r="B80" s="405" t="n">
        <f aca="false">'Revenues &amp; Expenses'!K80</f>
        <v>38749</v>
      </c>
      <c r="C80" s="406" t="n">
        <f aca="false">PJM_01212000!C109</f>
        <v>37.8249984741211</v>
      </c>
      <c r="D80" s="407" t="n">
        <f aca="false">PJM_01212000!X80</f>
        <v>0.16466706432</v>
      </c>
      <c r="E80" s="407" t="n">
        <f aca="false">VLOOKUP(B80,'Revenues &amp; Expenses'!$K$8:$N$258,2)</f>
        <v>0.073577397468</v>
      </c>
      <c r="F80" s="408" t="n">
        <f aca="false">VLOOKUP(B80,'Revenues &amp; Expenses'!$K$8:$N$246,4)</f>
        <v>0.646610875806786</v>
      </c>
      <c r="G80" s="376" t="n">
        <f aca="false">(B80-$B$1)/365.25</f>
        <v>5.91375770020534</v>
      </c>
      <c r="H80" s="376" t="n">
        <f aca="false">SQRT(G80)</f>
        <v>2.43182188907933</v>
      </c>
      <c r="I80" s="376" t="n">
        <f aca="false">IF($I$2=0,0,-(D80^2)/2)</f>
        <v>0</v>
      </c>
      <c r="J80" s="409" t="n">
        <f aca="false">C80*EXP(I80*G80+D80*$I$2*H80)</f>
        <v>37.8249984741211</v>
      </c>
      <c r="L80" s="395"/>
      <c r="M80" s="395"/>
    </row>
    <row r="81" customFormat="false" ht="15.75" hidden="false" customHeight="false" outlineLevel="0" collapsed="false">
      <c r="B81" s="405" t="n">
        <f aca="false">'Revenues &amp; Expenses'!K81</f>
        <v>38777</v>
      </c>
      <c r="C81" s="406" t="n">
        <f aca="false">PJM_01212000!C110</f>
        <v>27.5500007629395</v>
      </c>
      <c r="D81" s="407" t="n">
        <f aca="false">PJM_01212000!X81</f>
        <v>0.1372225536</v>
      </c>
      <c r="E81" s="407" t="n">
        <f aca="false">VLOOKUP(B81,'Revenues &amp; Expenses'!$K$8:$N$258,2)</f>
        <v>0.073599295647674</v>
      </c>
      <c r="F81" s="408" t="n">
        <f aca="false">VLOOKUP(B81,'Revenues &amp; Expenses'!$K$8:$N$246,4)</f>
        <v>0.642956109097138</v>
      </c>
      <c r="G81" s="376" t="n">
        <f aca="false">(B81-$B$1)/365.25</f>
        <v>5.99041752224504</v>
      </c>
      <c r="H81" s="376" t="n">
        <f aca="false">SQRT(G81)</f>
        <v>2.44753294610002</v>
      </c>
      <c r="I81" s="376" t="n">
        <f aca="false">IF($I$2=0,0,-(D81^2)/2)</f>
        <v>0</v>
      </c>
      <c r="J81" s="409" t="n">
        <f aca="false">C81*EXP(I81*G81+D81*$I$2*H81)</f>
        <v>27.5500007629395</v>
      </c>
      <c r="L81" s="395"/>
      <c r="M81" s="395"/>
    </row>
    <row r="82" customFormat="false" ht="15.75" hidden="false" customHeight="false" outlineLevel="0" collapsed="false">
      <c r="B82" s="405" t="n">
        <f aca="false">'Revenues &amp; Expenses'!K82</f>
        <v>38808</v>
      </c>
      <c r="C82" s="406" t="n">
        <f aca="false">PJM_01212000!C111</f>
        <v>27.3250007629395</v>
      </c>
      <c r="D82" s="407" t="n">
        <f aca="false">PJM_01212000!X82</f>
        <v>0.13036142592</v>
      </c>
      <c r="E82" s="407" t="n">
        <f aca="false">VLOOKUP(B82,'Revenues &amp; Expenses'!$K$8:$N$258,2)</f>
        <v>0.073623540061079</v>
      </c>
      <c r="F82" s="408" t="n">
        <f aca="false">VLOOKUP(B82,'Revenues &amp; Expenses'!$K$8:$N$246,4)</f>
        <v>0.6389314389068</v>
      </c>
      <c r="G82" s="376" t="n">
        <f aca="false">(B82-$B$1)/365.25</f>
        <v>6.07529089664613</v>
      </c>
      <c r="H82" s="376" t="n">
        <f aca="false">SQRT(G82)</f>
        <v>2.46481051942054</v>
      </c>
      <c r="I82" s="376" t="n">
        <f aca="false">IF($I$2=0,0,-(D82^2)/2)</f>
        <v>0</v>
      </c>
      <c r="J82" s="409" t="n">
        <f aca="false">C82*EXP(I82*G82+D82*$I$2*H82)</f>
        <v>27.3250007629395</v>
      </c>
      <c r="L82" s="395"/>
      <c r="M82" s="395"/>
    </row>
    <row r="83" customFormat="false" ht="15.75" hidden="false" customHeight="false" outlineLevel="0" collapsed="false">
      <c r="B83" s="405" t="n">
        <f aca="false">'Revenues &amp; Expenses'!K83</f>
        <v>38838</v>
      </c>
      <c r="C83" s="406" t="n">
        <f aca="false">PJM_01212000!C112</f>
        <v>32.575</v>
      </c>
      <c r="D83" s="407" t="n">
        <f aca="false">PJM_01212000!X83</f>
        <v>0.14408368128</v>
      </c>
      <c r="E83" s="407" t="n">
        <f aca="false">VLOOKUP(B83,'Revenues &amp; Expenses'!$K$8:$N$258,2)</f>
        <v>0.073647002396816</v>
      </c>
      <c r="F83" s="408" t="n">
        <f aca="false">VLOOKUP(B83,'Revenues &amp; Expenses'!$K$8:$N$246,4)</f>
        <v>0.635058186407129</v>
      </c>
      <c r="G83" s="376" t="n">
        <f aca="false">(B83-$B$1)/365.25</f>
        <v>6.1574264202601</v>
      </c>
      <c r="H83" s="376" t="n">
        <f aca="false">SQRT(G83)</f>
        <v>2.48141621262135</v>
      </c>
      <c r="I83" s="376" t="n">
        <f aca="false">IF($I$2=0,0,-(D83^2)/2)</f>
        <v>0</v>
      </c>
      <c r="J83" s="409" t="n">
        <f aca="false">C83*EXP(I83*G83+D83*$I$2*H83)</f>
        <v>32.575</v>
      </c>
      <c r="L83" s="395"/>
      <c r="M83" s="395"/>
    </row>
    <row r="84" customFormat="false" ht="15.75" hidden="false" customHeight="false" outlineLevel="0" collapsed="false">
      <c r="B84" s="405" t="n">
        <f aca="false">'Revenues &amp; Expenses'!K84</f>
        <v>38869</v>
      </c>
      <c r="C84" s="406" t="n">
        <f aca="false">PJM_01212000!C113</f>
        <v>57.3499984741211</v>
      </c>
      <c r="D84" s="407" t="n">
        <f aca="false">PJM_01212000!X84</f>
        <v>0.18525044736</v>
      </c>
      <c r="E84" s="407" t="n">
        <f aca="false">VLOOKUP(B84,'Revenues &amp; Expenses'!$K$8:$N$258,2)</f>
        <v>0.073671246810602</v>
      </c>
      <c r="F84" s="408" t="n">
        <f aca="false">VLOOKUP(B84,'Revenues &amp; Expenses'!$K$8:$N$246,4)</f>
        <v>0.631078027386403</v>
      </c>
      <c r="G84" s="376" t="n">
        <f aca="false">(B84-$B$1)/365.25</f>
        <v>6.24229979466119</v>
      </c>
      <c r="H84" s="376" t="n">
        <f aca="false">SQRT(G84)</f>
        <v>2.49845948429451</v>
      </c>
      <c r="I84" s="376" t="n">
        <f aca="false">IF($I$2=0,0,-(D84^2)/2)</f>
        <v>0</v>
      </c>
      <c r="J84" s="409" t="n">
        <f aca="false">C84*EXP(I84*G84+D84*$I$2*H84)</f>
        <v>57.3499984741211</v>
      </c>
      <c r="L84" s="395"/>
      <c r="M84" s="395"/>
    </row>
    <row r="85" customFormat="false" ht="15.75" hidden="false" customHeight="false" outlineLevel="0" collapsed="false">
      <c r="B85" s="405" t="n">
        <f aca="false">'Revenues &amp; Expenses'!K85</f>
        <v>38899</v>
      </c>
      <c r="C85" s="406" t="n">
        <f aca="false">PJM_01212000!C114</f>
        <v>97.9499969482422</v>
      </c>
      <c r="D85" s="407" t="n">
        <f aca="false">PJM_01212000!X85</f>
        <v>0.22641721344</v>
      </c>
      <c r="E85" s="407" t="n">
        <f aca="false">VLOOKUP(B85,'Revenues &amp; Expenses'!$K$8:$N$258,2)</f>
        <v>0.073694709146709</v>
      </c>
      <c r="F85" s="408" t="n">
        <f aca="false">VLOOKUP(B85,'Revenues &amp; Expenses'!$K$8:$N$246,4)</f>
        <v>0.627247643899929</v>
      </c>
      <c r="G85" s="376" t="n">
        <f aca="false">(B85-$B$1)/365.25</f>
        <v>6.32443531827515</v>
      </c>
      <c r="H85" s="376" t="n">
        <f aca="false">SQRT(G85)</f>
        <v>2.51484300072095</v>
      </c>
      <c r="I85" s="376" t="n">
        <f aca="false">IF($I$2=0,0,-(D85^2)/2)</f>
        <v>0</v>
      </c>
      <c r="J85" s="409" t="n">
        <f aca="false">C85*EXP(I85*G85+D85*$I$2*H85)</f>
        <v>97.9499969482422</v>
      </c>
      <c r="L85" s="395"/>
      <c r="M85" s="395"/>
    </row>
    <row r="86" customFormat="false" ht="15.75" hidden="false" customHeight="false" outlineLevel="0" collapsed="false">
      <c r="B86" s="405" t="n">
        <f aca="false">'Revenues &amp; Expenses'!K86</f>
        <v>38930</v>
      </c>
      <c r="C86" s="406" t="n">
        <f aca="false">PJM_01212000!C115</f>
        <v>84.9499969482422</v>
      </c>
      <c r="D86" s="407" t="n">
        <f aca="false">PJM_01212000!X86</f>
        <v>0.22641721344</v>
      </c>
      <c r="E86" s="407" t="n">
        <f aca="false">VLOOKUP(B86,'Revenues &amp; Expenses'!$K$8:$N$258,2)</f>
        <v>0.073718953560877</v>
      </c>
      <c r="F86" s="408" t="n">
        <f aca="false">VLOOKUP(B86,'Revenues &amp; Expenses'!$K$8:$N$246,4)</f>
        <v>0.623311570478852</v>
      </c>
      <c r="G86" s="376" t="n">
        <f aca="false">(B86-$B$1)/365.25</f>
        <v>6.40930869267625</v>
      </c>
      <c r="H86" s="376" t="n">
        <f aca="false">SQRT(G86)</f>
        <v>2.53166125156512</v>
      </c>
      <c r="I86" s="376" t="n">
        <f aca="false">IF($I$2=0,0,-(D86^2)/2)</f>
        <v>0</v>
      </c>
      <c r="J86" s="409" t="n">
        <f aca="false">C86*EXP(I86*G86+D86*$I$2*H86)</f>
        <v>84.9499969482422</v>
      </c>
      <c r="L86" s="395"/>
      <c r="M86" s="395"/>
    </row>
    <row r="87" customFormat="false" ht="15.75" hidden="false" customHeight="false" outlineLevel="0" collapsed="false">
      <c r="B87" s="405" t="n">
        <f aca="false">'Revenues &amp; Expenses'!K87</f>
        <v>38961</v>
      </c>
      <c r="C87" s="406" t="n">
        <f aca="false">PJM_01212000!C116</f>
        <v>34.4249984741211</v>
      </c>
      <c r="D87" s="407" t="n">
        <f aca="false">PJM_01212000!X87</f>
        <v>0.145539072</v>
      </c>
      <c r="E87" s="407" t="n">
        <f aca="false">VLOOKUP(B87,'Revenues &amp; Expenses'!$K$8:$N$258,2)</f>
        <v>0.073743197975239</v>
      </c>
      <c r="F87" s="408" t="n">
        <f aca="false">VLOOKUP(B87,'Revenues &amp; Expenses'!$K$8:$N$246,4)</f>
        <v>0.619397739152776</v>
      </c>
      <c r="G87" s="376" t="n">
        <f aca="false">(B87-$B$1)/365.25</f>
        <v>6.49418206707734</v>
      </c>
      <c r="H87" s="376" t="n">
        <f aca="false">SQRT(G87)</f>
        <v>2.54836851084715</v>
      </c>
      <c r="I87" s="376" t="n">
        <f aca="false">IF($I$2=0,0,-(D87^2)/2)</f>
        <v>0</v>
      </c>
      <c r="J87" s="409" t="n">
        <f aca="false">C87*EXP(I87*G87+D87*$I$2*H87)</f>
        <v>34.4249984741211</v>
      </c>
      <c r="L87" s="395"/>
      <c r="M87" s="395"/>
    </row>
    <row r="88" customFormat="false" ht="15.75" hidden="false" customHeight="false" outlineLevel="0" collapsed="false">
      <c r="B88" s="405" t="n">
        <f aca="false">'Revenues &amp; Expenses'!K88</f>
        <v>38991</v>
      </c>
      <c r="C88" s="406" t="n">
        <f aca="false">PJM_01212000!C117</f>
        <v>28.0750003814697</v>
      </c>
      <c r="D88" s="407" t="n">
        <f aca="false">PJM_01212000!X88</f>
        <v>0.1029169152</v>
      </c>
      <c r="E88" s="407" t="n">
        <f aca="false">VLOOKUP(B88,'Revenues &amp; Expenses'!$K$8:$N$258,2)</f>
        <v>0.073766660311903</v>
      </c>
      <c r="F88" s="408" t="n">
        <f aca="false">VLOOKUP(B88,'Revenues &amp; Expenses'!$K$8:$N$246,4)</f>
        <v>0.615631235537524</v>
      </c>
      <c r="G88" s="376" t="n">
        <f aca="false">(B88-$B$1)/365.25</f>
        <v>6.57631759069131</v>
      </c>
      <c r="H88" s="376" t="n">
        <f aca="false">SQRT(G88)</f>
        <v>2.56443319091984</v>
      </c>
      <c r="I88" s="376" t="n">
        <f aca="false">IF($I$2=0,0,-(D88^2)/2)</f>
        <v>0</v>
      </c>
      <c r="J88" s="409" t="n">
        <f aca="false">C88*EXP(I88*G88+D88*$I$2*H88)</f>
        <v>28.0750003814697</v>
      </c>
      <c r="L88" s="395"/>
      <c r="M88" s="395"/>
    </row>
    <row r="89" customFormat="false" ht="15.75" hidden="false" customHeight="false" outlineLevel="0" collapsed="false">
      <c r="B89" s="405" t="n">
        <f aca="false">'Revenues &amp; Expenses'!K89</f>
        <v>39022</v>
      </c>
      <c r="C89" s="406" t="n">
        <f aca="false">PJM_01212000!C118</f>
        <v>27.7474990844727</v>
      </c>
      <c r="D89" s="407" t="n">
        <f aca="false">PJM_01212000!X89</f>
        <v>0.1029169152</v>
      </c>
      <c r="E89" s="407" t="n">
        <f aca="false">VLOOKUP(B89,'Revenues &amp; Expenses'!$K$8:$N$258,2)</f>
        <v>0.073790904726647</v>
      </c>
      <c r="F89" s="408" t="n">
        <f aca="false">VLOOKUP(B89,'Revenues &amp; Expenses'!$K$8:$N$246,4)</f>
        <v>0.611760854035467</v>
      </c>
      <c r="G89" s="376" t="n">
        <f aca="false">(B89-$B$1)/365.25</f>
        <v>6.6611909650924</v>
      </c>
      <c r="H89" s="376" t="n">
        <f aca="false">SQRT(G89)</f>
        <v>2.58092831459775</v>
      </c>
      <c r="I89" s="376" t="n">
        <f aca="false">IF($I$2=0,0,-(D89^2)/2)</f>
        <v>0</v>
      </c>
      <c r="J89" s="409" t="n">
        <f aca="false">C89*EXP(I89*G89+D89*$I$2*H89)</f>
        <v>27.7474990844727</v>
      </c>
      <c r="L89" s="395"/>
      <c r="M89" s="395"/>
    </row>
    <row r="90" customFormat="false" ht="15.75" hidden="false" customHeight="false" outlineLevel="0" collapsed="false">
      <c r="B90" s="405" t="n">
        <f aca="false">'Revenues &amp; Expenses'!K90</f>
        <v>39052</v>
      </c>
      <c r="C90" s="406" t="n">
        <f aca="false">PJM_01212000!C119</f>
        <v>29.4999996185303</v>
      </c>
      <c r="D90" s="407" t="n">
        <f aca="false">PJM_01212000!X90</f>
        <v>0.1029169152</v>
      </c>
      <c r="E90" s="407" t="n">
        <f aca="false">VLOOKUP(B90,'Revenues &amp; Expenses'!$K$8:$N$258,2)</f>
        <v>0.07381436706368</v>
      </c>
      <c r="F90" s="408" t="n">
        <f aca="false">VLOOKUP(B90,'Revenues &amp; Expenses'!$K$8:$N$246,4)</f>
        <v>0.608036196212576</v>
      </c>
      <c r="G90" s="376" t="n">
        <f aca="false">(B90-$B$1)/365.25</f>
        <v>6.74332648870637</v>
      </c>
      <c r="H90" s="376" t="n">
        <f aca="false">SQRT(G90)</f>
        <v>2.59679157590793</v>
      </c>
      <c r="I90" s="376" t="n">
        <f aca="false">IF($I$2=0,0,-(D90^2)/2)</f>
        <v>0</v>
      </c>
      <c r="J90" s="409" t="n">
        <f aca="false">C90*EXP(I90*G90+D90*$I$2*H90)</f>
        <v>29.4999996185303</v>
      </c>
      <c r="L90" s="395"/>
      <c r="M90" s="395"/>
    </row>
    <row r="91" customFormat="false" ht="15.75" hidden="false" customHeight="false" outlineLevel="0" collapsed="false">
      <c r="B91" s="405" t="n">
        <f aca="false">'Revenues &amp; Expenses'!K91</f>
        <v>39083</v>
      </c>
      <c r="C91" s="406" t="n">
        <f aca="false">PJM_01212000!C120</f>
        <v>38.3249984741211</v>
      </c>
      <c r="D91" s="407" t="n">
        <f aca="false">PJM_01212000!X91</f>
        <v>0.1580803817472</v>
      </c>
      <c r="E91" s="407" t="n">
        <f aca="false">VLOOKUP(B91,'Revenues &amp; Expenses'!$K$8:$N$258,2)</f>
        <v>0.073838611478806</v>
      </c>
      <c r="F91" s="408" t="n">
        <f aca="false">VLOOKUP(B91,'Revenues &amp; Expenses'!$K$8:$N$246,4)</f>
        <v>0.604208846990776</v>
      </c>
      <c r="G91" s="376" t="n">
        <f aca="false">(B91-$B$1)/365.25</f>
        <v>6.82819986310746</v>
      </c>
      <c r="H91" s="376" t="n">
        <f aca="false">SQRT(G91)</f>
        <v>2.61308244475896</v>
      </c>
      <c r="I91" s="376" t="n">
        <f aca="false">IF($I$2=0,0,-(D91^2)/2)</f>
        <v>0</v>
      </c>
      <c r="J91" s="409" t="n">
        <f aca="false">C91*EXP(I91*G91+D91*$I$2*H91)</f>
        <v>38.3249984741211</v>
      </c>
      <c r="L91" s="395"/>
      <c r="M91" s="395"/>
    </row>
    <row r="92" customFormat="false" ht="15.75" hidden="false" customHeight="false" outlineLevel="0" collapsed="false">
      <c r="B92" s="405" t="n">
        <f aca="false">'Revenues &amp; Expenses'!K92</f>
        <v>39114</v>
      </c>
      <c r="C92" s="406" t="n">
        <f aca="false">PJM_01212000!C121</f>
        <v>38.3249984741211</v>
      </c>
      <c r="D92" s="407" t="n">
        <f aca="false">PJM_01212000!X92</f>
        <v>0.1580803817472</v>
      </c>
      <c r="E92" s="407" t="n">
        <f aca="false">VLOOKUP(B92,'Revenues &amp; Expenses'!$K$8:$N$258,2)</f>
        <v>0.073862855894125</v>
      </c>
      <c r="F92" s="408" t="n">
        <f aca="false">VLOOKUP(B92,'Revenues &amp; Expenses'!$K$8:$N$246,4)</f>
        <v>0.600403207635447</v>
      </c>
      <c r="G92" s="376" t="n">
        <f aca="false">(B92-$B$1)/365.25</f>
        <v>6.91307323750856</v>
      </c>
      <c r="H92" s="376" t="n">
        <f aca="false">SQRT(G92)</f>
        <v>2.62927237796097</v>
      </c>
      <c r="I92" s="376" t="n">
        <f aca="false">IF($I$2=0,0,-(D92^2)/2)</f>
        <v>0</v>
      </c>
      <c r="J92" s="409" t="n">
        <f aca="false">C92*EXP(I92*G92+D92*$I$2*H92)</f>
        <v>38.3249984741211</v>
      </c>
      <c r="L92" s="395"/>
      <c r="M92" s="395"/>
    </row>
    <row r="93" customFormat="false" ht="15.75" hidden="false" customHeight="false" outlineLevel="0" collapsed="false">
      <c r="B93" s="405" t="n">
        <f aca="false">'Revenues &amp; Expenses'!K93</f>
        <v>39142</v>
      </c>
      <c r="C93" s="406" t="n">
        <f aca="false">PJM_01212000!C122</f>
        <v>28.0500007629395</v>
      </c>
      <c r="D93" s="407" t="n">
        <f aca="false">PJM_01212000!X93</f>
        <v>0.131733651456</v>
      </c>
      <c r="E93" s="407" t="n">
        <f aca="false">VLOOKUP(B93,'Revenues &amp; Expenses'!$K$8:$N$258,2)</f>
        <v>0.073884754075871</v>
      </c>
      <c r="F93" s="408" t="n">
        <f aca="false">VLOOKUP(B93,'Revenues &amp; Expenses'!$K$8:$N$246,4)</f>
        <v>0.596984427374887</v>
      </c>
      <c r="G93" s="376" t="n">
        <f aca="false">(B93-$B$1)/365.25</f>
        <v>6.98973305954825</v>
      </c>
      <c r="H93" s="376" t="n">
        <f aca="false">SQRT(G93)</f>
        <v>2.64381032972266</v>
      </c>
      <c r="I93" s="376" t="n">
        <f aca="false">IF($I$2=0,0,-(D93^2)/2)</f>
        <v>0</v>
      </c>
      <c r="J93" s="409" t="n">
        <f aca="false">C93*EXP(I93*G93+D93*$I$2*H93)</f>
        <v>28.0500007629395</v>
      </c>
      <c r="L93" s="395"/>
      <c r="M93" s="395"/>
    </row>
    <row r="94" customFormat="false" ht="15.75" hidden="false" customHeight="false" outlineLevel="0" collapsed="false">
      <c r="B94" s="405" t="n">
        <f aca="false">'Revenues &amp; Expenses'!K94</f>
        <v>39173</v>
      </c>
      <c r="C94" s="406" t="n">
        <f aca="false">PJM_01212000!C123</f>
        <v>27.8250007629395</v>
      </c>
      <c r="D94" s="407" t="n">
        <f aca="false">PJM_01212000!X94</f>
        <v>0.1251469688832</v>
      </c>
      <c r="E94" s="407" t="n">
        <f aca="false">VLOOKUP(B94,'Revenues &amp; Expenses'!$K$8:$N$258,2)</f>
        <v>0.073901230464944</v>
      </c>
      <c r="F94" s="408" t="n">
        <f aca="false">VLOOKUP(B94,'Revenues &amp; Expenses'!$K$8:$N$246,4)</f>
        <v>0.593251787908512</v>
      </c>
      <c r="G94" s="376" t="n">
        <f aca="false">(B94-$B$1)/365.25</f>
        <v>7.07460643394935</v>
      </c>
      <c r="H94" s="376" t="n">
        <f aca="false">SQRT(G94)</f>
        <v>2.65981323290741</v>
      </c>
      <c r="I94" s="376" t="n">
        <f aca="false">IF($I$2=0,0,-(D94^2)/2)</f>
        <v>0</v>
      </c>
      <c r="J94" s="409" t="n">
        <f aca="false">C94*EXP(I94*G94+D94*$I$2*H94)</f>
        <v>27.8250007629395</v>
      </c>
      <c r="L94" s="395"/>
      <c r="M94" s="395"/>
    </row>
    <row r="95" customFormat="false" ht="15.75" hidden="false" customHeight="false" outlineLevel="0" collapsed="false">
      <c r="B95" s="405" t="n">
        <f aca="false">'Revenues &amp; Expenses'!K95</f>
        <v>39203</v>
      </c>
      <c r="C95" s="406" t="n">
        <f aca="false">PJM_01212000!C124</f>
        <v>33.575</v>
      </c>
      <c r="D95" s="407" t="n">
        <f aca="false">PJM_01212000!X95</f>
        <v>0.1383203340288</v>
      </c>
      <c r="E95" s="407" t="n">
        <f aca="false">VLOOKUP(B95,'Revenues &amp; Expenses'!$K$8:$N$258,2)</f>
        <v>0.073915729695154</v>
      </c>
      <c r="F95" s="408" t="n">
        <f aca="false">VLOOKUP(B95,'Revenues &amp; Expenses'!$K$8:$N$246,4)</f>
        <v>0.589666247444806</v>
      </c>
      <c r="G95" s="376" t="n">
        <f aca="false">(B95-$B$1)/365.25</f>
        <v>7.15674195756331</v>
      </c>
      <c r="H95" s="376" t="n">
        <f aca="false">SQRT(G95)</f>
        <v>2.67520876896801</v>
      </c>
      <c r="I95" s="376" t="n">
        <f aca="false">IF($I$2=0,0,-(D95^2)/2)</f>
        <v>0</v>
      </c>
      <c r="J95" s="409" t="n">
        <f aca="false">C95*EXP(I95*G95+D95*$I$2*H95)</f>
        <v>33.575</v>
      </c>
      <c r="L95" s="395"/>
      <c r="M95" s="395"/>
    </row>
    <row r="96" customFormat="false" ht="15.75" hidden="false" customHeight="false" outlineLevel="0" collapsed="false">
      <c r="B96" s="405" t="n">
        <f aca="false">'Revenues &amp; Expenses'!K96</f>
        <v>39234</v>
      </c>
      <c r="C96" s="406" t="n">
        <f aca="false">PJM_01212000!C125</f>
        <v>58.5999984741211</v>
      </c>
      <c r="D96" s="407" t="n">
        <f aca="false">PJM_01212000!X96</f>
        <v>0.1778404294656</v>
      </c>
      <c r="E96" s="407" t="n">
        <f aca="false">VLOOKUP(B96,'Revenues &amp; Expenses'!$K$8:$N$258,2)</f>
        <v>0.07393071223311</v>
      </c>
      <c r="F96" s="408" t="n">
        <f aca="false">VLOOKUP(B96,'Revenues &amp; Expenses'!$K$8:$N$246,4)</f>
        <v>0.585982540004072</v>
      </c>
      <c r="G96" s="376" t="n">
        <f aca="false">(B96-$B$1)/365.25</f>
        <v>7.24161533196441</v>
      </c>
      <c r="H96" s="376" t="n">
        <f aca="false">SQRT(G96)</f>
        <v>2.69102495937225</v>
      </c>
      <c r="I96" s="376" t="n">
        <f aca="false">IF($I$2=0,0,-(D96^2)/2)</f>
        <v>0</v>
      </c>
      <c r="J96" s="409" t="n">
        <f aca="false">C96*EXP(I96*G96+D96*$I$2*H96)</f>
        <v>58.5999984741211</v>
      </c>
      <c r="L96" s="395"/>
      <c r="M96" s="395"/>
    </row>
    <row r="97" customFormat="false" ht="15.75" hidden="false" customHeight="false" outlineLevel="0" collapsed="false">
      <c r="B97" s="405" t="n">
        <f aca="false">'Revenues &amp; Expenses'!K97</f>
        <v>39264</v>
      </c>
      <c r="C97" s="406" t="n">
        <f aca="false">PJM_01212000!C126</f>
        <v>100.199996948242</v>
      </c>
      <c r="D97" s="407" t="n">
        <f aca="false">PJM_01212000!X97</f>
        <v>0.2173605249024</v>
      </c>
      <c r="E97" s="407" t="n">
        <f aca="false">VLOOKUP(B97,'Revenues &amp; Expenses'!$K$8:$N$258,2)</f>
        <v>0.07394521146346</v>
      </c>
      <c r="F97" s="408" t="n">
        <f aca="false">VLOOKUP(B97,'Revenues &amp; Expenses'!$K$8:$N$246,4)</f>
        <v>0.582438214610842</v>
      </c>
      <c r="G97" s="376" t="n">
        <f aca="false">(B97-$B$1)/365.25</f>
        <v>7.32375085557837</v>
      </c>
      <c r="H97" s="376" t="n">
        <f aca="false">SQRT(G97)</f>
        <v>2.70624294097525</v>
      </c>
      <c r="I97" s="376" t="n">
        <f aca="false">IF($I$2=0,0,-(D97^2)/2)</f>
        <v>0</v>
      </c>
      <c r="J97" s="409" t="n">
        <f aca="false">C97*EXP(I97*G97+D97*$I$2*H97)</f>
        <v>100.199996948242</v>
      </c>
      <c r="L97" s="395"/>
      <c r="M97" s="395"/>
    </row>
    <row r="98" customFormat="false" ht="15.75" hidden="false" customHeight="false" outlineLevel="0" collapsed="false">
      <c r="B98" s="405" t="n">
        <f aca="false">'Revenues &amp; Expenses'!K98</f>
        <v>39295</v>
      </c>
      <c r="C98" s="406" t="n">
        <f aca="false">PJM_01212000!C127</f>
        <v>87.1999969482422</v>
      </c>
      <c r="D98" s="407" t="n">
        <f aca="false">PJM_01212000!X98</f>
        <v>0.2173605249024</v>
      </c>
      <c r="E98" s="407" t="n">
        <f aca="false">VLOOKUP(B98,'Revenues &amp; Expenses'!$K$8:$N$258,2)</f>
        <v>0.073960194001562</v>
      </c>
      <c r="F98" s="408" t="n">
        <f aca="false">VLOOKUP(B98,'Revenues &amp; Expenses'!$K$8:$N$246,4)</f>
        <v>0.578796869042775</v>
      </c>
      <c r="G98" s="376" t="n">
        <f aca="false">(B98-$B$1)/365.25</f>
        <v>7.40862422997947</v>
      </c>
      <c r="H98" s="376" t="n">
        <f aca="false">SQRT(G98)</f>
        <v>2.72187880516004</v>
      </c>
      <c r="I98" s="376" t="n">
        <f aca="false">IF($I$2=0,0,-(D98^2)/2)</f>
        <v>0</v>
      </c>
      <c r="J98" s="409" t="n">
        <f aca="false">C98*EXP(I98*G98+D98*$I$2*H98)</f>
        <v>87.1999969482422</v>
      </c>
      <c r="L98" s="395"/>
      <c r="M98" s="395"/>
    </row>
    <row r="99" customFormat="false" ht="15.75" hidden="false" customHeight="false" outlineLevel="0" collapsed="false">
      <c r="B99" s="405" t="n">
        <f aca="false">'Revenues &amp; Expenses'!K99</f>
        <v>39326</v>
      </c>
      <c r="C99" s="406" t="n">
        <f aca="false">PJM_01212000!C128</f>
        <v>34.9249984741211</v>
      </c>
      <c r="D99" s="407" t="n">
        <f aca="false">PJM_01212000!X99</f>
        <v>0.13971750912</v>
      </c>
      <c r="E99" s="407" t="n">
        <f aca="false">VLOOKUP(B99,'Revenues &amp; Expenses'!$K$8:$N$258,2)</f>
        <v>0.073975176539738</v>
      </c>
      <c r="F99" s="408" t="n">
        <f aca="false">VLOOKUP(B99,'Revenues &amp; Expenses'!$K$8:$N$246,4)</f>
        <v>0.575176878608227</v>
      </c>
      <c r="G99" s="376" t="n">
        <f aca="false">(B99-$B$1)/365.25</f>
        <v>7.49349760438056</v>
      </c>
      <c r="H99" s="376" t="n">
        <f aca="false">SQRT(G99)</f>
        <v>2.73742536051315</v>
      </c>
      <c r="I99" s="376" t="n">
        <f aca="false">IF($I$2=0,0,-(D99^2)/2)</f>
        <v>0</v>
      </c>
      <c r="J99" s="409" t="n">
        <f aca="false">C99*EXP(I99*G99+D99*$I$2*H99)</f>
        <v>34.9249984741211</v>
      </c>
      <c r="L99" s="395"/>
      <c r="M99" s="395"/>
    </row>
    <row r="100" customFormat="false" ht="15.75" hidden="false" customHeight="false" outlineLevel="0" collapsed="false">
      <c r="B100" s="405" t="n">
        <f aca="false">'Revenues &amp; Expenses'!K100</f>
        <v>39356</v>
      </c>
      <c r="C100" s="406" t="n">
        <f aca="false">PJM_01212000!C129</f>
        <v>28.5750003814697</v>
      </c>
      <c r="D100" s="407" t="n">
        <f aca="false">PJM_01212000!X100</f>
        <v>0.098800238592</v>
      </c>
      <c r="E100" s="407" t="n">
        <f aca="false">VLOOKUP(B100,'Revenues &amp; Expenses'!$K$8:$N$258,2)</f>
        <v>0.073989675770301</v>
      </c>
      <c r="F100" s="408" t="n">
        <f aca="false">VLOOKUP(B100,'Revenues &amp; Expenses'!$K$8:$N$246,4)</f>
        <v>0.571693885865508</v>
      </c>
      <c r="G100" s="376" t="n">
        <f aca="false">(B100-$B$1)/365.25</f>
        <v>7.57563312799452</v>
      </c>
      <c r="H100" s="376" t="n">
        <f aca="false">SQRT(G100)</f>
        <v>2.75238680566423</v>
      </c>
      <c r="I100" s="376" t="n">
        <f aca="false">IF($I$2=0,0,-(D100^2)/2)</f>
        <v>0</v>
      </c>
      <c r="J100" s="409" t="n">
        <f aca="false">C100*EXP(I100*G100+D100*$I$2*H100)</f>
        <v>28.5750003814697</v>
      </c>
      <c r="L100" s="395"/>
      <c r="M100" s="395"/>
    </row>
    <row r="101" customFormat="false" ht="15.75" hidden="false" customHeight="false" outlineLevel="0" collapsed="false">
      <c r="B101" s="405" t="n">
        <f aca="false">'Revenues &amp; Expenses'!K101</f>
        <v>39387</v>
      </c>
      <c r="C101" s="406" t="n">
        <f aca="false">PJM_01212000!C130</f>
        <v>28.2474990844727</v>
      </c>
      <c r="D101" s="407" t="n">
        <f aca="false">PJM_01212000!X101</f>
        <v>0.098800238592</v>
      </c>
      <c r="E101" s="407" t="n">
        <f aca="false">VLOOKUP(B101,'Revenues &amp; Expenses'!$K$8:$N$258,2)</f>
        <v>0.074004658308623</v>
      </c>
      <c r="F101" s="408" t="n">
        <f aca="false">VLOOKUP(B101,'Revenues &amp; Expenses'!$K$8:$N$246,4)</f>
        <v>0.568115579085372</v>
      </c>
      <c r="G101" s="376" t="n">
        <f aca="false">(B101-$B$1)/365.25</f>
        <v>7.66050650239562</v>
      </c>
      <c r="H101" s="376" t="n">
        <f aca="false">SQRT(G101)</f>
        <v>2.76776200248425</v>
      </c>
      <c r="I101" s="376" t="n">
        <f aca="false">IF($I$2=0,0,-(D101^2)/2)</f>
        <v>0</v>
      </c>
      <c r="J101" s="409" t="n">
        <f aca="false">C101*EXP(I101*G101+D101*$I$2*H101)</f>
        <v>28.2474990844727</v>
      </c>
      <c r="L101" s="395"/>
      <c r="M101" s="395"/>
    </row>
    <row r="102" customFormat="false" ht="15.75" hidden="false" customHeight="false" outlineLevel="0" collapsed="false">
      <c r="B102" s="405" t="n">
        <f aca="false">'Revenues &amp; Expenses'!K102</f>
        <v>39417</v>
      </c>
      <c r="C102" s="406" t="n">
        <f aca="false">PJM_01212000!C131</f>
        <v>29.9999996185303</v>
      </c>
      <c r="D102" s="407" t="n">
        <f aca="false">PJM_01212000!X102</f>
        <v>0.098800238592</v>
      </c>
      <c r="E102" s="407" t="n">
        <f aca="false">VLOOKUP(B102,'Revenues &amp; Expenses'!$K$8:$N$258,2)</f>
        <v>0.074019157539328</v>
      </c>
      <c r="F102" s="408" t="n">
        <f aca="false">VLOOKUP(B102,'Revenues &amp; Expenses'!$K$8:$N$246,4)</f>
        <v>0.564672709875958</v>
      </c>
      <c r="G102" s="376" t="n">
        <f aca="false">(B102-$B$1)/365.25</f>
        <v>7.74264202600958</v>
      </c>
      <c r="H102" s="376" t="n">
        <f aca="false">SQRT(G102)</f>
        <v>2.78256033645446</v>
      </c>
      <c r="I102" s="376" t="n">
        <f aca="false">IF($I$2=0,0,-(D102^2)/2)</f>
        <v>0</v>
      </c>
      <c r="J102" s="409" t="n">
        <f aca="false">C102*EXP(I102*G102+D102*$I$2*H102)</f>
        <v>29.9999996185303</v>
      </c>
      <c r="L102" s="395"/>
      <c r="M102" s="395"/>
    </row>
    <row r="103" customFormat="false" ht="15.75" hidden="false" customHeight="false" outlineLevel="0" collapsed="false">
      <c r="B103" s="405" t="n">
        <f aca="false">'Revenues &amp; Expenses'!K103</f>
        <v>39448</v>
      </c>
      <c r="C103" s="406" t="n">
        <f aca="false">PJM_01212000!C132</f>
        <v>38.8249984741211</v>
      </c>
      <c r="D103" s="407" t="n">
        <f aca="false">PJM_01212000!X103</f>
        <v>0.151757166477312</v>
      </c>
      <c r="E103" s="407" t="n">
        <f aca="false">VLOOKUP(B103,'Revenues &amp; Expenses'!$K$8:$N$258,2)</f>
        <v>0.074034140077795</v>
      </c>
      <c r="F103" s="408" t="n">
        <f aca="false">VLOOKUP(B103,'Revenues &amp; Expenses'!$K$8:$N$246,4)</f>
        <v>0.5611356424926</v>
      </c>
      <c r="G103" s="376" t="n">
        <f aca="false">(B103-$B$1)/365.25</f>
        <v>7.82751540041068</v>
      </c>
      <c r="H103" s="376" t="n">
        <f aca="false">SQRT(G103)</f>
        <v>2.7977697189745</v>
      </c>
      <c r="I103" s="376" t="n">
        <f aca="false">IF($I$2=0,0,-(D103^2)/2)</f>
        <v>0</v>
      </c>
      <c r="J103" s="409" t="n">
        <f aca="false">C103*EXP(I103*G103+D103*$I$2*H103)</f>
        <v>38.8249984741211</v>
      </c>
      <c r="L103" s="395"/>
      <c r="M103" s="395"/>
    </row>
    <row r="104" customFormat="false" ht="15.75" hidden="false" customHeight="false" outlineLevel="0" collapsed="false">
      <c r="B104" s="405" t="n">
        <f aca="false">'Revenues &amp; Expenses'!K104</f>
        <v>39479</v>
      </c>
      <c r="C104" s="406" t="n">
        <f aca="false">PJM_01212000!C133</f>
        <v>38.8249984741211</v>
      </c>
      <c r="D104" s="407" t="n">
        <f aca="false">PJM_01212000!X104</f>
        <v>0.151757166477312</v>
      </c>
      <c r="E104" s="407" t="n">
        <f aca="false">VLOOKUP(B104,'Revenues &amp; Expenses'!$K$8:$N$258,2)</f>
        <v>0.074049122616337</v>
      </c>
      <c r="F104" s="408" t="n">
        <f aca="false">VLOOKUP(B104,'Revenues &amp; Expenses'!$K$8:$N$246,4)</f>
        <v>0.557619363957722</v>
      </c>
      <c r="G104" s="376" t="n">
        <f aca="false">(B104-$B$1)/365.25</f>
        <v>7.91238877481177</v>
      </c>
      <c r="H104" s="376" t="n">
        <f aca="false">SQRT(G104)</f>
        <v>2.8128968652995</v>
      </c>
      <c r="I104" s="376" t="n">
        <f aca="false">IF($I$2=0,0,-(D104^2)/2)</f>
        <v>0</v>
      </c>
      <c r="J104" s="409" t="n">
        <f aca="false">C104*EXP(I104*G104+D104*$I$2*H104)</f>
        <v>38.8249984741211</v>
      </c>
      <c r="L104" s="395"/>
      <c r="M104" s="395"/>
    </row>
    <row r="105" customFormat="false" ht="15.75" hidden="false" customHeight="false" outlineLevel="0" collapsed="false">
      <c r="B105" s="405" t="n">
        <f aca="false">'Revenues &amp; Expenses'!K105</f>
        <v>39508</v>
      </c>
      <c r="C105" s="406" t="n">
        <f aca="false">PJM_01212000!C134</f>
        <v>28.5500007629395</v>
      </c>
      <c r="D105" s="407" t="n">
        <f aca="false">PJM_01212000!X105</f>
        <v>0.12646430539776</v>
      </c>
      <c r="E105" s="407" t="n">
        <f aca="false">VLOOKUP(B105,'Revenues &amp; Expenses'!$K$8:$N$258,2)</f>
        <v>0.074063138539555</v>
      </c>
      <c r="F105" s="408" t="n">
        <f aca="false">VLOOKUP(B105,'Revenues &amp; Expenses'!$K$8:$N$246,4)</f>
        <v>0.554348662223597</v>
      </c>
      <c r="G105" s="376" t="n">
        <f aca="false">(B105-$B$1)/365.25</f>
        <v>7.9917864476386</v>
      </c>
      <c r="H105" s="376" t="n">
        <f aca="false">SQRT(G105)</f>
        <v>2.8269747872308</v>
      </c>
      <c r="I105" s="376" t="n">
        <f aca="false">IF($I$2=0,0,-(D105^2)/2)</f>
        <v>0</v>
      </c>
      <c r="J105" s="409" t="n">
        <f aca="false">C105*EXP(I105*G105+D105*$I$2*H105)</f>
        <v>28.5500007629395</v>
      </c>
      <c r="L105" s="395"/>
      <c r="M105" s="395"/>
    </row>
    <row r="106" customFormat="false" ht="15.75" hidden="false" customHeight="false" outlineLevel="0" collapsed="false">
      <c r="B106" s="405" t="n">
        <f aca="false">'Revenues &amp; Expenses'!K106</f>
        <v>39539</v>
      </c>
      <c r="C106" s="406" t="n">
        <f aca="false">PJM_01212000!C135</f>
        <v>28.3250007629395</v>
      </c>
      <c r="D106" s="407" t="n">
        <f aca="false">PJM_01212000!X106</f>
        <v>0.120141090127872</v>
      </c>
      <c r="E106" s="407" t="n">
        <f aca="false">VLOOKUP(B106,'Revenues &amp; Expenses'!$K$8:$N$258,2)</f>
        <v>0.074078121078241</v>
      </c>
      <c r="F106" s="408" t="n">
        <f aca="false">VLOOKUP(B106,'Revenues &amp; Expenses'!$K$8:$N$246,4)</f>
        <v>0.55087229945878</v>
      </c>
      <c r="G106" s="376" t="n">
        <f aca="false">(B106-$B$1)/365.25</f>
        <v>8.0766598220397</v>
      </c>
      <c r="H106" s="376" t="n">
        <f aca="false">SQRT(G106)</f>
        <v>2.84194648472481</v>
      </c>
      <c r="I106" s="376" t="n">
        <f aca="false">IF($I$2=0,0,-(D106^2)/2)</f>
        <v>0</v>
      </c>
      <c r="J106" s="409" t="n">
        <f aca="false">C106*EXP(I106*G106+D106*$I$2*H106)</f>
        <v>28.3250007629395</v>
      </c>
      <c r="L106" s="395"/>
      <c r="M106" s="395"/>
    </row>
    <row r="107" customFormat="false" ht="15.75" hidden="false" customHeight="false" outlineLevel="0" collapsed="false">
      <c r="B107" s="405" t="n">
        <f aca="false">'Revenues &amp; Expenses'!K107</f>
        <v>39569</v>
      </c>
      <c r="C107" s="406" t="n">
        <f aca="false">PJM_01212000!C136</f>
        <v>34.825</v>
      </c>
      <c r="D107" s="407" t="n">
        <f aca="false">PJM_01212000!X107</f>
        <v>0.132787520667648</v>
      </c>
      <c r="E107" s="407" t="n">
        <f aca="false">VLOOKUP(B107,'Revenues &amp; Expenses'!$K$8:$N$258,2)</f>
        <v>0.074092620309297</v>
      </c>
      <c r="F107" s="408" t="n">
        <f aca="false">VLOOKUP(B107,'Revenues &amp; Expenses'!$K$8:$N$246,4)</f>
        <v>0.547527557804006</v>
      </c>
      <c r="G107" s="376" t="n">
        <f aca="false">(B107-$B$1)/365.25</f>
        <v>8.15879534565366</v>
      </c>
      <c r="H107" s="376" t="n">
        <f aca="false">SQRT(G107)</f>
        <v>2.85636050694825</v>
      </c>
      <c r="I107" s="376" t="n">
        <f aca="false">IF($I$2=0,0,-(D107^2)/2)</f>
        <v>0</v>
      </c>
      <c r="J107" s="409" t="n">
        <f aca="false">C107*EXP(I107*G107+D107*$I$2*H107)</f>
        <v>34.825</v>
      </c>
      <c r="L107" s="395"/>
      <c r="M107" s="395"/>
    </row>
    <row r="108" customFormat="false" ht="15.75" hidden="false" customHeight="false" outlineLevel="0" collapsed="false">
      <c r="B108" s="405" t="n">
        <f aca="false">'Revenues &amp; Expenses'!K108</f>
        <v>39600</v>
      </c>
      <c r="C108" s="406" t="n">
        <f aca="false">PJM_01212000!C137</f>
        <v>59.8499984741211</v>
      </c>
      <c r="D108" s="407" t="n">
        <f aca="false">PJM_01212000!X108</f>
        <v>0.170726812286976</v>
      </c>
      <c r="E108" s="407" t="n">
        <f aca="false">VLOOKUP(B108,'Revenues &amp; Expenses'!$K$8:$N$258,2)</f>
        <v>0.074107602848128</v>
      </c>
      <c r="F108" s="408" t="n">
        <f aca="false">VLOOKUP(B108,'Revenues &amp; Expenses'!$K$8:$N$246,4)</f>
        <v>0.544091346009173</v>
      </c>
      <c r="G108" s="376" t="n">
        <f aca="false">(B108-$B$1)/365.25</f>
        <v>8.24366872005476</v>
      </c>
      <c r="H108" s="376" t="n">
        <f aca="false">SQRT(G108)</f>
        <v>2.87117897736361</v>
      </c>
      <c r="I108" s="376" t="n">
        <f aca="false">IF($I$2=0,0,-(D108^2)/2)</f>
        <v>0</v>
      </c>
      <c r="J108" s="409" t="n">
        <f aca="false">C108*EXP(I108*G108+D108*$I$2*H108)</f>
        <v>59.8499984741211</v>
      </c>
      <c r="L108" s="395"/>
      <c r="M108" s="395"/>
    </row>
    <row r="109" customFormat="false" ht="15.75" hidden="false" customHeight="false" outlineLevel="0" collapsed="false">
      <c r="B109" s="405" t="n">
        <f aca="false">'Revenues &amp; Expenses'!K109</f>
        <v>39630</v>
      </c>
      <c r="C109" s="406" t="n">
        <f aca="false">PJM_01212000!C138</f>
        <v>102.449996948242</v>
      </c>
      <c r="D109" s="407" t="n">
        <f aca="false">PJM_01212000!X109</f>
        <v>0.208666103906304</v>
      </c>
      <c r="E109" s="407" t="n">
        <f aca="false">VLOOKUP(B109,'Revenues &amp; Expenses'!$K$8:$N$258,2)</f>
        <v>0.074122102079324</v>
      </c>
      <c r="F109" s="408" t="n">
        <f aca="false">VLOOKUP(B109,'Revenues &amp; Expenses'!$K$8:$N$246,4)</f>
        <v>0.540785251828893</v>
      </c>
      <c r="G109" s="376" t="n">
        <f aca="false">(B109-$B$1)/365.25</f>
        <v>8.32580424366872</v>
      </c>
      <c r="H109" s="376" t="n">
        <f aca="false">SQRT(G109)</f>
        <v>2.88544697467632</v>
      </c>
      <c r="I109" s="376" t="n">
        <f aca="false">IF($I$2=0,0,-(D109^2)/2)</f>
        <v>0</v>
      </c>
      <c r="J109" s="409" t="n">
        <f aca="false">C109*EXP(I109*G109+D109*$I$2*H109)</f>
        <v>102.449996948242</v>
      </c>
      <c r="L109" s="395"/>
      <c r="M109" s="395"/>
    </row>
    <row r="110" customFormat="false" ht="15.75" hidden="false" customHeight="false" outlineLevel="0" collapsed="false">
      <c r="B110" s="405" t="n">
        <f aca="false">'Revenues &amp; Expenses'!K110</f>
        <v>39661</v>
      </c>
      <c r="C110" s="406" t="n">
        <f aca="false">PJM_01212000!C139</f>
        <v>89.4499969482422</v>
      </c>
      <c r="D110" s="407" t="n">
        <f aca="false">PJM_01212000!X110</f>
        <v>0.208666103906304</v>
      </c>
      <c r="E110" s="407" t="n">
        <f aca="false">VLOOKUP(B110,'Revenues &amp; Expenses'!$K$8:$N$258,2)</f>
        <v>0.074137084618301</v>
      </c>
      <c r="F110" s="408" t="n">
        <f aca="false">VLOOKUP(B110,'Revenues &amp; Expenses'!$K$8:$N$246,4)</f>
        <v>0.537388761562232</v>
      </c>
      <c r="G110" s="376" t="n">
        <f aca="false">(B110-$B$1)/365.25</f>
        <v>8.41067761806982</v>
      </c>
      <c r="H110" s="376" t="n">
        <f aca="false">SQRT(G110)</f>
        <v>2.90011682834844</v>
      </c>
      <c r="I110" s="376" t="n">
        <f aca="false">IF($I$2=0,0,-(D110^2)/2)</f>
        <v>0</v>
      </c>
      <c r="J110" s="409" t="n">
        <f aca="false">C110*EXP(I110*G110+D110*$I$2*H110)</f>
        <v>89.4499969482422</v>
      </c>
      <c r="L110" s="395"/>
      <c r="M110" s="395"/>
    </row>
    <row r="111" customFormat="false" ht="15.75" hidden="false" customHeight="false" outlineLevel="0" collapsed="false">
      <c r="B111" s="405" t="n">
        <f aca="false">'Revenues &amp; Expenses'!K111</f>
        <v>39692</v>
      </c>
      <c r="C111" s="406" t="n">
        <f aca="false">PJM_01212000!C140</f>
        <v>35.4249984741211</v>
      </c>
      <c r="D111" s="407" t="n">
        <f aca="false">PJM_01212000!X111</f>
        <v>0.1341288087552</v>
      </c>
      <c r="E111" s="407" t="n">
        <f aca="false">VLOOKUP(B111,'Revenues &amp; Expenses'!$K$8:$N$258,2)</f>
        <v>0.074152067157352</v>
      </c>
      <c r="F111" s="408" t="n">
        <f aca="false">VLOOKUP(B111,'Revenues &amp; Expenses'!$K$8:$N$246,4)</f>
        <v>0.534012294406073</v>
      </c>
      <c r="G111" s="376" t="n">
        <f aca="false">(B111-$B$1)/365.25</f>
        <v>8.49555099247091</v>
      </c>
      <c r="H111" s="376" t="n">
        <f aca="false">SQRT(G111)</f>
        <v>2.91471284905922</v>
      </c>
      <c r="I111" s="376" t="n">
        <f aca="false">IF($I$2=0,0,-(D111^2)/2)</f>
        <v>0</v>
      </c>
      <c r="J111" s="409" t="n">
        <f aca="false">C111*EXP(I111*G111+D111*$I$2*H111)</f>
        <v>35.4249984741211</v>
      </c>
      <c r="L111" s="395"/>
      <c r="M111" s="395"/>
    </row>
    <row r="112" customFormat="false" ht="15.75" hidden="false" customHeight="false" outlineLevel="0" collapsed="false">
      <c r="B112" s="405" t="n">
        <f aca="false">'Revenues &amp; Expenses'!K112</f>
        <v>39722</v>
      </c>
      <c r="C112" s="406" t="n">
        <f aca="false">PJM_01212000!C141</f>
        <v>29.0750003814697</v>
      </c>
      <c r="D112" s="407" t="n">
        <f aca="false">PJM_01212000!X112</f>
        <v>0.09484822904832</v>
      </c>
      <c r="E112" s="407" t="n">
        <f aca="false">VLOOKUP(B112,'Revenues &amp; Expenses'!$K$8:$N$258,2)</f>
        <v>0.074166566388762</v>
      </c>
      <c r="F112" s="408" t="n">
        <f aca="false">VLOOKUP(B112,'Revenues &amp; Expenses'!$K$8:$N$246,4)</f>
        <v>0.530763707268937</v>
      </c>
      <c r="G112" s="376" t="n">
        <f aca="false">(B112-$B$1)/365.25</f>
        <v>8.57768651608487</v>
      </c>
      <c r="H112" s="376" t="n">
        <f aca="false">SQRT(G112)</f>
        <v>2.92876877135852</v>
      </c>
      <c r="I112" s="376" t="n">
        <f aca="false">IF($I$2=0,0,-(D112^2)/2)</f>
        <v>0</v>
      </c>
      <c r="J112" s="409" t="n">
        <f aca="false">C112*EXP(I112*G112+D112*$I$2*H112)</f>
        <v>29.0750003814697</v>
      </c>
      <c r="L112" s="395"/>
      <c r="M112" s="395"/>
    </row>
    <row r="113" customFormat="false" ht="15.75" hidden="false" customHeight="false" outlineLevel="0" collapsed="false">
      <c r="B113" s="405" t="n">
        <f aca="false">'Revenues &amp; Expenses'!K113</f>
        <v>39753</v>
      </c>
      <c r="C113" s="406" t="n">
        <f aca="false">PJM_01212000!C142</f>
        <v>28.7474990844727</v>
      </c>
      <c r="D113" s="407" t="n">
        <f aca="false">PJM_01212000!X113</f>
        <v>0.09484822904832</v>
      </c>
      <c r="E113" s="407" t="n">
        <f aca="false">VLOOKUP(B113,'Revenues &amp; Expenses'!$K$8:$N$258,2)</f>
        <v>0.074181548927958</v>
      </c>
      <c r="F113" s="408" t="n">
        <f aca="false">VLOOKUP(B113,'Revenues &amp; Expenses'!$K$8:$N$246,4)</f>
        <v>0.527426321820942</v>
      </c>
      <c r="G113" s="376" t="n">
        <f aca="false">(B113-$B$1)/365.25</f>
        <v>8.66255989048597</v>
      </c>
      <c r="H113" s="376" t="n">
        <f aca="false">SQRT(G113)</f>
        <v>2.94322270487402</v>
      </c>
      <c r="I113" s="376" t="n">
        <f aca="false">IF($I$2=0,0,-(D113^2)/2)</f>
        <v>0</v>
      </c>
      <c r="J113" s="409" t="n">
        <f aca="false">C113*EXP(I113*G113+D113*$I$2*H113)</f>
        <v>28.7474990844727</v>
      </c>
      <c r="L113" s="395"/>
      <c r="M113" s="395"/>
    </row>
    <row r="114" customFormat="false" ht="15.75" hidden="false" customHeight="false" outlineLevel="0" collapsed="false">
      <c r="B114" s="405" t="n">
        <f aca="false">'Revenues &amp; Expenses'!K114</f>
        <v>39783</v>
      </c>
      <c r="C114" s="406" t="n">
        <f aca="false">PJM_01212000!C143</f>
        <v>30.4999996185303</v>
      </c>
      <c r="D114" s="407" t="n">
        <f aca="false">PJM_01212000!X114</f>
        <v>0.09484822904832</v>
      </c>
      <c r="E114" s="407" t="n">
        <f aca="false">VLOOKUP(B114,'Revenues &amp; Expenses'!$K$8:$N$258,2)</f>
        <v>0.074196048159509</v>
      </c>
      <c r="F114" s="408" t="n">
        <f aca="false">VLOOKUP(B114,'Revenues &amp; Expenses'!$K$8:$N$246,4)</f>
        <v>0.524215352419727</v>
      </c>
      <c r="G114" s="376" t="n">
        <f aca="false">(B114-$B$1)/365.25</f>
        <v>8.74469541409993</v>
      </c>
      <c r="H114" s="376" t="n">
        <f aca="false">SQRT(G114)</f>
        <v>2.9571431169458</v>
      </c>
      <c r="I114" s="376" t="n">
        <f aca="false">IF($I$2=0,0,-(D114^2)/2)</f>
        <v>0</v>
      </c>
      <c r="J114" s="409" t="n">
        <f aca="false">C114*EXP(I114*G114+D114*$I$2*H114)</f>
        <v>30.4999996185303</v>
      </c>
      <c r="L114" s="395"/>
      <c r="M114" s="395"/>
    </row>
    <row r="115" customFormat="false" ht="15.75" hidden="false" customHeight="false" outlineLevel="0" collapsed="false">
      <c r="B115" s="405" t="n">
        <f aca="false">'Revenues &amp; Expenses'!K115</f>
        <v>39814</v>
      </c>
      <c r="C115" s="406" t="n">
        <f aca="false">PJM_01212000!C144</f>
        <v>39.3249984741211</v>
      </c>
      <c r="D115" s="407" t="n">
        <f aca="false">PJM_01212000!X115</f>
        <v>0.145686879818219</v>
      </c>
      <c r="E115" s="407" t="n">
        <f aca="false">VLOOKUP(B115,'Revenues &amp; Expenses'!$K$8:$N$258,2)</f>
        <v>0.074211030698851</v>
      </c>
      <c r="F115" s="408" t="n">
        <f aca="false">VLOOKUP(B115,'Revenues &amp; Expenses'!$K$8:$N$246,4)</f>
        <v>0.520916629613195</v>
      </c>
      <c r="G115" s="376" t="n">
        <f aca="false">(B115-$B$1)/365.25</f>
        <v>8.82956878850103</v>
      </c>
      <c r="H115" s="376" t="n">
        <f aca="false">SQRT(G115)</f>
        <v>2.97145903362322</v>
      </c>
      <c r="I115" s="376" t="n">
        <f aca="false">IF($I$2=0,0,-(D115^2)/2)</f>
        <v>0</v>
      </c>
      <c r="J115" s="409" t="n">
        <f aca="false">C115*EXP(I115*G115+D115*$I$2*H115)</f>
        <v>39.3249984741211</v>
      </c>
      <c r="L115" s="395"/>
      <c r="M115" s="395"/>
    </row>
    <row r="116" customFormat="false" ht="15.75" hidden="false" customHeight="false" outlineLevel="0" collapsed="false">
      <c r="B116" s="405" t="n">
        <f aca="false">'Revenues &amp; Expenses'!K116</f>
        <v>39845</v>
      </c>
      <c r="C116" s="406" t="n">
        <f aca="false">PJM_01212000!C145</f>
        <v>39.3249984741211</v>
      </c>
      <c r="D116" s="407" t="n">
        <f aca="false">PJM_01212000!X116</f>
        <v>0.145686879818219</v>
      </c>
      <c r="E116" s="407" t="n">
        <f aca="false">VLOOKUP(B116,'Revenues &amp; Expenses'!$K$8:$N$258,2)</f>
        <v>0.074226013238268</v>
      </c>
      <c r="F116" s="408" t="n">
        <f aca="false">VLOOKUP(B116,'Revenues &amp; Expenses'!$K$8:$N$246,4)</f>
        <v>0.517637395742299</v>
      </c>
      <c r="G116" s="376" t="n">
        <f aca="false">(B116-$B$1)/365.25</f>
        <v>8.91444216290212</v>
      </c>
      <c r="H116" s="376" t="n">
        <f aca="false">SQRT(G116)</f>
        <v>2.98570630888273</v>
      </c>
      <c r="I116" s="376" t="n">
        <f aca="false">IF($I$2=0,0,-(D116^2)/2)</f>
        <v>0</v>
      </c>
      <c r="J116" s="409" t="n">
        <f aca="false">C116*EXP(I116*G116+D116*$I$2*H116)</f>
        <v>39.3249984741211</v>
      </c>
      <c r="L116" s="395"/>
      <c r="M116" s="395"/>
    </row>
    <row r="117" customFormat="false" ht="15.75" hidden="false" customHeight="false" outlineLevel="0" collapsed="false">
      <c r="B117" s="405" t="n">
        <f aca="false">'Revenues &amp; Expenses'!K117</f>
        <v>39873</v>
      </c>
      <c r="C117" s="406" t="n">
        <f aca="false">PJM_01212000!C146</f>
        <v>29.0500007629395</v>
      </c>
      <c r="D117" s="407" t="n">
        <f aca="false">PJM_01212000!X117</f>
        <v>0.12140573318185</v>
      </c>
      <c r="E117" s="407" t="n">
        <f aca="false">VLOOKUP(B117,'Revenues &amp; Expenses'!$K$8:$N$258,2)</f>
        <v>0.074239545854578</v>
      </c>
      <c r="F117" s="408" t="n">
        <f aca="false">VLOOKUP(B117,'Revenues &amp; Expenses'!$K$8:$N$246,4)</f>
        <v>0.514692169522929</v>
      </c>
      <c r="G117" s="376" t="n">
        <f aca="false">(B117-$B$1)/365.25</f>
        <v>8.99110198494182</v>
      </c>
      <c r="H117" s="376" t="n">
        <f aca="false">SQRT(G117)</f>
        <v>2.99851663075959</v>
      </c>
      <c r="I117" s="376" t="n">
        <f aca="false">IF($I$2=0,0,-(D117^2)/2)</f>
        <v>0</v>
      </c>
      <c r="J117" s="409" t="n">
        <f aca="false">C117*EXP(I117*G117+D117*$I$2*H117)</f>
        <v>29.0500007629395</v>
      </c>
      <c r="L117" s="395"/>
      <c r="M117" s="395"/>
    </row>
    <row r="118" customFormat="false" ht="15.75" hidden="false" customHeight="false" outlineLevel="0" collapsed="false">
      <c r="B118" s="405" t="n">
        <f aca="false">'Revenues &amp; Expenses'!K118</f>
        <v>39904</v>
      </c>
      <c r="C118" s="406" t="n">
        <f aca="false">PJM_01212000!C147</f>
        <v>28.8250007629395</v>
      </c>
      <c r="D118" s="407" t="n">
        <f aca="false">PJM_01212000!X118</f>
        <v>0.115335446522757</v>
      </c>
      <c r="E118" s="407" t="n">
        <f aca="false">VLOOKUP(B118,'Revenues &amp; Expenses'!$K$8:$N$258,2)</f>
        <v>0.074254528394135</v>
      </c>
      <c r="F118" s="408" t="n">
        <f aca="false">VLOOKUP(B118,'Revenues &amp; Expenses'!$K$8:$N$246,4)</f>
        <v>0.511449733303317</v>
      </c>
      <c r="G118" s="376" t="n">
        <f aca="false">(B118-$B$1)/365.25</f>
        <v>9.07597535934292</v>
      </c>
      <c r="H118" s="376" t="n">
        <f aca="false">SQRT(G118)</f>
        <v>3.0126359486906</v>
      </c>
      <c r="I118" s="376" t="n">
        <f aca="false">IF($I$2=0,0,-(D118^2)/2)</f>
        <v>0</v>
      </c>
      <c r="J118" s="409" t="n">
        <f aca="false">C118*EXP(I118*G118+D118*$I$2*H118)</f>
        <v>28.8250007629395</v>
      </c>
      <c r="L118" s="395"/>
      <c r="M118" s="395"/>
    </row>
    <row r="119" customFormat="false" ht="15.75" hidden="false" customHeight="false" outlineLevel="0" collapsed="false">
      <c r="B119" s="405" t="n">
        <f aca="false">'Revenues &amp; Expenses'!K119</f>
        <v>39934</v>
      </c>
      <c r="C119" s="406" t="n">
        <f aca="false">PJM_01212000!C148</f>
        <v>36.075</v>
      </c>
      <c r="D119" s="407" t="n">
        <f aca="false">PJM_01212000!X119</f>
        <v>0.127476019840942</v>
      </c>
      <c r="E119" s="407" t="n">
        <f aca="false">VLOOKUP(B119,'Revenues &amp; Expenses'!$K$8:$N$258,2)</f>
        <v>0.074269027626035</v>
      </c>
      <c r="F119" s="408" t="n">
        <f aca="false">VLOOKUP(B119,'Revenues &amp; Expenses'!$K$8:$N$246,4)</f>
        <v>0.508330155535402</v>
      </c>
      <c r="G119" s="376" t="n">
        <f aca="false">(B119-$B$1)/365.25</f>
        <v>9.15811088295688</v>
      </c>
      <c r="H119" s="376" t="n">
        <f aca="false">SQRT(G119)</f>
        <v>3.02623708307146</v>
      </c>
      <c r="I119" s="376" t="n">
        <f aca="false">IF($I$2=0,0,-(D119^2)/2)</f>
        <v>0</v>
      </c>
      <c r="J119" s="409" t="n">
        <f aca="false">C119*EXP(I119*G119+D119*$I$2*H119)</f>
        <v>36.075</v>
      </c>
      <c r="L119" s="395"/>
      <c r="M119" s="395"/>
    </row>
    <row r="120" customFormat="false" ht="15.75" hidden="false" customHeight="false" outlineLevel="0" collapsed="false">
      <c r="B120" s="405" t="n">
        <f aca="false">'Revenues &amp; Expenses'!K120</f>
        <v>39965</v>
      </c>
      <c r="C120" s="406" t="n">
        <f aca="false">PJM_01212000!C149</f>
        <v>61.0999984741211</v>
      </c>
      <c r="D120" s="407" t="n">
        <f aca="false">PJM_01212000!X120</f>
        <v>0.163897739795497</v>
      </c>
      <c r="E120" s="407" t="n">
        <f aca="false">VLOOKUP(B120,'Revenues &amp; Expenses'!$K$8:$N$258,2)</f>
        <v>0.074284010165738</v>
      </c>
      <c r="F120" s="408" t="n">
        <f aca="false">VLOOKUP(B120,'Revenues &amp; Expenses'!$K$8:$N$246,4)</f>
        <v>0.505125362051734</v>
      </c>
      <c r="G120" s="376" t="n">
        <f aca="false">(B120-$B$1)/365.25</f>
        <v>9.24298425735798</v>
      </c>
      <c r="H120" s="376" t="n">
        <f aca="false">SQRT(G120)</f>
        <v>3.04022766538264</v>
      </c>
      <c r="I120" s="376" t="n">
        <f aca="false">IF($I$2=0,0,-(D120^2)/2)</f>
        <v>0</v>
      </c>
      <c r="J120" s="409" t="n">
        <f aca="false">C120*EXP(I120*G120+D120*$I$2*H120)</f>
        <v>61.0999984741211</v>
      </c>
      <c r="L120" s="395"/>
      <c r="M120" s="395"/>
    </row>
    <row r="121" customFormat="false" ht="15.75" hidden="false" customHeight="false" outlineLevel="0" collapsed="false">
      <c r="B121" s="405" t="n">
        <f aca="false">'Revenues &amp; Expenses'!K121</f>
        <v>39995</v>
      </c>
      <c r="C121" s="406" t="n">
        <f aca="false">PJM_01212000!C150</f>
        <v>104.699996948242</v>
      </c>
      <c r="D121" s="407" t="n">
        <f aca="false">PJM_01212000!X121</f>
        <v>0.200319459750052</v>
      </c>
      <c r="E121" s="407" t="n">
        <f aca="false">VLOOKUP(B121,'Revenues &amp; Expenses'!$K$8:$N$258,2)</f>
        <v>0.074298509397779</v>
      </c>
      <c r="F121" s="408" t="n">
        <f aca="false">VLOOKUP(B121,'Revenues &amp; Expenses'!$K$8:$N$246,4)</f>
        <v>0.502042016261753</v>
      </c>
      <c r="G121" s="376" t="n">
        <f aca="false">(B121-$B$1)/365.25</f>
        <v>9.32511978097194</v>
      </c>
      <c r="H121" s="376" t="n">
        <f aca="false">SQRT(G121)</f>
        <v>3.0537059093783</v>
      </c>
      <c r="I121" s="376" t="n">
        <f aca="false">IF($I$2=0,0,-(D121^2)/2)</f>
        <v>0</v>
      </c>
      <c r="J121" s="409" t="n">
        <f aca="false">C121*EXP(I121*G121+D121*$I$2*H121)</f>
        <v>104.699996948242</v>
      </c>
      <c r="L121" s="395"/>
      <c r="M121" s="395"/>
    </row>
    <row r="122" customFormat="false" ht="15.75" hidden="false" customHeight="false" outlineLevel="0" collapsed="false">
      <c r="B122" s="405" t="n">
        <f aca="false">'Revenues &amp; Expenses'!K122</f>
        <v>40026</v>
      </c>
      <c r="C122" s="406" t="n">
        <f aca="false">PJM_01212000!C151</f>
        <v>91.6999969482422</v>
      </c>
      <c r="D122" s="407" t="n">
        <f aca="false">PJM_01212000!X122</f>
        <v>0.200319459750052</v>
      </c>
      <c r="E122" s="407" t="n">
        <f aca="false">VLOOKUP(B122,'Revenues &amp; Expenses'!$K$8:$N$258,2)</f>
        <v>0.074313491937628</v>
      </c>
      <c r="F122" s="408" t="n">
        <f aca="false">VLOOKUP(B122,'Revenues &amp; Expenses'!$K$8:$N$246,4)</f>
        <v>0.49887446046185</v>
      </c>
      <c r="G122" s="376" t="n">
        <f aca="false">(B122-$B$1)/365.25</f>
        <v>9.40999315537303</v>
      </c>
      <c r="H122" s="376" t="n">
        <f aca="false">SQRT(G122)</f>
        <v>3.06757121439308</v>
      </c>
      <c r="I122" s="376" t="n">
        <f aca="false">IF($I$2=0,0,-(D122^2)/2)</f>
        <v>0</v>
      </c>
      <c r="J122" s="409" t="n">
        <f aca="false">C122*EXP(I122*G122+D122*$I$2*H122)</f>
        <v>91.6999969482422</v>
      </c>
      <c r="L122" s="395"/>
      <c r="M122" s="395"/>
    </row>
    <row r="123" customFormat="false" ht="15.75" hidden="false" customHeight="false" outlineLevel="0" collapsed="false">
      <c r="B123" s="405" t="n">
        <f aca="false">'Revenues &amp; Expenses'!K123</f>
        <v>40057</v>
      </c>
      <c r="C123" s="406" t="n">
        <f aca="false">PJM_01212000!C152</f>
        <v>35.9249984741211</v>
      </c>
      <c r="D123" s="407" t="n">
        <f aca="false">PJM_01212000!X123</f>
        <v>0.128763656404992</v>
      </c>
      <c r="E123" s="407" t="n">
        <f aca="false">VLOOKUP(B123,'Revenues &amp; Expenses'!$K$8:$N$258,2)</f>
        <v>0.074328474477551</v>
      </c>
      <c r="F123" s="408" t="n">
        <f aca="false">VLOOKUP(B123,'Revenues &amp; Expenses'!$K$8:$N$246,4)</f>
        <v>0.495725674771308</v>
      </c>
      <c r="G123" s="376" t="n">
        <f aca="false">(B123-$B$1)/365.25</f>
        <v>9.49486652977413</v>
      </c>
      <c r="H123" s="376" t="n">
        <f aca="false">SQRT(G123)</f>
        <v>3.08137413012022</v>
      </c>
      <c r="I123" s="376" t="n">
        <f aca="false">IF($I$2=0,0,-(D123^2)/2)</f>
        <v>0</v>
      </c>
      <c r="J123" s="409" t="n">
        <f aca="false">C123*EXP(I123*G123+D123*$I$2*H123)</f>
        <v>35.9249984741211</v>
      </c>
      <c r="L123" s="395"/>
      <c r="M123" s="395"/>
    </row>
    <row r="124" customFormat="false" ht="15.75" hidden="false" customHeight="false" outlineLevel="0" collapsed="false">
      <c r="B124" s="405" t="n">
        <f aca="false">'Revenues &amp; Expenses'!K124</f>
        <v>40087</v>
      </c>
      <c r="C124" s="406" t="n">
        <f aca="false">PJM_01212000!C153</f>
        <v>29.5750003814697</v>
      </c>
      <c r="D124" s="407" t="n">
        <f aca="false">PJM_01212000!X124</f>
        <v>0.0910542998863872</v>
      </c>
      <c r="E124" s="407" t="n">
        <f aca="false">VLOOKUP(B124,'Revenues &amp; Expenses'!$K$8:$N$258,2)</f>
        <v>0.074342973709804</v>
      </c>
      <c r="F124" s="408" t="n">
        <f aca="false">VLOOKUP(B124,'Revenues &amp; Expenses'!$K$8:$N$246,4)</f>
        <v>0.492696237369712</v>
      </c>
      <c r="G124" s="376" t="n">
        <f aca="false">(B124-$B$1)/365.25</f>
        <v>9.57700205338809</v>
      </c>
      <c r="H124" s="376" t="n">
        <f aca="false">SQRT(G124)</f>
        <v>3.09467317392129</v>
      </c>
      <c r="I124" s="376" t="n">
        <f aca="false">IF($I$2=0,0,-(D124^2)/2)</f>
        <v>0</v>
      </c>
      <c r="J124" s="409" t="n">
        <f aca="false">C124*EXP(I124*G124+D124*$I$2*H124)</f>
        <v>29.5750003814697</v>
      </c>
      <c r="L124" s="395"/>
      <c r="M124" s="395"/>
    </row>
    <row r="125" customFormat="false" ht="15.75" hidden="false" customHeight="false" outlineLevel="0" collapsed="false">
      <c r="B125" s="405" t="n">
        <f aca="false">'Revenues &amp; Expenses'!K125</f>
        <v>40118</v>
      </c>
      <c r="C125" s="406" t="n">
        <f aca="false">PJM_01212000!C154</f>
        <v>29.2474990844727</v>
      </c>
      <c r="D125" s="407" t="n">
        <f aca="false">PJM_01212000!X125</f>
        <v>0.0910542998863872</v>
      </c>
      <c r="E125" s="407" t="n">
        <f aca="false">VLOOKUP(B125,'Revenues &amp; Expenses'!$K$8:$N$258,2)</f>
        <v>0.074357956249873</v>
      </c>
      <c r="F125" s="408" t="n">
        <f aca="false">VLOOKUP(B125,'Revenues &amp; Expenses'!$K$8:$N$246,4)</f>
        <v>0.489584085936067</v>
      </c>
      <c r="G125" s="376" t="n">
        <f aca="false">(B125-$B$1)/365.25</f>
        <v>9.66187542778919</v>
      </c>
      <c r="H125" s="376" t="n">
        <f aca="false">SQRT(G125)</f>
        <v>3.10835574344205</v>
      </c>
      <c r="I125" s="376" t="n">
        <f aca="false">IF($I$2=0,0,-(D125^2)/2)</f>
        <v>0</v>
      </c>
      <c r="J125" s="409" t="n">
        <f aca="false">C125*EXP(I125*G125+D125*$I$2*H125)</f>
        <v>29.2474990844727</v>
      </c>
      <c r="L125" s="395"/>
      <c r="M125" s="395"/>
    </row>
    <row r="126" customFormat="false" ht="15.75" hidden="false" customHeight="false" outlineLevel="0" collapsed="false">
      <c r="B126" s="405" t="n">
        <f aca="false">'Revenues &amp; Expenses'!K126</f>
        <v>40148</v>
      </c>
      <c r="C126" s="406" t="n">
        <f aca="false">PJM_01212000!C155</f>
        <v>30.9999996185303</v>
      </c>
      <c r="D126" s="407" t="n">
        <f aca="false">PJM_01212000!X126</f>
        <v>0.0910542998863872</v>
      </c>
      <c r="E126" s="407" t="n">
        <f aca="false">VLOOKUP(B126,'Revenues &amp; Expenses'!$K$8:$N$258,2)</f>
        <v>0.074372455482268</v>
      </c>
      <c r="F126" s="408" t="n">
        <f aca="false">VLOOKUP(B126,'Revenues &amp; Expenses'!$K$8:$N$246,4)</f>
        <v>0.486589909345415</v>
      </c>
      <c r="G126" s="376" t="n">
        <f aca="false">(B126-$B$1)/365.25</f>
        <v>9.74401095140315</v>
      </c>
      <c r="H126" s="376" t="n">
        <f aca="false">SQRT(G126)</f>
        <v>3.12153983658757</v>
      </c>
      <c r="I126" s="376" t="n">
        <f aca="false">IF($I$2=0,0,-(D126^2)/2)</f>
        <v>0</v>
      </c>
      <c r="J126" s="409" t="n">
        <f aca="false">C126*EXP(I126*G126+D126*$I$2*H126)</f>
        <v>30.9999996185303</v>
      </c>
      <c r="L126" s="395"/>
      <c r="M126" s="395"/>
    </row>
    <row r="127" customFormat="false" ht="15.75" hidden="false" customHeight="false" outlineLevel="0" collapsed="false">
      <c r="B127" s="405" t="n">
        <f aca="false">'Revenues &amp; Expenses'!K127</f>
        <v>40179</v>
      </c>
      <c r="C127" s="406" t="n">
        <f aca="false">PJM_01212000!C156</f>
        <v>39.8249984741211</v>
      </c>
      <c r="D127" s="407" t="n">
        <f aca="false">PJM_01212000!X127</f>
        <v>0.139859404625491</v>
      </c>
      <c r="E127" s="407" t="n">
        <f aca="false">VLOOKUP(B127,'Revenues &amp; Expenses'!$K$8:$N$258,2)</f>
        <v>0.074387438022482</v>
      </c>
      <c r="F127" s="408" t="n">
        <f aca="false">VLOOKUP(B127,'Revenues &amp; Expenses'!$K$8:$N$246,4)</f>
        <v>0.48351399697489</v>
      </c>
      <c r="G127" s="376" t="n">
        <f aca="false">(B127-$B$1)/365.25</f>
        <v>9.82888432580424</v>
      </c>
      <c r="H127" s="376" t="n">
        <f aca="false">SQRT(G127)</f>
        <v>3.13510515386713</v>
      </c>
      <c r="I127" s="376" t="n">
        <f aca="false">IF($I$2=0,0,-(D127^2)/2)</f>
        <v>0</v>
      </c>
      <c r="J127" s="409" t="n">
        <f aca="false">C127*EXP(I127*G127+D127*$I$2*H127)</f>
        <v>39.8249984741211</v>
      </c>
      <c r="L127" s="395"/>
      <c r="M127" s="395"/>
    </row>
    <row r="128" customFormat="false" ht="15.75" hidden="false" customHeight="false" outlineLevel="0" collapsed="false">
      <c r="B128" s="405" t="n">
        <f aca="false">'Revenues &amp; Expenses'!K128</f>
        <v>40210</v>
      </c>
      <c r="C128" s="406" t="n">
        <f aca="false">PJM_01212000!C157</f>
        <v>39.8249984741211</v>
      </c>
      <c r="D128" s="407" t="n">
        <f aca="false">PJM_01212000!X128</f>
        <v>0.139859404625491</v>
      </c>
      <c r="E128" s="407" t="n">
        <f aca="false">VLOOKUP(B128,'Revenues &amp; Expenses'!$K$8:$N$258,2)</f>
        <v>0.074402420562771</v>
      </c>
      <c r="F128" s="408" t="n">
        <f aca="false">VLOOKUP(B128,'Revenues &amp; Expenses'!$K$8:$N$246,4)</f>
        <v>0.48045635096898</v>
      </c>
      <c r="G128" s="376" t="n">
        <f aca="false">(B128-$B$1)/365.25</f>
        <v>9.91375770020534</v>
      </c>
      <c r="H128" s="376" t="n">
        <f aca="false">SQRT(G128)</f>
        <v>3.14861202757744</v>
      </c>
      <c r="I128" s="376" t="n">
        <f aca="false">IF($I$2=0,0,-(D128^2)/2)</f>
        <v>0</v>
      </c>
      <c r="J128" s="409" t="n">
        <f aca="false">C128*EXP(I128*G128+D128*$I$2*H128)</f>
        <v>39.8249984741211</v>
      </c>
      <c r="L128" s="395"/>
      <c r="M128" s="395"/>
    </row>
    <row r="129" customFormat="false" ht="15.75" hidden="false" customHeight="false" outlineLevel="0" collapsed="false">
      <c r="B129" s="405" t="n">
        <f aca="false">'Revenues &amp; Expenses'!K129</f>
        <v>40238</v>
      </c>
      <c r="C129" s="406" t="n">
        <f aca="false">PJM_01212000!C158</f>
        <v>29.5500007629395</v>
      </c>
      <c r="D129" s="407" t="n">
        <f aca="false">PJM_01212000!X129</f>
        <v>0.116549503854576</v>
      </c>
      <c r="E129" s="407" t="n">
        <f aca="false">VLOOKUP(B129,'Revenues &amp; Expenses'!$K$8:$N$258,2)</f>
        <v>0.074415953179869</v>
      </c>
      <c r="F129" s="408" t="n">
        <f aca="false">VLOOKUP(B129,'Revenues &amp; Expenses'!$K$8:$N$246,4)</f>
        <v>0.477710222864911</v>
      </c>
      <c r="G129" s="376" t="n">
        <f aca="false">(B129-$B$1)/365.25</f>
        <v>9.99041752224504</v>
      </c>
      <c r="H129" s="376" t="n">
        <f aca="false">SQRT(G129)</f>
        <v>3.16076217426194</v>
      </c>
      <c r="I129" s="376" t="n">
        <f aca="false">IF($I$2=0,0,-(D129^2)/2)</f>
        <v>0</v>
      </c>
      <c r="J129" s="409" t="n">
        <f aca="false">C129*EXP(I129*G129+D129*$I$2*H129)</f>
        <v>29.5500007629395</v>
      </c>
      <c r="L129" s="395"/>
      <c r="M129" s="395"/>
    </row>
    <row r="130" customFormat="false" ht="15.75" hidden="false" customHeight="false" outlineLevel="0" collapsed="false">
      <c r="B130" s="405" t="n">
        <f aca="false">'Revenues &amp; Expenses'!K130</f>
        <v>40269</v>
      </c>
      <c r="C130" s="406" t="n">
        <f aca="false">PJM_01212000!C159</f>
        <v>29.3250007629395</v>
      </c>
      <c r="D130" s="407" t="n">
        <f aca="false">PJM_01212000!X130</f>
        <v>0.110722028661847</v>
      </c>
      <c r="E130" s="407" t="n">
        <f aca="false">VLOOKUP(B130,'Revenues &amp; Expenses'!$K$8:$N$258,2)</f>
        <v>0.074415331083391</v>
      </c>
      <c r="F130" s="408" t="n">
        <f aca="false">VLOOKUP(B130,'Revenues &amp; Expenses'!$K$8:$N$246,4)</f>
        <v>0.474759883769681</v>
      </c>
      <c r="G130" s="376" t="n">
        <f aca="false">(B130-$B$1)/365.25</f>
        <v>10.0752908966461</v>
      </c>
      <c r="H130" s="376" t="n">
        <f aca="false">SQRT(G130)</f>
        <v>3.17415987257197</v>
      </c>
      <c r="I130" s="376" t="n">
        <f aca="false">IF($I$2=0,0,-(D130^2)/2)</f>
        <v>0</v>
      </c>
      <c r="J130" s="409" t="n">
        <f aca="false">C130*EXP(I130*G130+D130*$I$2*H130)</f>
        <v>29.3250007629395</v>
      </c>
      <c r="L130" s="395"/>
      <c r="M130" s="395"/>
    </row>
    <row r="131" customFormat="false" ht="15.75" hidden="false" customHeight="false" outlineLevel="0" collapsed="false">
      <c r="B131" s="405" t="n">
        <f aca="false">'Revenues &amp; Expenses'!K131</f>
        <v>40299</v>
      </c>
      <c r="C131" s="406" t="n">
        <f aca="false">PJM_01212000!C160</f>
        <v>37.325</v>
      </c>
      <c r="D131" s="407" t="n">
        <f aca="false">PJM_01212000!X131</f>
        <v>0.122376979047304</v>
      </c>
      <c r="E131" s="407" t="n">
        <f aca="false">VLOOKUP(B131,'Revenues &amp; Expenses'!$K$8:$N$258,2)</f>
        <v>0.074410324519944</v>
      </c>
      <c r="F131" s="408" t="n">
        <f aca="false">VLOOKUP(B131,'Revenues &amp; Expenses'!$K$8:$N$246,4)</f>
        <v>0.471942710609303</v>
      </c>
      <c r="G131" s="376" t="n">
        <f aca="false">(B131-$B$1)/365.25</f>
        <v>10.1574264202601</v>
      </c>
      <c r="H131" s="376" t="n">
        <f aca="false">SQRT(G131)</f>
        <v>3.18707176264672</v>
      </c>
      <c r="I131" s="376" t="n">
        <f aca="false">IF($I$2=0,0,-(D131^2)/2)</f>
        <v>0</v>
      </c>
      <c r="J131" s="409" t="n">
        <f aca="false">C131*EXP(I131*G131+D131*$I$2*H131)</f>
        <v>37.325</v>
      </c>
      <c r="L131" s="395"/>
      <c r="M131" s="395"/>
    </row>
    <row r="132" customFormat="false" ht="15.75" hidden="false" customHeight="false" outlineLevel="0" collapsed="false">
      <c r="B132" s="405" t="n">
        <f aca="false">'Revenues &amp; Expenses'!K132</f>
        <v>40330</v>
      </c>
      <c r="C132" s="406" t="n">
        <f aca="false">PJM_01212000!C161</f>
        <v>62.3499984741211</v>
      </c>
      <c r="D132" s="407" t="n">
        <f aca="false">PJM_01212000!X132</f>
        <v>0.157341830203677</v>
      </c>
      <c r="E132" s="407" t="n">
        <f aca="false">VLOOKUP(B132,'Revenues &amp; Expenses'!$K$8:$N$258,2)</f>
        <v>0.074405151071058</v>
      </c>
      <c r="F132" s="408" t="n">
        <f aca="false">VLOOKUP(B132,'Revenues &amp; Expenses'!$K$8:$N$246,4)</f>
        <v>0.469049583227549</v>
      </c>
      <c r="G132" s="376" t="n">
        <f aca="false">(B132-$B$1)/365.25</f>
        <v>10.2422997946612</v>
      </c>
      <c r="H132" s="376" t="n">
        <f aca="false">SQRT(G132)</f>
        <v>3.20035932274193</v>
      </c>
      <c r="I132" s="376" t="n">
        <f aca="false">IF($I$2=0,0,-(D132^2)/2)</f>
        <v>0</v>
      </c>
      <c r="J132" s="409" t="n">
        <f aca="false">C132*EXP(I132*G132+D132*$I$2*H132)</f>
        <v>62.3499984741211</v>
      </c>
      <c r="L132" s="395"/>
      <c r="M132" s="395"/>
    </row>
    <row r="133" customFormat="false" ht="15.75" hidden="false" customHeight="false" outlineLevel="0" collapsed="false">
      <c r="B133" s="405" t="n">
        <f aca="false">'Revenues &amp; Expenses'!K133</f>
        <v>40360</v>
      </c>
      <c r="C133" s="406" t="n">
        <f aca="false">PJM_01212000!C162</f>
        <v>106.949996948242</v>
      </c>
      <c r="D133" s="407" t="n">
        <f aca="false">PJM_01212000!X133</f>
        <v>0.19230668136005</v>
      </c>
      <c r="E133" s="407" t="n">
        <f aca="false">VLOOKUP(B133,'Revenues &amp; Expenses'!$K$8:$N$258,2)</f>
        <v>0.074400144507628</v>
      </c>
      <c r="F133" s="408" t="n">
        <f aca="false">VLOOKUP(B133,'Revenues &amp; Expenses'!$K$8:$N$246,4)</f>
        <v>0.466267046239798</v>
      </c>
      <c r="G133" s="376" t="n">
        <f aca="false">(B133-$B$1)/365.25</f>
        <v>10.3244353182752</v>
      </c>
      <c r="H133" s="376" t="n">
        <f aca="false">SQRT(G133)</f>
        <v>3.21316593382215</v>
      </c>
      <c r="I133" s="376" t="n">
        <f aca="false">IF($I$2=0,0,-(D133^2)/2)</f>
        <v>0</v>
      </c>
      <c r="J133" s="409" t="n">
        <f aca="false">C133*EXP(I133*G133+D133*$I$2*H133)</f>
        <v>106.949996948242</v>
      </c>
      <c r="L133" s="395"/>
      <c r="M133" s="395"/>
    </row>
    <row r="134" customFormat="false" ht="15.75" hidden="false" customHeight="false" outlineLevel="0" collapsed="false">
      <c r="B134" s="405" t="n">
        <f aca="false">'Revenues &amp; Expenses'!K134</f>
        <v>40391</v>
      </c>
      <c r="C134" s="406" t="n">
        <f aca="false">PJM_01212000!C163</f>
        <v>93.9499969482422</v>
      </c>
      <c r="D134" s="407" t="n">
        <f aca="false">PJM_01212000!X134</f>
        <v>0.19230668136005</v>
      </c>
      <c r="E134" s="407" t="n">
        <f aca="false">VLOOKUP(B134,'Revenues &amp; Expenses'!$K$8:$N$258,2)</f>
        <v>0.07439497105876</v>
      </c>
      <c r="F134" s="408" t="n">
        <f aca="false">VLOOKUP(B134,'Revenues &amp; Expenses'!$K$8:$N$246,4)</f>
        <v>0.463409484284822</v>
      </c>
      <c r="G134" s="376" t="n">
        <f aca="false">(B134-$B$1)/365.25</f>
        <v>10.4093086926763</v>
      </c>
      <c r="H134" s="376" t="n">
        <f aca="false">SQRT(G134)</f>
        <v>3.22634602804415</v>
      </c>
      <c r="I134" s="376" t="n">
        <f aca="false">IF($I$2=0,0,-(D134^2)/2)</f>
        <v>0</v>
      </c>
      <c r="J134" s="409" t="n">
        <f aca="false">C134*EXP(I134*G134+D134*$I$2*H134)</f>
        <v>93.9499969482422</v>
      </c>
      <c r="L134" s="395"/>
      <c r="M134" s="395"/>
    </row>
    <row r="135" customFormat="false" ht="15.75" hidden="false" customHeight="false" outlineLevel="0" collapsed="false">
      <c r="B135" s="405" t="n">
        <f aca="false">'Revenues &amp; Expenses'!K135</f>
        <v>40422</v>
      </c>
      <c r="C135" s="406" t="n">
        <f aca="false">PJM_01212000!C164</f>
        <v>36.4249984741211</v>
      </c>
      <c r="D135" s="407" t="n">
        <f aca="false">PJM_01212000!X135</f>
        <v>0.123613110148792</v>
      </c>
      <c r="E135" s="407" t="n">
        <f aca="false">VLOOKUP(B135,'Revenues &amp; Expenses'!$K$8:$N$258,2)</f>
        <v>0.0743897976099</v>
      </c>
      <c r="F135" s="408" t="n">
        <f aca="false">VLOOKUP(B135,'Revenues &amp; Expenses'!$K$8:$N$246,4)</f>
        <v>0.46056982518633</v>
      </c>
      <c r="G135" s="376" t="n">
        <f aca="false">(B135-$B$1)/365.25</f>
        <v>10.4941820670773</v>
      </c>
      <c r="H135" s="376" t="n">
        <f aca="false">SQRT(G135)</f>
        <v>3.23947249827458</v>
      </c>
      <c r="I135" s="376" t="n">
        <f aca="false">IF($I$2=0,0,-(D135^2)/2)</f>
        <v>0</v>
      </c>
      <c r="J135" s="409" t="n">
        <f aca="false">C135*EXP(I135*G135+D135*$I$2*H135)</f>
        <v>36.4249984741211</v>
      </c>
      <c r="L135" s="395"/>
      <c r="M135" s="395"/>
    </row>
    <row r="136" customFormat="false" ht="15.75" hidden="false" customHeight="false" outlineLevel="0" collapsed="false">
      <c r="B136" s="405" t="n">
        <f aca="false">'Revenues &amp; Expenses'!K136</f>
        <v>40452</v>
      </c>
      <c r="C136" s="406" t="n">
        <f aca="false">PJM_01212000!C165</f>
        <v>30.0750003814697</v>
      </c>
      <c r="D136" s="407" t="n">
        <f aca="false">PJM_01212000!X136</f>
        <v>0.0874121278909317</v>
      </c>
      <c r="E136" s="407" t="n">
        <f aca="false">VLOOKUP(B136,'Revenues &amp; Expenses'!$K$8:$N$258,2)</f>
        <v>0.074384791046497</v>
      </c>
      <c r="F136" s="408" t="n">
        <f aca="false">VLOOKUP(B136,'Revenues &amp; Expenses'!$K$8:$N$246,4)</f>
        <v>0.45783870604791</v>
      </c>
      <c r="G136" s="376" t="n">
        <f aca="false">(B136-$B$1)/365.25</f>
        <v>10.5763175906913</v>
      </c>
      <c r="H136" s="376" t="n">
        <f aca="false">SQRT(G136)</f>
        <v>3.25212508841393</v>
      </c>
      <c r="I136" s="376" t="n">
        <f aca="false">IF($I$2=0,0,-(D136^2)/2)</f>
        <v>0</v>
      </c>
      <c r="J136" s="409" t="n">
        <f aca="false">C136*EXP(I136*G136+D136*$I$2*H136)</f>
        <v>30.0750003814697</v>
      </c>
      <c r="L136" s="395"/>
      <c r="M136" s="395"/>
    </row>
    <row r="137" customFormat="false" ht="15.75" hidden="false" customHeight="false" outlineLevel="0" collapsed="false">
      <c r="B137" s="405" t="n">
        <f aca="false">'Revenues &amp; Expenses'!K137</f>
        <v>40483</v>
      </c>
      <c r="C137" s="406" t="n">
        <f aca="false">PJM_01212000!C166</f>
        <v>29.7474990844727</v>
      </c>
      <c r="D137" s="407" t="n">
        <f aca="false">PJM_01212000!X137</f>
        <v>0.0874121278909317</v>
      </c>
      <c r="E137" s="407" t="n">
        <f aca="false">VLOOKUP(B137,'Revenues &amp; Expenses'!$K$8:$N$258,2)</f>
        <v>0.074379617597654</v>
      </c>
      <c r="F137" s="408" t="n">
        <f aca="false">VLOOKUP(B137,'Revenues &amp; Expenses'!$K$8:$N$246,4)</f>
        <v>0.455033941535936</v>
      </c>
      <c r="G137" s="376" t="n">
        <f aca="false">(B137-$B$1)/365.25</f>
        <v>10.6611909650924</v>
      </c>
      <c r="H137" s="376" t="n">
        <f aca="false">SQRT(G137)</f>
        <v>3.26514792392204</v>
      </c>
      <c r="I137" s="376" t="n">
        <f aca="false">IF($I$2=0,0,-(D137^2)/2)</f>
        <v>0</v>
      </c>
      <c r="J137" s="409" t="n">
        <f aca="false">C137*EXP(I137*G137+D137*$I$2*H137)</f>
        <v>29.7474990844727</v>
      </c>
      <c r="L137" s="395"/>
      <c r="M137" s="395"/>
    </row>
    <row r="138" customFormat="false" ht="15.75" hidden="false" customHeight="false" outlineLevel="0" collapsed="false">
      <c r="B138" s="405" t="n">
        <f aca="false">'Revenues &amp; Expenses'!K138</f>
        <v>40513</v>
      </c>
      <c r="C138" s="406" t="n">
        <f aca="false">PJM_01212000!C167</f>
        <v>31.4999996185303</v>
      </c>
      <c r="D138" s="407" t="n">
        <f aca="false">PJM_01212000!X138</f>
        <v>0.0874121278909317</v>
      </c>
      <c r="E138" s="407" t="n">
        <f aca="false">VLOOKUP(B138,'Revenues &amp; Expenses'!$K$8:$N$258,2)</f>
        <v>0.074374611034267</v>
      </c>
      <c r="F138" s="408" t="n">
        <f aca="false">VLOOKUP(B138,'Revenues &amp; Expenses'!$K$8:$N$246,4)</f>
        <v>0.452336378891516</v>
      </c>
      <c r="G138" s="376" t="n">
        <f aca="false">(B138-$B$1)/365.25</f>
        <v>10.7433264887064</v>
      </c>
      <c r="H138" s="376" t="n">
        <f aca="false">SQRT(G138)</f>
        <v>3.27770140322549</v>
      </c>
      <c r="I138" s="376" t="n">
        <f aca="false">IF($I$2=0,0,-(D138^2)/2)</f>
        <v>0</v>
      </c>
      <c r="J138" s="409" t="n">
        <f aca="false">C138*EXP(I138*G138+D138*$I$2*H138)</f>
        <v>31.4999996185303</v>
      </c>
      <c r="L138" s="395"/>
      <c r="M138" s="395"/>
    </row>
    <row r="139" customFormat="false" ht="15.75" hidden="false" customHeight="false" outlineLevel="0" collapsed="false">
      <c r="B139" s="405" t="n">
        <f aca="false">'Revenues &amp; Expenses'!K139</f>
        <v>40544</v>
      </c>
      <c r="C139" s="406" t="n">
        <f aca="false">PJM_01212000!C168</f>
        <v>40.0749984741211</v>
      </c>
      <c r="D139" s="407" t="n">
        <f aca="false">PJM_01212000!X139</f>
        <v>0.134265028440471</v>
      </c>
      <c r="E139" s="407" t="n">
        <f aca="false">VLOOKUP(B139,'Revenues &amp; Expenses'!$K$8:$N$258,2)</f>
        <v>0.074369437585442</v>
      </c>
      <c r="F139" s="408" t="n">
        <f aca="false">VLOOKUP(B139,'Revenues &amp; Expenses'!$K$8:$N$246,4)</f>
        <v>0.449566071296563</v>
      </c>
      <c r="G139" s="376" t="n">
        <f aca="false">(B139-$B$1)/365.25</f>
        <v>10.8281998631075</v>
      </c>
      <c r="H139" s="376" t="n">
        <f aca="false">SQRT(G139)</f>
        <v>3.29062302050956</v>
      </c>
      <c r="I139" s="376" t="n">
        <f aca="false">IF($I$2=0,0,-(D139^2)/2)</f>
        <v>0</v>
      </c>
      <c r="J139" s="409" t="n">
        <f aca="false">C139*EXP(I139*G139+D139*$I$2*H139)</f>
        <v>40.0749984741211</v>
      </c>
      <c r="L139" s="395"/>
      <c r="M139" s="395"/>
    </row>
    <row r="140" customFormat="false" ht="15.75" hidden="false" customHeight="false" outlineLevel="0" collapsed="false">
      <c r="B140" s="405" t="n">
        <f aca="false">'Revenues &amp; Expenses'!K140</f>
        <v>40575</v>
      </c>
      <c r="C140" s="406" t="n">
        <f aca="false">PJM_01212000!C169</f>
        <v>40.0749984741211</v>
      </c>
      <c r="D140" s="407" t="n">
        <f aca="false">PJM_01212000!X140</f>
        <v>0.134265028440471</v>
      </c>
      <c r="E140" s="407" t="n">
        <f aca="false">VLOOKUP(B140,'Revenues &amp; Expenses'!$K$8:$N$258,2)</f>
        <v>0.074364264136626</v>
      </c>
      <c r="F140" s="408" t="n">
        <f aca="false">VLOOKUP(B140,'Revenues &amp; Expenses'!$K$8:$N$246,4)</f>
        <v>0.446813108661613</v>
      </c>
      <c r="G140" s="376" t="n">
        <f aca="false">(B140-$B$1)/365.25</f>
        <v>10.9130732375086</v>
      </c>
      <c r="H140" s="376" t="n">
        <f aca="false">SQRT(G140)</f>
        <v>3.30349409527375</v>
      </c>
      <c r="I140" s="376" t="n">
        <f aca="false">IF($I$2=0,0,-(D140^2)/2)</f>
        <v>0</v>
      </c>
      <c r="J140" s="409" t="n">
        <f aca="false">C140*EXP(I140*G140+D140*$I$2*H140)</f>
        <v>40.0749984741211</v>
      </c>
      <c r="L140" s="395"/>
      <c r="M140" s="395"/>
    </row>
    <row r="141" customFormat="false" ht="15.75" hidden="false" customHeight="false" outlineLevel="0" collapsed="false">
      <c r="B141" s="405" t="n">
        <f aca="false">'Revenues &amp; Expenses'!K141</f>
        <v>40603</v>
      </c>
      <c r="C141" s="406" t="n">
        <f aca="false">PJM_01212000!C170</f>
        <v>29.8000007629395</v>
      </c>
      <c r="D141" s="407" t="n">
        <f aca="false">PJM_01212000!X141</f>
        <v>0.111887523700393</v>
      </c>
      <c r="E141" s="407" t="n">
        <f aca="false">VLOOKUP(B141,'Revenues &amp; Expenses'!$K$8:$N$258,2)</f>
        <v>0.074359591344155</v>
      </c>
      <c r="F141" s="408" t="n">
        <f aca="false">VLOOKUP(B141,'Revenues &amp; Expenses'!$K$8:$N$246,4)</f>
        <v>0.444341377900915</v>
      </c>
      <c r="G141" s="376" t="n">
        <f aca="false">(B141-$B$1)/365.25</f>
        <v>10.9897330595483</v>
      </c>
      <c r="H141" s="376" t="n">
        <f aca="false">SQRT(G141)</f>
        <v>3.31507662951375</v>
      </c>
      <c r="I141" s="376" t="n">
        <f aca="false">IF($I$2=0,0,-(D141^2)/2)</f>
        <v>0</v>
      </c>
      <c r="J141" s="409" t="n">
        <f aca="false">C141*EXP(I141*G141+D141*$I$2*H141)</f>
        <v>29.8000007629395</v>
      </c>
      <c r="L141" s="395"/>
      <c r="M141" s="395"/>
    </row>
    <row r="142" customFormat="false" ht="15.75" hidden="false" customHeight="false" outlineLevel="0" collapsed="false">
      <c r="B142" s="405" t="n">
        <f aca="false">'Revenues &amp; Expenses'!K142</f>
        <v>40634</v>
      </c>
      <c r="C142" s="406" t="n">
        <f aca="false">PJM_01212000!C171</f>
        <v>29.5750007629395</v>
      </c>
      <c r="D142" s="407" t="n">
        <f aca="false">PJM_01212000!X142</f>
        <v>0.106293147515373</v>
      </c>
      <c r="E142" s="407" t="n">
        <f aca="false">VLOOKUP(B142,'Revenues &amp; Expenses'!$K$8:$N$258,2)</f>
        <v>0.074354417895356</v>
      </c>
      <c r="F142" s="408" t="n">
        <f aca="false">VLOOKUP(B142,'Revenues &amp; Expenses'!$K$8:$N$246,4)</f>
        <v>0.441621120962987</v>
      </c>
      <c r="G142" s="376" t="n">
        <f aca="false">(B142-$B$1)/365.25</f>
        <v>11.0746064339494</v>
      </c>
      <c r="H142" s="376" t="n">
        <f aca="false">SQRT(G142)</f>
        <v>3.32785312685962</v>
      </c>
      <c r="I142" s="376" t="n">
        <f aca="false">IF($I$2=0,0,-(D142^2)/2)</f>
        <v>0</v>
      </c>
      <c r="J142" s="409" t="n">
        <f aca="false">C142*EXP(I142*G142+D142*$I$2*H142)</f>
        <v>29.5750007629395</v>
      </c>
      <c r="L142" s="395"/>
      <c r="M142" s="395"/>
    </row>
    <row r="143" customFormat="false" ht="15.75" hidden="false" customHeight="false" outlineLevel="0" collapsed="false">
      <c r="B143" s="405" t="n">
        <f aca="false">'Revenues &amp; Expenses'!K143</f>
        <v>40664</v>
      </c>
      <c r="C143" s="406" t="n">
        <f aca="false">PJM_01212000!C172</f>
        <v>37.575</v>
      </c>
      <c r="D143" s="407" t="n">
        <f aca="false">PJM_01212000!X143</f>
        <v>0.117481899885412</v>
      </c>
      <c r="E143" s="407" t="n">
        <f aca="false">VLOOKUP(B143,'Revenues &amp; Expenses'!$K$8:$N$258,2)</f>
        <v>0.074349411332009</v>
      </c>
      <c r="F143" s="408" t="n">
        <f aca="false">VLOOKUP(B143,'Revenues &amp; Expenses'!$K$8:$N$246,4)</f>
        <v>0.439004825526222</v>
      </c>
      <c r="G143" s="376" t="n">
        <f aca="false">(B143-$B$1)/365.25</f>
        <v>11.1567419575633</v>
      </c>
      <c r="H143" s="376" t="n">
        <f aca="false">SQRT(G143)</f>
        <v>3.34017094735633</v>
      </c>
      <c r="I143" s="376" t="n">
        <f aca="false">IF($I$2=0,0,-(D143^2)/2)</f>
        <v>0</v>
      </c>
      <c r="J143" s="409" t="n">
        <f aca="false">C143*EXP(I143*G143+D143*$I$2*H143)</f>
        <v>37.575</v>
      </c>
      <c r="L143" s="395"/>
      <c r="M143" s="395"/>
    </row>
    <row r="144" customFormat="false" ht="15.75" hidden="false" customHeight="false" outlineLevel="0" collapsed="false">
      <c r="B144" s="405" t="n">
        <f aca="false">'Revenues &amp; Expenses'!K144</f>
        <v>40695</v>
      </c>
      <c r="C144" s="406" t="n">
        <f aca="false">PJM_01212000!C173</f>
        <v>63.0999984741211</v>
      </c>
      <c r="D144" s="407" t="n">
        <f aca="false">PJM_01212000!X144</f>
        <v>0.15104815699553</v>
      </c>
      <c r="E144" s="407" t="n">
        <f aca="false">VLOOKUP(B144,'Revenues &amp; Expenses'!$K$8:$N$258,2)</f>
        <v>0.074344237883228</v>
      </c>
      <c r="F144" s="408" t="n">
        <f aca="false">VLOOKUP(B144,'Revenues &amp; Expenses'!$K$8:$N$246,4)</f>
        <v>0.436317966012606</v>
      </c>
      <c r="G144" s="376" t="n">
        <f aca="false">(B144-$B$1)/365.25</f>
        <v>11.2416153319644</v>
      </c>
      <c r="H144" s="376" t="n">
        <f aca="false">SQRT(G144)</f>
        <v>3.35285182075862</v>
      </c>
      <c r="I144" s="376" t="n">
        <f aca="false">IF($I$2=0,0,-(D144^2)/2)</f>
        <v>0</v>
      </c>
      <c r="J144" s="409" t="n">
        <f aca="false">C144*EXP(I144*G144+D144*$I$2*H144)</f>
        <v>63.0999984741211</v>
      </c>
      <c r="L144" s="395"/>
      <c r="M144" s="395"/>
    </row>
    <row r="145" customFormat="false" ht="15.75" hidden="false" customHeight="false" outlineLevel="0" collapsed="false">
      <c r="B145" s="405" t="n">
        <f aca="false">'Revenues &amp; Expenses'!K145</f>
        <v>40725</v>
      </c>
      <c r="C145" s="406" t="n">
        <f aca="false">PJM_01212000!C174</f>
        <v>109.199996948242</v>
      </c>
      <c r="D145" s="407" t="n">
        <f aca="false">PJM_01212000!X145</f>
        <v>0.184614414105648</v>
      </c>
      <c r="E145" s="407" t="n">
        <f aca="false">VLOOKUP(B145,'Revenues &amp; Expenses'!$K$8:$N$258,2)</f>
        <v>0.074339231319899</v>
      </c>
      <c r="F145" s="408" t="n">
        <f aca="false">VLOOKUP(B145,'Revenues &amp; Expenses'!$K$8:$N$246,4)</f>
        <v>0.433733787493984</v>
      </c>
      <c r="G145" s="376" t="n">
        <f aca="false">(B145-$B$1)/365.25</f>
        <v>11.3237508555784</v>
      </c>
      <c r="H145" s="376" t="n">
        <f aca="false">SQRT(G145)</f>
        <v>3.36507813513719</v>
      </c>
      <c r="I145" s="376" t="n">
        <f aca="false">IF($I$2=0,0,-(D145^2)/2)</f>
        <v>0</v>
      </c>
      <c r="J145" s="409" t="n">
        <f aca="false">C145*EXP(I145*G145+D145*$I$2*H145)</f>
        <v>109.199996948242</v>
      </c>
      <c r="L145" s="395"/>
      <c r="M145" s="395"/>
    </row>
    <row r="146" customFormat="false" ht="15.75" hidden="false" customHeight="false" outlineLevel="0" collapsed="false">
      <c r="B146" s="405" t="n">
        <f aca="false">'Revenues &amp; Expenses'!K146</f>
        <v>40756</v>
      </c>
      <c r="C146" s="406" t="n">
        <f aca="false">PJM_01212000!C175</f>
        <v>96.1999969482422</v>
      </c>
      <c r="D146" s="407" t="n">
        <f aca="false">PJM_01212000!X146</f>
        <v>0.184614414105648</v>
      </c>
      <c r="E146" s="407" t="n">
        <f aca="false">VLOOKUP(B146,'Revenues &amp; Expenses'!$K$8:$N$258,2)</f>
        <v>0.074334057871135</v>
      </c>
      <c r="F146" s="408" t="n">
        <f aca="false">VLOOKUP(B146,'Revenues &amp; Expenses'!$K$8:$N$246,4)</f>
        <v>0.431079906873135</v>
      </c>
      <c r="G146" s="376" t="n">
        <f aca="false">(B146-$B$1)/365.25</f>
        <v>11.4086242299795</v>
      </c>
      <c r="H146" s="376" t="n">
        <f aca="false">SQRT(G146)</f>
        <v>3.37766550001321</v>
      </c>
      <c r="I146" s="376" t="n">
        <f aca="false">IF($I$2=0,0,-(D146^2)/2)</f>
        <v>0</v>
      </c>
      <c r="J146" s="409" t="n">
        <f aca="false">C146*EXP(I146*G146+D146*$I$2*H146)</f>
        <v>96.1999969482422</v>
      </c>
      <c r="L146" s="395"/>
      <c r="M146" s="395"/>
    </row>
    <row r="147" customFormat="false" ht="15.75" hidden="false" customHeight="false" outlineLevel="0" collapsed="false">
      <c r="B147" s="405" t="n">
        <f aca="false">'Revenues &amp; Expenses'!K147</f>
        <v>40787</v>
      </c>
      <c r="C147" s="406" t="n">
        <f aca="false">PJM_01212000!C176</f>
        <v>36.9249984741211</v>
      </c>
      <c r="D147" s="407" t="n">
        <f aca="false">PJM_01212000!X147</f>
        <v>0.118668585742841</v>
      </c>
      <c r="E147" s="407" t="n">
        <f aca="false">VLOOKUP(B147,'Revenues &amp; Expenses'!$K$8:$N$258,2)</f>
        <v>0.074328884422379</v>
      </c>
      <c r="F147" s="408" t="n">
        <f aca="false">VLOOKUP(B147,'Revenues &amp; Expenses'!$K$8:$N$246,4)</f>
        <v>0.428442627339498</v>
      </c>
      <c r="G147" s="376" t="n">
        <f aca="false">(B147-$B$1)/365.25</f>
        <v>11.4934976043806</v>
      </c>
      <c r="H147" s="376" t="n">
        <f aca="false">SQRT(G147)</f>
        <v>3.39020613007241</v>
      </c>
      <c r="I147" s="376" t="n">
        <f aca="false">IF($I$2=0,0,-(D147^2)/2)</f>
        <v>0</v>
      </c>
      <c r="J147" s="409" t="n">
        <f aca="false">C147*EXP(I147*G147+D147*$I$2*H147)</f>
        <v>36.9249984741211</v>
      </c>
      <c r="L147" s="395"/>
      <c r="M147" s="395"/>
    </row>
    <row r="148" customFormat="false" ht="15.75" hidden="false" customHeight="false" outlineLevel="0" collapsed="false">
      <c r="B148" s="405" t="n">
        <f aca="false">'Revenues &amp; Expenses'!K148</f>
        <v>40817</v>
      </c>
      <c r="C148" s="406" t="n">
        <f aca="false">PJM_01212000!C177</f>
        <v>30.3250003814697</v>
      </c>
      <c r="D148" s="407" t="n">
        <f aca="false">PJM_01212000!X148</f>
        <v>0.0839156427752944</v>
      </c>
      <c r="E148" s="407" t="n">
        <f aca="false">VLOOKUP(B148,'Revenues &amp; Expenses'!$K$8:$N$258,2)</f>
        <v>0.074323877859076</v>
      </c>
      <c r="F148" s="408" t="n">
        <f aca="false">VLOOKUP(B148,'Revenues &amp; Expenses'!$K$8:$N$246,4)</f>
        <v>0.425906127925494</v>
      </c>
      <c r="G148" s="376" t="n">
        <f aca="false">(B148-$B$1)/365.25</f>
        <v>11.5756331279945</v>
      </c>
      <c r="H148" s="376" t="n">
        <f aca="false">SQRT(G148)</f>
        <v>3.40229821267838</v>
      </c>
      <c r="I148" s="376" t="n">
        <f aca="false">IF($I$2=0,0,-(D148^2)/2)</f>
        <v>0</v>
      </c>
      <c r="J148" s="409" t="n">
        <f aca="false">C148*EXP(I148*G148+D148*$I$2*H148)</f>
        <v>30.3250003814697</v>
      </c>
      <c r="L148" s="395"/>
      <c r="M148" s="395"/>
    </row>
    <row r="149" customFormat="false" ht="15.75" hidden="false" customHeight="false" outlineLevel="0" collapsed="false">
      <c r="B149" s="405" t="n">
        <f aca="false">'Revenues &amp; Expenses'!K149</f>
        <v>40848</v>
      </c>
      <c r="C149" s="406" t="n">
        <f aca="false">PJM_01212000!C178</f>
        <v>29.9974990844727</v>
      </c>
      <c r="D149" s="407" t="n">
        <f aca="false">PJM_01212000!X149</f>
        <v>0.0839156427752944</v>
      </c>
      <c r="E149" s="407" t="n">
        <f aca="false">VLOOKUP(B149,'Revenues &amp; Expenses'!$K$8:$N$258,2)</f>
        <v>0.074318704410337</v>
      </c>
      <c r="F149" s="408" t="n">
        <f aca="false">VLOOKUP(B149,'Revenues &amp; Expenses'!$K$8:$N$246,4)</f>
        <v>0.423301206148127</v>
      </c>
      <c r="G149" s="376" t="n">
        <f aca="false">(B149-$B$1)/365.25</f>
        <v>11.6605065023956</v>
      </c>
      <c r="H149" s="376" t="n">
        <f aca="false">SQRT(G149)</f>
        <v>3.41474838053928</v>
      </c>
      <c r="I149" s="376" t="n">
        <f aca="false">IF($I$2=0,0,-(D149^2)/2)</f>
        <v>0</v>
      </c>
      <c r="J149" s="409" t="n">
        <f aca="false">C149*EXP(I149*G149+D149*$I$2*H149)</f>
        <v>29.9974990844727</v>
      </c>
      <c r="L149" s="395"/>
      <c r="M149" s="395"/>
    </row>
    <row r="150" customFormat="false" ht="15.75" hidden="false" customHeight="false" outlineLevel="0" collapsed="false">
      <c r="B150" s="405" t="n">
        <f aca="false">'Revenues &amp; Expenses'!K150</f>
        <v>40878</v>
      </c>
      <c r="C150" s="406" t="n">
        <f aca="false">PJM_01212000!C179</f>
        <v>31.7499996185303</v>
      </c>
      <c r="D150" s="407" t="n">
        <f aca="false">PJM_01212000!X150</f>
        <v>0.0839156427752944</v>
      </c>
      <c r="E150" s="407" t="n">
        <f aca="false">VLOOKUP(B150,'Revenues &amp; Expenses'!$K$8:$N$258,2)</f>
        <v>0.07431369784705</v>
      </c>
      <c r="F150" s="408" t="n">
        <f aca="false">VLOOKUP(B150,'Revenues &amp; Expenses'!$K$8:$N$246,4)</f>
        <v>0.420795823969066</v>
      </c>
      <c r="G150" s="376" t="n">
        <f aca="false">(B150-$B$1)/365.25</f>
        <v>11.7426420260096</v>
      </c>
      <c r="H150" s="376" t="n">
        <f aca="false">SQRT(G150)</f>
        <v>3.42675386131096</v>
      </c>
      <c r="I150" s="376" t="n">
        <f aca="false">IF($I$2=0,0,-(D150^2)/2)</f>
        <v>0</v>
      </c>
      <c r="J150" s="409" t="n">
        <f aca="false">C150*EXP(I150*G150+D150*$I$2*H150)</f>
        <v>31.7499996185303</v>
      </c>
      <c r="L150" s="395"/>
      <c r="M150" s="395"/>
    </row>
    <row r="151" customFormat="false" ht="15.75" hidden="false" customHeight="false" outlineLevel="0" collapsed="false">
      <c r="B151" s="405" t="n">
        <f aca="false">'Revenues &amp; Expenses'!K151</f>
        <v>40909</v>
      </c>
      <c r="C151" s="406" t="n">
        <f aca="false">PJM_01212000!C180</f>
        <v>40.3249984741211</v>
      </c>
      <c r="D151" s="407" t="n">
        <f aca="false">PJM_01212000!X151</f>
        <v>0.128894427302852</v>
      </c>
      <c r="E151" s="407" t="n">
        <f aca="false">VLOOKUP(B151,'Revenues &amp; Expenses'!$K$8:$N$258,2)</f>
        <v>0.07430852439833</v>
      </c>
      <c r="F151" s="408" t="n">
        <f aca="false">VLOOKUP(B151,'Revenues &amp; Expenses'!$K$8:$N$246,4)</f>
        <v>0.418222854696821</v>
      </c>
      <c r="G151" s="376" t="n">
        <f aca="false">(B151-$B$1)/365.25</f>
        <v>11.8275154004107</v>
      </c>
      <c r="H151" s="376" t="n">
        <f aca="false">SQRT(G151)</f>
        <v>3.43911549681174</v>
      </c>
      <c r="I151" s="376" t="n">
        <f aca="false">IF($I$2=0,0,-(D151^2)/2)</f>
        <v>0</v>
      </c>
      <c r="J151" s="409" t="n">
        <f aca="false">C151*EXP(I151*G151+D151*$I$2*H151)</f>
        <v>40.3249984741211</v>
      </c>
      <c r="L151" s="395"/>
      <c r="M151" s="395"/>
    </row>
    <row r="152" customFormat="false" ht="15.75" hidden="false" customHeight="false" outlineLevel="0" collapsed="false">
      <c r="B152" s="405" t="n">
        <f aca="false">'Revenues &amp; Expenses'!K152</f>
        <v>40940</v>
      </c>
      <c r="C152" s="406" t="n">
        <f aca="false">PJM_01212000!C181</f>
        <v>40.3249984741211</v>
      </c>
      <c r="D152" s="407" t="n">
        <f aca="false">PJM_01212000!X152</f>
        <v>0.128894427302852</v>
      </c>
      <c r="E152" s="407" t="n">
        <f aca="false">VLOOKUP(B152,'Revenues &amp; Expenses'!$K$8:$N$258,2)</f>
        <v>0.074303350949618</v>
      </c>
      <c r="F152" s="408" t="n">
        <f aca="false">VLOOKUP(B152,'Revenues &amp; Expenses'!$K$8:$N$246,4)</f>
        <v>0.415665969938965</v>
      </c>
      <c r="G152" s="376" t="n">
        <f aca="false">(B152-$B$1)/365.25</f>
        <v>11.9123887748118</v>
      </c>
      <c r="H152" s="376" t="n">
        <f aca="false">SQRT(G152)</f>
        <v>3.45143285822161</v>
      </c>
      <c r="I152" s="376" t="n">
        <f aca="false">IF($I$2=0,0,-(D152^2)/2)</f>
        <v>0</v>
      </c>
      <c r="J152" s="409" t="n">
        <f aca="false">C152*EXP(I152*G152+D152*$I$2*H152)</f>
        <v>40.3249984741211</v>
      </c>
      <c r="L152" s="395"/>
      <c r="M152" s="395"/>
    </row>
    <row r="153" customFormat="false" ht="15.75" hidden="false" customHeight="false" outlineLevel="0" collapsed="false">
      <c r="B153" s="405" t="n">
        <f aca="false">'Revenues &amp; Expenses'!K153</f>
        <v>40969</v>
      </c>
      <c r="C153" s="406" t="n">
        <f aca="false">PJM_01212000!C182</f>
        <v>30.0500007629395</v>
      </c>
      <c r="D153" s="407" t="n">
        <f aca="false">PJM_01212000!X153</f>
        <v>0.107412022752377</v>
      </c>
      <c r="E153" s="407" t="n">
        <f aca="false">VLOOKUP(B153,'Revenues &amp; Expenses'!$K$8:$N$258,2)</f>
        <v>0.074298511271798</v>
      </c>
      <c r="F153" s="408" t="n">
        <f aca="false">VLOOKUP(B153,'Revenues &amp; Expenses'!$K$8:$N$246,4)</f>
        <v>0.413288515968606</v>
      </c>
      <c r="G153" s="376" t="n">
        <f aca="false">(B153-$B$1)/365.25</f>
        <v>11.9917864476386</v>
      </c>
      <c r="H153" s="376" t="n">
        <f aca="false">SQRT(G153)</f>
        <v>3.46291588803982</v>
      </c>
      <c r="I153" s="376" t="n">
        <f aca="false">IF($I$2=0,0,-(D153^2)/2)</f>
        <v>0</v>
      </c>
      <c r="J153" s="409" t="n">
        <f aca="false">C153*EXP(I153*G153+D153*$I$2*H153)</f>
        <v>30.0500007629395</v>
      </c>
      <c r="L153" s="395"/>
      <c r="M153" s="395"/>
    </row>
    <row r="154" customFormat="false" ht="15.75" hidden="false" customHeight="false" outlineLevel="0" collapsed="false">
      <c r="B154" s="405" t="n">
        <f aca="false">'Revenues &amp; Expenses'!K154</f>
        <v>41000</v>
      </c>
      <c r="C154" s="406" t="n">
        <f aca="false">PJM_01212000!C183</f>
        <v>29.8250007629395</v>
      </c>
      <c r="D154" s="407" t="n">
        <f aca="false">PJM_01212000!X154</f>
        <v>0.102041421614758</v>
      </c>
      <c r="E154" s="407" t="n">
        <f aca="false">VLOOKUP(B154,'Revenues &amp; Expenses'!$K$8:$N$258,2)</f>
        <v>0.074293337823104</v>
      </c>
      <c r="F154" s="408" t="n">
        <f aca="false">VLOOKUP(B154,'Revenues &amp; Expenses'!$K$8:$N$246,4)</f>
        <v>0.410762471508243</v>
      </c>
      <c r="G154" s="376" t="n">
        <f aca="false">(B154-$B$1)/365.25</f>
        <v>12.0766598220397</v>
      </c>
      <c r="H154" s="376" t="n">
        <f aca="false">SQRT(G154)</f>
        <v>3.47514889206775</v>
      </c>
      <c r="I154" s="376" t="n">
        <f aca="false">IF($I$2=0,0,-(D154^2)/2)</f>
        <v>0</v>
      </c>
      <c r="J154" s="409" t="n">
        <f aca="false">C154*EXP(I154*G154+D154*$I$2*H154)</f>
        <v>29.8250007629395</v>
      </c>
      <c r="L154" s="395"/>
      <c r="M154" s="395"/>
    </row>
    <row r="155" customFormat="false" ht="15.75" hidden="false" customHeight="false" outlineLevel="0" collapsed="false">
      <c r="B155" s="405" t="n">
        <f aca="false">'Revenues &amp; Expenses'!K155</f>
        <v>41030</v>
      </c>
      <c r="C155" s="406" t="n">
        <f aca="false">PJM_01212000!C184</f>
        <v>37.825</v>
      </c>
      <c r="D155" s="407" t="n">
        <f aca="false">PJM_01212000!X155</f>
        <v>0.112782623889996</v>
      </c>
      <c r="E155" s="407" t="n">
        <f aca="false">VLOOKUP(B155,'Revenues &amp; Expenses'!$K$8:$N$258,2)</f>
        <v>0.074288331259859</v>
      </c>
      <c r="F155" s="408" t="n">
        <f aca="false">VLOOKUP(B155,'Revenues &amp; Expenses'!$K$8:$N$246,4)</f>
        <v>0.408332942879886</v>
      </c>
      <c r="G155" s="376" t="n">
        <f aca="false">(B155-$B$1)/365.25</f>
        <v>12.1587953456537</v>
      </c>
      <c r="H155" s="376" t="n">
        <f aca="false">SQRT(G155)</f>
        <v>3.48694642139131</v>
      </c>
      <c r="I155" s="376" t="n">
        <f aca="false">IF($I$2=0,0,-(D155^2)/2)</f>
        <v>0</v>
      </c>
      <c r="J155" s="409" t="n">
        <f aca="false">C155*EXP(I155*G155+D155*$I$2*H155)</f>
        <v>37.825</v>
      </c>
      <c r="L155" s="395"/>
      <c r="M155" s="395"/>
    </row>
    <row r="156" customFormat="false" ht="15.75" hidden="false" customHeight="false" outlineLevel="0" collapsed="false">
      <c r="B156" s="405" t="n">
        <f aca="false">'Revenues &amp; Expenses'!K156</f>
        <v>41061</v>
      </c>
      <c r="C156" s="406" t="n">
        <f aca="false">PJM_01212000!C185</f>
        <v>63.8499984741211</v>
      </c>
      <c r="D156" s="407" t="n">
        <f aca="false">PJM_01212000!X156</f>
        <v>0.145006230715709</v>
      </c>
      <c r="E156" s="407" t="n">
        <f aca="false">VLOOKUP(B156,'Revenues &amp; Expenses'!$K$8:$N$258,2)</f>
        <v>0.074283157811181</v>
      </c>
      <c r="F156" s="408" t="n">
        <f aca="false">VLOOKUP(B156,'Revenues &amp; Expenses'!$K$8:$N$246,4)</f>
        <v>0.405837863484095</v>
      </c>
      <c r="G156" s="376" t="n">
        <f aca="false">(B156-$B$1)/365.25</f>
        <v>12.2436687200548</v>
      </c>
      <c r="H156" s="376" t="n">
        <f aca="false">SQRT(G156)</f>
        <v>3.49909541453999</v>
      </c>
      <c r="I156" s="376" t="n">
        <f aca="false">IF($I$2=0,0,-(D156^2)/2)</f>
        <v>0</v>
      </c>
      <c r="J156" s="409" t="n">
        <f aca="false">C156*EXP(I156*G156+D156*$I$2*H156)</f>
        <v>63.8499984741211</v>
      </c>
      <c r="L156" s="395"/>
      <c r="M156" s="395"/>
    </row>
    <row r="157" customFormat="false" ht="15.75" hidden="false" customHeight="false" outlineLevel="0" collapsed="false">
      <c r="B157" s="405" t="n">
        <f aca="false">'Revenues &amp; Expenses'!K157</f>
        <v>41091</v>
      </c>
      <c r="C157" s="406" t="n">
        <f aca="false">PJM_01212000!C186</f>
        <v>111.449996948242</v>
      </c>
      <c r="D157" s="407" t="n">
        <f aca="false">PJM_01212000!X157</f>
        <v>0.177229837541422</v>
      </c>
      <c r="E157" s="407" t="n">
        <f aca="false">VLOOKUP(B157,'Revenues &amp; Expenses'!$K$8:$N$258,2)</f>
        <v>0.074278151247953</v>
      </c>
      <c r="F157" s="408" t="n">
        <f aca="false">VLOOKUP(B157,'Revenues &amp; Expenses'!$K$8:$N$246,4)</f>
        <v>0.40343811295465</v>
      </c>
      <c r="G157" s="376" t="n">
        <f aca="false">(B157-$B$1)/365.25</f>
        <v>12.3258042436687</v>
      </c>
      <c r="H157" s="376" t="n">
        <f aca="false">SQRT(G157)</f>
        <v>3.51081247628932</v>
      </c>
      <c r="I157" s="376" t="n">
        <f aca="false">IF($I$2=0,0,-(D157^2)/2)</f>
        <v>0</v>
      </c>
      <c r="J157" s="409" t="n">
        <f aca="false">C157*EXP(I157*G157+D157*$I$2*H157)</f>
        <v>111.449996948242</v>
      </c>
      <c r="L157" s="395"/>
      <c r="M157" s="395"/>
    </row>
    <row r="158" customFormat="false" ht="15.75" hidden="false" customHeight="false" outlineLevel="0" collapsed="false">
      <c r="B158" s="405" t="n">
        <f aca="false">'Revenues &amp; Expenses'!K158</f>
        <v>41122</v>
      </c>
      <c r="C158" s="406" t="n">
        <f aca="false">PJM_01212000!C187</f>
        <v>98.4499969482422</v>
      </c>
      <c r="D158" s="407" t="n">
        <f aca="false">PJM_01212000!X158</f>
        <v>0.177229837541422</v>
      </c>
      <c r="E158" s="407" t="n">
        <f aca="false">VLOOKUP(B158,'Revenues &amp; Expenses'!$K$8:$N$258,2)</f>
        <v>0.074272977799293</v>
      </c>
      <c r="F158" s="408" t="n">
        <f aca="false">VLOOKUP(B158,'Revenues &amp; Expenses'!$K$8:$N$246,4)</f>
        <v>0.400973611149424</v>
      </c>
      <c r="G158" s="376" t="n">
        <f aca="false">(B158-$B$1)/365.25</f>
        <v>12.4106776180698</v>
      </c>
      <c r="H158" s="376" t="n">
        <f aca="false">SQRT(G158)</f>
        <v>3.52287916597629</v>
      </c>
      <c r="I158" s="376" t="n">
        <f aca="false">IF($I$2=0,0,-(D158^2)/2)</f>
        <v>0</v>
      </c>
      <c r="J158" s="409" t="n">
        <f aca="false">C158*EXP(I158*G158+D158*$I$2*H158)</f>
        <v>98.4499969482422</v>
      </c>
      <c r="L158" s="395"/>
      <c r="M158" s="395"/>
    </row>
    <row r="159" customFormat="false" ht="15.75" hidden="false" customHeight="false" outlineLevel="0" collapsed="false">
      <c r="B159" s="405" t="n">
        <f aca="false">'Revenues &amp; Expenses'!K159</f>
        <v>41153</v>
      </c>
      <c r="C159" s="406" t="n">
        <f aca="false">PJM_01212000!C188</f>
        <v>37.4249984741211</v>
      </c>
      <c r="D159" s="407" t="n">
        <f aca="false">PJM_01212000!X159</f>
        <v>0.113921842313127</v>
      </c>
      <c r="E159" s="407" t="n">
        <f aca="false">VLOOKUP(B159,'Revenues &amp; Expenses'!$K$8:$N$258,2)</f>
        <v>0.074267804350642</v>
      </c>
      <c r="F159" s="408" t="n">
        <f aca="false">VLOOKUP(B159,'Revenues &amp; Expenses'!$K$8:$N$246,4)</f>
        <v>0.398524501870092</v>
      </c>
      <c r="G159" s="376" t="n">
        <f aca="false">(B159-$B$1)/365.25</f>
        <v>12.4955509924709</v>
      </c>
      <c r="H159" s="376" t="n">
        <f aca="false">SQRT(G159)</f>
        <v>3.53490466525915</v>
      </c>
      <c r="I159" s="376" t="n">
        <f aca="false">IF($I$2=0,0,-(D159^2)/2)</f>
        <v>0</v>
      </c>
      <c r="J159" s="409" t="n">
        <f aca="false">C159*EXP(I159*G159+D159*$I$2*H159)</f>
        <v>37.4249984741211</v>
      </c>
      <c r="L159" s="395"/>
      <c r="M159" s="395"/>
    </row>
    <row r="160" customFormat="false" ht="15.75" hidden="false" customHeight="false" outlineLevel="0" collapsed="false">
      <c r="B160" s="405" t="n">
        <f aca="false">'Revenues &amp; Expenses'!K160</f>
        <v>41183</v>
      </c>
      <c r="C160" s="406" t="n">
        <f aca="false">PJM_01212000!C189</f>
        <v>30.5750003814697</v>
      </c>
      <c r="D160" s="407" t="n">
        <f aca="false">PJM_01212000!X160</f>
        <v>0.0805590170642826</v>
      </c>
      <c r="E160" s="407" t="n">
        <f aca="false">VLOOKUP(B160,'Revenues &amp; Expenses'!$K$8:$N$258,2)</f>
        <v>0.074262797787439</v>
      </c>
      <c r="F160" s="408" t="n">
        <f aca="false">VLOOKUP(B160,'Revenues &amp; Expenses'!$K$8:$N$246,4)</f>
        <v>0.396168959398485</v>
      </c>
      <c r="G160" s="376" t="n">
        <f aca="false">(B160-$B$1)/365.25</f>
        <v>12.5776865160849</v>
      </c>
      <c r="H160" s="376" t="n">
        <f aca="false">SQRT(G160)</f>
        <v>3.54650342112973</v>
      </c>
      <c r="I160" s="376" t="n">
        <f aca="false">IF($I$2=0,0,-(D160^2)/2)</f>
        <v>0</v>
      </c>
      <c r="J160" s="409" t="n">
        <f aca="false">C160*EXP(I160*G160+D160*$I$2*H160)</f>
        <v>30.5750003814697</v>
      </c>
      <c r="L160" s="395"/>
      <c r="M160" s="395"/>
    </row>
    <row r="161" customFormat="false" ht="15.75" hidden="false" customHeight="false" outlineLevel="0" collapsed="false">
      <c r="B161" s="405" t="n">
        <f aca="false">'Revenues &amp; Expenses'!K161</f>
        <v>41214</v>
      </c>
      <c r="C161" s="406" t="n">
        <f aca="false">PJM_01212000!C190</f>
        <v>30.2474990844727</v>
      </c>
      <c r="D161" s="407" t="n">
        <f aca="false">PJM_01212000!X161</f>
        <v>0.0805590170642826</v>
      </c>
      <c r="E161" s="407" t="n">
        <f aca="false">VLOOKUP(B161,'Revenues &amp; Expenses'!$K$8:$N$258,2)</f>
        <v>0.074257624338805</v>
      </c>
      <c r="F161" s="408" t="n">
        <f aca="false">VLOOKUP(B161,'Revenues &amp; Expenses'!$K$8:$N$246,4)</f>
        <v>0.39374985265198</v>
      </c>
      <c r="G161" s="376" t="n">
        <f aca="false">(B161-$B$1)/365.25</f>
        <v>12.662559890486</v>
      </c>
      <c r="H161" s="376" t="n">
        <f aca="false">SQRT(G161)</f>
        <v>3.55844908499278</v>
      </c>
      <c r="I161" s="376" t="n">
        <f aca="false">IF($I$2=0,0,-(D161^2)/2)</f>
        <v>0</v>
      </c>
      <c r="J161" s="409" t="n">
        <f aca="false">C161*EXP(I161*G161+D161*$I$2*H161)</f>
        <v>30.2474990844727</v>
      </c>
      <c r="L161" s="395"/>
      <c r="M161" s="395"/>
    </row>
    <row r="162" customFormat="false" ht="15.75" hidden="false" customHeight="false" outlineLevel="0" collapsed="false">
      <c r="B162" s="405" t="n">
        <f aca="false">'Revenues &amp; Expenses'!K162</f>
        <v>41244</v>
      </c>
      <c r="C162" s="406" t="n">
        <f aca="false">PJM_01212000!C191</f>
        <v>31.9999996185303</v>
      </c>
      <c r="D162" s="407" t="n">
        <f aca="false">PJM_01212000!X162</f>
        <v>0.0805590170642826</v>
      </c>
      <c r="E162" s="407" t="n">
        <f aca="false">VLOOKUP(B162,'Revenues &amp; Expenses'!$K$8:$N$258,2)</f>
        <v>0.07425261777562</v>
      </c>
      <c r="F162" s="408" t="n">
        <f aca="false">VLOOKUP(B162,'Revenues &amp; Expenses'!$K$8:$N$246,4)</f>
        <v>0.391423162757223</v>
      </c>
      <c r="G162" s="376" t="n">
        <f aca="false">(B162-$B$1)/365.25</f>
        <v>12.7446954140999</v>
      </c>
      <c r="H162" s="376" t="n">
        <f aca="false">SQRT(G162)</f>
        <v>3.56997134639761</v>
      </c>
      <c r="I162" s="376" t="n">
        <f aca="false">IF($I$2=0,0,-(D162^2)/2)</f>
        <v>0</v>
      </c>
      <c r="J162" s="409" t="n">
        <f aca="false">C162*EXP(I162*G162+D162*$I$2*H162)</f>
        <v>31.9999996185303</v>
      </c>
      <c r="L162" s="395"/>
      <c r="M162" s="395"/>
    </row>
    <row r="163" customFormat="false" ht="15.75" hidden="false" customHeight="false" outlineLevel="0" collapsed="false">
      <c r="B163" s="405" t="n">
        <f aca="false">'Revenues &amp; Expenses'!K163</f>
        <v>41275</v>
      </c>
      <c r="C163" s="406" t="n">
        <f aca="false">PJM_01212000!C192</f>
        <v>40.5749984741211</v>
      </c>
      <c r="D163" s="407" t="n">
        <f aca="false">PJM_01212000!X163</f>
        <v>0.123738650210738</v>
      </c>
      <c r="E163" s="407" t="n">
        <f aca="false">VLOOKUP(B163,'Revenues &amp; Expenses'!$K$8:$N$258,2)</f>
        <v>0.074247444327003</v>
      </c>
      <c r="F163" s="408" t="n">
        <f aca="false">VLOOKUP(B163,'Revenues &amp; Expenses'!$K$8:$N$246,4)</f>
        <v>0.389033683347088</v>
      </c>
      <c r="G163" s="376" t="n">
        <f aca="false">(B163-$B$1)/365.25</f>
        <v>12.829568788501</v>
      </c>
      <c r="H163" s="376" t="n">
        <f aca="false">SQRT(G163)</f>
        <v>3.58183874406722</v>
      </c>
      <c r="I163" s="376" t="n">
        <f aca="false">IF($I$2=0,0,-(D163^2)/2)</f>
        <v>0</v>
      </c>
      <c r="J163" s="409" t="n">
        <f aca="false">C163*EXP(I163*G163+D163*$I$2*H163)</f>
        <v>40.5749984741211</v>
      </c>
      <c r="L163" s="395"/>
      <c r="M163" s="395"/>
    </row>
    <row r="164" customFormat="false" ht="15.75" hidden="false" customHeight="false" outlineLevel="0" collapsed="false">
      <c r="B164" s="405" t="n">
        <f aca="false">'Revenues &amp; Expenses'!K164</f>
        <v>41306</v>
      </c>
      <c r="C164" s="406" t="n">
        <f aca="false">PJM_01212000!C193</f>
        <v>40.5749984741211</v>
      </c>
      <c r="D164" s="407" t="n">
        <f aca="false">PJM_01212000!X164</f>
        <v>0.123738650210738</v>
      </c>
      <c r="E164" s="407" t="n">
        <f aca="false">VLOOKUP(B164,'Revenues &amp; Expenses'!$K$8:$N$258,2)</f>
        <v>0.074242270878395</v>
      </c>
      <c r="F164" s="408" t="n">
        <f aca="false">VLOOKUP(B164,'Revenues &amp; Expenses'!$K$8:$N$246,4)</f>
        <v>0.386659118200709</v>
      </c>
      <c r="G164" s="376" t="n">
        <f aca="false">(B164-$B$1)/365.25</f>
        <v>12.9144421629021</v>
      </c>
      <c r="H164" s="376" t="n">
        <f aca="false">SQRT(G164)</f>
        <v>3.59366695213985</v>
      </c>
      <c r="I164" s="376" t="n">
        <f aca="false">IF($I$2=0,0,-(D164^2)/2)</f>
        <v>0</v>
      </c>
      <c r="J164" s="409" t="n">
        <f aca="false">C164*EXP(I164*G164+D164*$I$2*H164)</f>
        <v>40.5749984741211</v>
      </c>
      <c r="L164" s="395"/>
      <c r="M164" s="395"/>
    </row>
    <row r="165" customFormat="false" ht="15.75" hidden="false" customHeight="false" outlineLevel="0" collapsed="false">
      <c r="B165" s="405" t="n">
        <f aca="false">'Revenues &amp; Expenses'!K165</f>
        <v>41334</v>
      </c>
      <c r="C165" s="406" t="n">
        <f aca="false">PJM_01212000!C194</f>
        <v>30.3000007629395</v>
      </c>
      <c r="D165" s="407" t="n">
        <f aca="false">PJM_01212000!X165</f>
        <v>0.103115541842282</v>
      </c>
      <c r="E165" s="407" t="n">
        <f aca="false">VLOOKUP(B165,'Revenues &amp; Expenses'!$K$8:$N$258,2)</f>
        <v>0.074237598086112</v>
      </c>
      <c r="F165" s="408" t="n">
        <f aca="false">VLOOKUP(B165,'Revenues &amp; Expenses'!$K$8:$N$246,4)</f>
        <v>0.384527089741751</v>
      </c>
      <c r="G165" s="376" t="n">
        <f aca="false">(B165-$B$1)/365.25</f>
        <v>12.9911019849418</v>
      </c>
      <c r="H165" s="376" t="n">
        <f aca="false">SQRT(G165)</f>
        <v>3.60431713157178</v>
      </c>
      <c r="I165" s="376" t="n">
        <f aca="false">IF($I$2=0,0,-(D165^2)/2)</f>
        <v>0</v>
      </c>
      <c r="J165" s="409" t="n">
        <f aca="false">C165*EXP(I165*G165+D165*$I$2*H165)</f>
        <v>30.3000007629395</v>
      </c>
      <c r="L165" s="395"/>
      <c r="M165" s="395"/>
    </row>
    <row r="166" customFormat="false" ht="15.75" hidden="false" customHeight="false" outlineLevel="0" collapsed="false">
      <c r="B166" s="405" t="n">
        <f aca="false">'Revenues &amp; Expenses'!K166</f>
        <v>41365</v>
      </c>
      <c r="C166" s="406" t="n">
        <f aca="false">PJM_01212000!C195</f>
        <v>30.0750007629395</v>
      </c>
      <c r="D166" s="407" t="n">
        <f aca="false">PJM_01212000!X166</f>
        <v>0.0979597647501677</v>
      </c>
      <c r="E166" s="407" t="n">
        <f aca="false">VLOOKUP(B166,'Revenues &amp; Expenses'!$K$8:$N$258,2)</f>
        <v>0.074232424637521</v>
      </c>
      <c r="F166" s="408" t="n">
        <f aca="false">VLOOKUP(B166,'Revenues &amp; Expenses'!$K$8:$N$246,4)</f>
        <v>0.382180647745112</v>
      </c>
      <c r="G166" s="376" t="n">
        <f aca="false">(B166-$B$1)/365.25</f>
        <v>13.0759753593429</v>
      </c>
      <c r="H166" s="376" t="n">
        <f aca="false">SQRT(G166)</f>
        <v>3.61607181335533</v>
      </c>
      <c r="I166" s="376" t="n">
        <f aca="false">IF($I$2=0,0,-(D166^2)/2)</f>
        <v>0</v>
      </c>
      <c r="J166" s="409" t="n">
        <f aca="false">C166*EXP(I166*G166+D166*$I$2*H166)</f>
        <v>30.0750007629395</v>
      </c>
      <c r="L166" s="395"/>
      <c r="M166" s="395"/>
    </row>
    <row r="167" customFormat="false" ht="15.75" hidden="false" customHeight="false" outlineLevel="0" collapsed="false">
      <c r="B167" s="405" t="n">
        <f aca="false">'Revenues &amp; Expenses'!K167</f>
        <v>41395</v>
      </c>
      <c r="C167" s="406" t="n">
        <f aca="false">PJM_01212000!C196</f>
        <v>38.075</v>
      </c>
      <c r="D167" s="407" t="n">
        <f aca="false">PJM_01212000!X167</f>
        <v>0.108271318934396</v>
      </c>
      <c r="E167" s="407" t="n">
        <f aca="false">VLOOKUP(B167,'Revenues &amp; Expenses'!$K$8:$N$258,2)</f>
        <v>0.074227418074377</v>
      </c>
      <c r="F167" s="408" t="n">
        <f aca="false">VLOOKUP(B167,'Revenues &amp; Expenses'!$K$8:$N$246,4)</f>
        <v>0.379923837649822</v>
      </c>
      <c r="G167" s="376" t="n">
        <f aca="false">(B167-$B$1)/365.25</f>
        <v>13.1581108829569</v>
      </c>
      <c r="H167" s="376" t="n">
        <f aca="false">SQRT(G167)</f>
        <v>3.62741104411354</v>
      </c>
      <c r="I167" s="376" t="n">
        <f aca="false">IF($I$2=0,0,-(D167^2)/2)</f>
        <v>0</v>
      </c>
      <c r="J167" s="409" t="n">
        <f aca="false">C167*EXP(I167*G167+D167*$I$2*H167)</f>
        <v>38.075</v>
      </c>
      <c r="L167" s="395"/>
      <c r="M167" s="395"/>
    </row>
    <row r="168" customFormat="false" ht="15.75" hidden="false" customHeight="false" outlineLevel="0" collapsed="false">
      <c r="B168" s="405" t="n">
        <f aca="false">'Revenues &amp; Expenses'!K168</f>
        <v>41426</v>
      </c>
      <c r="C168" s="406" t="n">
        <f aca="false">PJM_01212000!C197</f>
        <v>64.5999984741211</v>
      </c>
      <c r="D168" s="407" t="n">
        <f aca="false">PJM_01212000!X168</f>
        <v>0.13920598148708</v>
      </c>
      <c r="E168" s="407" t="n">
        <f aca="false">VLOOKUP(B168,'Revenues &amp; Expenses'!$K$8:$N$258,2)</f>
        <v>0.074222244625803</v>
      </c>
      <c r="F168" s="408" t="n">
        <f aca="false">VLOOKUP(B168,'Revenues &amp; Expenses'!$K$8:$N$246,4)</f>
        <v>0.377606114670995</v>
      </c>
      <c r="G168" s="376" t="n">
        <f aca="false">(B168-$B$1)/365.25</f>
        <v>13.242984257358</v>
      </c>
      <c r="H168" s="376" t="n">
        <f aca="false">SQRT(G168)</f>
        <v>3.63909113067507</v>
      </c>
      <c r="I168" s="376" t="n">
        <f aca="false">IF($I$2=0,0,-(D168^2)/2)</f>
        <v>0</v>
      </c>
      <c r="J168" s="409" t="n">
        <f aca="false">C168*EXP(I168*G168+D168*$I$2*H168)</f>
        <v>64.5999984741211</v>
      </c>
      <c r="L168" s="395"/>
      <c r="M168" s="395"/>
    </row>
    <row r="169" customFormat="false" ht="15.75" hidden="false" customHeight="false" outlineLevel="0" collapsed="false">
      <c r="B169" s="405" t="n">
        <f aca="false">'Revenues &amp; Expenses'!K169</f>
        <v>41456</v>
      </c>
      <c r="C169" s="406" t="n">
        <f aca="false">PJM_01212000!C198</f>
        <v>113.699996948242</v>
      </c>
      <c r="D169" s="407" t="n">
        <f aca="false">PJM_01212000!X169</f>
        <v>0.170140644039765</v>
      </c>
      <c r="E169" s="407" t="n">
        <f aca="false">VLOOKUP(B169,'Revenues &amp; Expenses'!$K$8:$N$258,2)</f>
        <v>0.074217238062676</v>
      </c>
      <c r="F169" s="408" t="n">
        <f aca="false">VLOOKUP(B169,'Revenues &amp; Expenses'!$K$8:$N$246,4)</f>
        <v>0.375376922983471</v>
      </c>
      <c r="G169" s="376" t="n">
        <f aca="false">(B169-$B$1)/365.25</f>
        <v>13.3251197809719</v>
      </c>
      <c r="H169" s="376" t="n">
        <f aca="false">SQRT(G169)</f>
        <v>3.65035885646493</v>
      </c>
      <c r="I169" s="376" t="n">
        <f aca="false">IF($I$2=0,0,-(D169^2)/2)</f>
        <v>0</v>
      </c>
      <c r="J169" s="409" t="n">
        <f aca="false">C169*EXP(I169*G169+D169*$I$2*H169)</f>
        <v>113.699996948242</v>
      </c>
      <c r="L169" s="395"/>
      <c r="M169" s="395"/>
    </row>
    <row r="170" customFormat="false" ht="15.75" hidden="false" customHeight="false" outlineLevel="0" collapsed="false">
      <c r="B170" s="405" t="n">
        <f aca="false">'Revenues &amp; Expenses'!K170</f>
        <v>41487</v>
      </c>
      <c r="C170" s="406" t="n">
        <f aca="false">PJM_01212000!C199</f>
        <v>100.699996948242</v>
      </c>
      <c r="D170" s="407" t="n">
        <f aca="false">PJM_01212000!X170</f>
        <v>0.170140644039765</v>
      </c>
      <c r="E170" s="407" t="n">
        <f aca="false">VLOOKUP(B170,'Revenues &amp; Expenses'!$K$8:$N$258,2)</f>
        <v>0.074212064614119</v>
      </c>
      <c r="F170" s="408" t="n">
        <f aca="false">VLOOKUP(B170,'Revenues &amp; Expenses'!$K$8:$N$246,4)</f>
        <v>0.373087560186173</v>
      </c>
      <c r="G170" s="376" t="n">
        <f aca="false">(B170-$B$1)/365.25</f>
        <v>13.409993155373</v>
      </c>
      <c r="H170" s="376" t="n">
        <f aca="false">SQRT(G170)</f>
        <v>3.66196575016384</v>
      </c>
      <c r="I170" s="376" t="n">
        <f aca="false">IF($I$2=0,0,-(D170^2)/2)</f>
        <v>0</v>
      </c>
      <c r="J170" s="409" t="n">
        <f aca="false">C170*EXP(I170*G170+D170*$I$2*H170)</f>
        <v>100.699996948242</v>
      </c>
      <c r="L170" s="395"/>
      <c r="M170" s="395"/>
    </row>
    <row r="171" customFormat="false" ht="15.75" hidden="false" customHeight="false" outlineLevel="0" collapsed="false">
      <c r="B171" s="405" t="n">
        <f aca="false">'Revenues &amp; Expenses'!K171</f>
        <v>41518</v>
      </c>
      <c r="C171" s="406" t="n">
        <f aca="false">PJM_01212000!C200</f>
        <v>37.9249984741211</v>
      </c>
      <c r="D171" s="407" t="n">
        <f aca="false">PJM_01212000!X171</f>
        <v>0.109364968620602</v>
      </c>
      <c r="E171" s="407" t="n">
        <f aca="false">VLOOKUP(B171,'Revenues &amp; Expenses'!$K$8:$N$258,2)</f>
        <v>0.074206891165572</v>
      </c>
      <c r="F171" s="408" t="n">
        <f aca="false">VLOOKUP(B171,'Revenues &amp; Expenses'!$K$8:$N$246,4)</f>
        <v>0.370812473890248</v>
      </c>
      <c r="G171" s="376" t="n">
        <f aca="false">(B171-$B$1)/365.25</f>
        <v>13.4948665297741</v>
      </c>
      <c r="H171" s="376" t="n">
        <f aca="false">SQRT(G171)</f>
        <v>3.67353597093783</v>
      </c>
      <c r="I171" s="376" t="n">
        <f aca="false">IF($I$2=0,0,-(D171^2)/2)</f>
        <v>0</v>
      </c>
      <c r="J171" s="409" t="n">
        <f aca="false">C171*EXP(I171*G171+D171*$I$2*H171)</f>
        <v>37.9249984741211</v>
      </c>
      <c r="L171" s="395"/>
      <c r="M171" s="395"/>
    </row>
    <row r="172" customFormat="false" ht="15.75" hidden="false" customHeight="false" outlineLevel="0" collapsed="false">
      <c r="B172" s="405" t="n">
        <f aca="false">'Revenues &amp; Expenses'!K172</f>
        <v>41548</v>
      </c>
      <c r="C172" s="406" t="n">
        <f aca="false">PJM_01212000!C201</f>
        <v>30.8250003814697</v>
      </c>
      <c r="D172" s="407" t="n">
        <f aca="false">PJM_01212000!X172</f>
        <v>0.0773366563817113</v>
      </c>
      <c r="E172" s="407" t="n">
        <f aca="false">VLOOKUP(B172,'Revenues &amp; Expenses'!$K$8:$N$258,2)</f>
        <v>0.07420188460247</v>
      </c>
      <c r="F172" s="408" t="n">
        <f aca="false">VLOOKUP(B172,'Revenues &amp; Expenses'!$K$8:$N$246,4)</f>
        <v>0.368624284984091</v>
      </c>
      <c r="G172" s="376" t="n">
        <f aca="false">(B172-$B$1)/365.25</f>
        <v>13.5770020533881</v>
      </c>
      <c r="H172" s="376" t="n">
        <f aca="false">SQRT(G172)</f>
        <v>3.68469836667645</v>
      </c>
      <c r="I172" s="376" t="n">
        <f aca="false">IF($I$2=0,0,-(D172^2)/2)</f>
        <v>0</v>
      </c>
      <c r="J172" s="409" t="n">
        <f aca="false">C172*EXP(I172*G172+D172*$I$2*H172)</f>
        <v>30.8250003814697</v>
      </c>
      <c r="L172" s="395"/>
      <c r="M172" s="395"/>
    </row>
    <row r="173" customFormat="false" ht="15.75" hidden="false" customHeight="false" outlineLevel="0" collapsed="false">
      <c r="B173" s="405" t="n">
        <f aca="false">'Revenues &amp; Expenses'!K173</f>
        <v>41579</v>
      </c>
      <c r="C173" s="406" t="n">
        <f aca="false">PJM_01212000!C202</f>
        <v>30.4974990844727</v>
      </c>
      <c r="D173" s="407" t="n">
        <f aca="false">PJM_01212000!X173</f>
        <v>0.0773366563817113</v>
      </c>
      <c r="E173" s="407" t="n">
        <f aca="false">VLOOKUP(B173,'Revenues &amp; Expenses'!$K$8:$N$258,2)</f>
        <v>0.07419671115394</v>
      </c>
      <c r="F173" s="408" t="n">
        <f aca="false">VLOOKUP(B173,'Revenues &amp; Expenses'!$K$8:$N$246,4)</f>
        <v>0.366377026301447</v>
      </c>
      <c r="G173" s="376" t="n">
        <f aca="false">(B173-$B$1)/365.25</f>
        <v>13.6618754277892</v>
      </c>
      <c r="H173" s="376" t="n">
        <f aca="false">SQRT(G173)</f>
        <v>3.69619742814006</v>
      </c>
      <c r="I173" s="376" t="n">
        <f aca="false">IF($I$2=0,0,-(D173^2)/2)</f>
        <v>0</v>
      </c>
      <c r="J173" s="409" t="n">
        <f aca="false">C173*EXP(I173*G173+D173*$I$2*H173)</f>
        <v>30.4974990844727</v>
      </c>
      <c r="L173" s="395"/>
      <c r="M173" s="395"/>
    </row>
    <row r="174" customFormat="false" ht="15.75" hidden="false" customHeight="false" outlineLevel="0" collapsed="false">
      <c r="B174" s="405" t="n">
        <f aca="false">'Revenues &amp; Expenses'!K174</f>
        <v>41609</v>
      </c>
      <c r="C174" s="406" t="n">
        <f aca="false">PJM_01212000!C203</f>
        <v>32.2499996185303</v>
      </c>
      <c r="D174" s="407" t="n">
        <f aca="false">PJM_01212000!X174</f>
        <v>0.0773366563817113</v>
      </c>
      <c r="E174" s="407" t="n">
        <f aca="false">VLOOKUP(B174,'Revenues &amp; Expenses'!$K$8:$N$258,2)</f>
        <v>0.074191704590855</v>
      </c>
      <c r="F174" s="408" t="n">
        <f aca="false">VLOOKUP(B174,'Revenues &amp; Expenses'!$K$8:$N$246,4)</f>
        <v>0.364215598665446</v>
      </c>
      <c r="G174" s="376" t="n">
        <f aca="false">(B174-$B$1)/365.25</f>
        <v>13.7440109514031</v>
      </c>
      <c r="H174" s="376" t="n">
        <f aca="false">SQRT(G174)</f>
        <v>3.70729159244362</v>
      </c>
      <c r="I174" s="376" t="n">
        <f aca="false">IF($I$2=0,0,-(D174^2)/2)</f>
        <v>0</v>
      </c>
      <c r="J174" s="409" t="n">
        <f aca="false">C174*EXP(I174*G174+D174*$I$2*H174)</f>
        <v>32.2499996185303</v>
      </c>
      <c r="L174" s="395"/>
      <c r="M174" s="395"/>
    </row>
    <row r="175" customFormat="false" ht="15.75" hidden="false" customHeight="false" outlineLevel="0" collapsed="false">
      <c r="B175" s="405" t="n">
        <f aca="false">'Revenues &amp; Expenses'!K175</f>
        <v>41640</v>
      </c>
      <c r="C175" s="406" t="n">
        <f aca="false">PJM_01212000!C204</f>
        <v>40.8249984741211</v>
      </c>
      <c r="D175" s="407" t="n">
        <f aca="false">PJM_01212000!X175</f>
        <v>0.118789104202309</v>
      </c>
      <c r="E175" s="407" t="n">
        <f aca="false">VLOOKUP(B175,'Revenues &amp; Expenses'!$K$8:$N$258,2)</f>
        <v>0.074186531142343</v>
      </c>
      <c r="F175" s="408" t="n">
        <f aca="false">VLOOKUP(B175,'Revenues &amp; Expenses'!$K$8:$N$246,4)</f>
        <v>0.361995820113857</v>
      </c>
      <c r="G175" s="376" t="n">
        <f aca="false">(B175-$B$1)/365.25</f>
        <v>13.8288843258042</v>
      </c>
      <c r="H175" s="376" t="n">
        <f aca="false">SQRT(G175)</f>
        <v>3.71872079159007</v>
      </c>
      <c r="I175" s="376" t="n">
        <f aca="false">IF($I$2=0,0,-(D175^2)/2)</f>
        <v>0</v>
      </c>
      <c r="J175" s="409" t="n">
        <f aca="false">C175*EXP(I175*G175+D175*$I$2*H175)</f>
        <v>40.8249984741211</v>
      </c>
      <c r="L175" s="395"/>
      <c r="M175" s="395"/>
    </row>
    <row r="176" customFormat="false" ht="15.75" hidden="false" customHeight="false" outlineLevel="0" collapsed="false">
      <c r="B176" s="405" t="n">
        <f aca="false">'Revenues &amp; Expenses'!K176</f>
        <v>41671</v>
      </c>
      <c r="C176" s="406" t="n">
        <f aca="false">PJM_01212000!C205</f>
        <v>40.8249984741211</v>
      </c>
      <c r="D176" s="407" t="n">
        <f aca="false">PJM_01212000!X176</f>
        <v>0.118789104202309</v>
      </c>
      <c r="E176" s="407" t="n">
        <f aca="false">VLOOKUP(B176,'Revenues &amp; Expenses'!$K$8:$N$258,2)</f>
        <v>0.074181357693839</v>
      </c>
      <c r="F176" s="408" t="n">
        <f aca="false">VLOOKUP(B176,'Revenues &amp; Expenses'!$K$8:$N$246,4)</f>
        <v>0.359789875128841</v>
      </c>
      <c r="G176" s="376" t="n">
        <f aca="false">(B176-$B$1)/365.25</f>
        <v>13.9137577002053</v>
      </c>
      <c r="H176" s="376" t="n">
        <f aca="false">SQRT(G176)</f>
        <v>3.73011497144597</v>
      </c>
      <c r="I176" s="376" t="n">
        <f aca="false">IF($I$2=0,0,-(D176^2)/2)</f>
        <v>0</v>
      </c>
      <c r="J176" s="409" t="n">
        <f aca="false">C176*EXP(I176*G176+D176*$I$2*H176)</f>
        <v>40.8249984741211</v>
      </c>
      <c r="L176" s="395"/>
      <c r="M176" s="395"/>
    </row>
    <row r="177" customFormat="false" ht="15.75" hidden="false" customHeight="false" outlineLevel="0" collapsed="false">
      <c r="B177" s="405" t="n">
        <f aca="false">'Revenues &amp; Expenses'!K177</f>
        <v>41699</v>
      </c>
      <c r="C177" s="406" t="n">
        <f aca="false">PJM_01212000!C206</f>
        <v>30.5500007629395</v>
      </c>
      <c r="D177" s="407" t="n">
        <f aca="false">PJM_01212000!X177</f>
        <v>0.0989909201685905</v>
      </c>
      <c r="E177" s="407" t="n">
        <f aca="false">VLOOKUP(B177,'Revenues &amp; Expenses'!$K$8:$N$258,2)</f>
        <v>0.07417668490165</v>
      </c>
      <c r="F177" s="408" t="n">
        <f aca="false">VLOOKUP(B177,'Revenues &amp; Expenses'!$K$8:$N$246,4)</f>
        <v>0.357809225707192</v>
      </c>
      <c r="G177" s="376" t="n">
        <f aca="false">(B177-$B$1)/365.25</f>
        <v>13.990417522245</v>
      </c>
      <c r="H177" s="376" t="n">
        <f aca="false">SQRT(G177)</f>
        <v>3.74037665513047</v>
      </c>
      <c r="I177" s="376" t="n">
        <f aca="false">IF($I$2=0,0,-(D177^2)/2)</f>
        <v>0</v>
      </c>
      <c r="J177" s="409" t="n">
        <f aca="false">C177*EXP(I177*G177+D177*$I$2*H177)</f>
        <v>30.5500007629395</v>
      </c>
      <c r="L177" s="395"/>
      <c r="M177" s="395"/>
    </row>
    <row r="178" customFormat="false" ht="15.75" hidden="false" customHeight="false" outlineLevel="0" collapsed="false">
      <c r="B178" s="405" t="n">
        <f aca="false">'Revenues &amp; Expenses'!K178</f>
        <v>41730</v>
      </c>
      <c r="C178" s="406" t="n">
        <f aca="false">PJM_01212000!C207</f>
        <v>30.3250007629395</v>
      </c>
      <c r="D178" s="407" t="n">
        <f aca="false">PJM_01212000!X178</f>
        <v>0.094041374160161</v>
      </c>
      <c r="E178" s="407" t="n">
        <f aca="false">VLOOKUP(B178,'Revenues &amp; Expenses'!$K$8:$N$258,2)</f>
        <v>0.074171511453163</v>
      </c>
      <c r="F178" s="408" t="n">
        <f aca="false">VLOOKUP(B178,'Revenues &amp; Expenses'!$K$8:$N$246,4)</f>
        <v>0.355629366411146</v>
      </c>
      <c r="G178" s="376" t="n">
        <f aca="false">(B178-$B$1)/365.25</f>
        <v>14.0752908966461</v>
      </c>
      <c r="H178" s="376" t="n">
        <f aca="false">SQRT(G178)</f>
        <v>3.75170506525315</v>
      </c>
      <c r="I178" s="376" t="n">
        <f aca="false">IF($I$2=0,0,-(D178^2)/2)</f>
        <v>0</v>
      </c>
      <c r="J178" s="409" t="n">
        <f aca="false">C178*EXP(I178*G178+D178*$I$2*H178)</f>
        <v>30.3250007629395</v>
      </c>
      <c r="L178" s="395"/>
      <c r="M178" s="395"/>
    </row>
    <row r="179" customFormat="false" ht="15.75" hidden="false" customHeight="false" outlineLevel="0" collapsed="false">
      <c r="B179" s="405" t="n">
        <f aca="false">'Revenues &amp; Expenses'!K179</f>
        <v>41760</v>
      </c>
      <c r="C179" s="406" t="n">
        <f aca="false">PJM_01212000!C208</f>
        <v>38.325</v>
      </c>
      <c r="D179" s="407" t="n">
        <f aca="false">PJM_01212000!X179</f>
        <v>0.10394046617702</v>
      </c>
      <c r="E179" s="407" t="n">
        <f aca="false">VLOOKUP(B179,'Revenues &amp; Expenses'!$K$8:$N$258,2)</f>
        <v>0.074166504890119</v>
      </c>
      <c r="F179" s="408" t="n">
        <f aca="false">VLOOKUP(B179,'Revenues &amp; Expenses'!$K$8:$N$246,4)</f>
        <v>0.353532755620055</v>
      </c>
      <c r="G179" s="376" t="n">
        <f aca="false">(B179-$B$1)/365.25</f>
        <v>14.1574264202601</v>
      </c>
      <c r="H179" s="376" t="n">
        <f aca="false">SQRT(G179)</f>
        <v>3.76263556835632</v>
      </c>
      <c r="I179" s="376" t="n">
        <f aca="false">IF($I$2=0,0,-(D179^2)/2)</f>
        <v>0</v>
      </c>
      <c r="J179" s="409" t="n">
        <f aca="false">C179*EXP(I179*G179+D179*$I$2*H179)</f>
        <v>38.325</v>
      </c>
      <c r="L179" s="395"/>
      <c r="M179" s="395"/>
    </row>
    <row r="180" customFormat="false" ht="15.75" hidden="false" customHeight="false" outlineLevel="0" collapsed="false">
      <c r="B180" s="405" t="n">
        <f aca="false">'Revenues &amp; Expenses'!K180</f>
        <v>41791</v>
      </c>
      <c r="C180" s="406" t="n">
        <f aca="false">PJM_01212000!C209</f>
        <v>65.3499984741211</v>
      </c>
      <c r="D180" s="407" t="n">
        <f aca="false">PJM_01212000!X180</f>
        <v>0.133637742227597</v>
      </c>
      <c r="E180" s="407" t="n">
        <f aca="false">VLOOKUP(B180,'Revenues &amp; Expenses'!$K$8:$N$258,2)</f>
        <v>0.07416133144165</v>
      </c>
      <c r="F180" s="408" t="n">
        <f aca="false">VLOOKUP(B180,'Revenues &amp; Expenses'!$K$8:$N$246,4)</f>
        <v>0.351379535203468</v>
      </c>
      <c r="G180" s="376" t="n">
        <f aca="false">(B180-$B$1)/365.25</f>
        <v>14.2422997946612</v>
      </c>
      <c r="H180" s="376" t="n">
        <f aca="false">SQRT(G180)</f>
        <v>3.77389716270346</v>
      </c>
      <c r="I180" s="376" t="n">
        <f aca="false">IF($I$2=0,0,-(D180^2)/2)</f>
        <v>0</v>
      </c>
      <c r="J180" s="409" t="n">
        <f aca="false">C180*EXP(I180*G180+D180*$I$2*H180)</f>
        <v>65.3499984741211</v>
      </c>
      <c r="L180" s="395"/>
      <c r="M180" s="395"/>
    </row>
    <row r="181" customFormat="false" ht="15.75" hidden="false" customHeight="false" outlineLevel="0" collapsed="false">
      <c r="B181" s="405" t="n">
        <f aca="false">'Revenues &amp; Expenses'!K181</f>
        <v>41821</v>
      </c>
      <c r="C181" s="406" t="n">
        <f aca="false">PJM_01212000!C210</f>
        <v>115.949996948242</v>
      </c>
      <c r="D181" s="407" t="n">
        <f aca="false">PJM_01212000!X181</f>
        <v>0.163335018278174</v>
      </c>
      <c r="E181" s="407" t="n">
        <f aca="false">VLOOKUP(B181,'Revenues &amp; Expenses'!$K$8:$N$258,2)</f>
        <v>0.074156324878623</v>
      </c>
      <c r="F181" s="408" t="n">
        <f aca="false">VLOOKUP(B181,'Revenues &amp; Expenses'!$K$8:$N$246,4)</f>
        <v>0.349308542640163</v>
      </c>
      <c r="G181" s="376" t="n">
        <f aca="false">(B181-$B$1)/365.25</f>
        <v>14.3244353182752</v>
      </c>
      <c r="H181" s="376" t="n">
        <f aca="false">SQRT(G181)</f>
        <v>3.78476357495091</v>
      </c>
      <c r="I181" s="376" t="n">
        <f aca="false">IF($I$2=0,0,-(D181^2)/2)</f>
        <v>0</v>
      </c>
      <c r="J181" s="409" t="n">
        <f aca="false">C181*EXP(I181*G181+D181*$I$2*H181)</f>
        <v>115.949996948242</v>
      </c>
      <c r="L181" s="395"/>
      <c r="M181" s="395"/>
    </row>
    <row r="182" customFormat="false" ht="15.75" hidden="false" customHeight="false" outlineLevel="0" collapsed="false">
      <c r="B182" s="405" t="n">
        <f aca="false">'Revenues &amp; Expenses'!K182</f>
        <v>41852</v>
      </c>
      <c r="C182" s="406" t="n">
        <f aca="false">PJM_01212000!C211</f>
        <v>102.949996948242</v>
      </c>
      <c r="D182" s="407" t="n">
        <f aca="false">PJM_01212000!X182</f>
        <v>0.163335018278174</v>
      </c>
      <c r="E182" s="407" t="n">
        <f aca="false">VLOOKUP(B182,'Revenues &amp; Expenses'!$K$8:$N$258,2)</f>
        <v>0.074151151430171</v>
      </c>
      <c r="F182" s="408" t="n">
        <f aca="false">VLOOKUP(B182,'Revenues &amp; Expenses'!$K$8:$N$246,4)</f>
        <v>0.347181628751256</v>
      </c>
      <c r="G182" s="376" t="n">
        <f aca="false">(B182-$B$1)/365.25</f>
        <v>14.4093086926763</v>
      </c>
      <c r="H182" s="376" t="n">
        <f aca="false">SQRT(G182)</f>
        <v>3.79595952200182</v>
      </c>
      <c r="I182" s="376" t="n">
        <f aca="false">IF($I$2=0,0,-(D182^2)/2)</f>
        <v>0</v>
      </c>
      <c r="J182" s="409" t="n">
        <f aca="false">C182*EXP(I182*G182+D182*$I$2*H182)</f>
        <v>102.949996948242</v>
      </c>
      <c r="L182" s="395"/>
      <c r="M182" s="395"/>
    </row>
    <row r="183" customFormat="false" ht="15.75" hidden="false" customHeight="false" outlineLevel="0" collapsed="false">
      <c r="B183" s="405" t="n">
        <f aca="false">'Revenues &amp; Expenses'!K183</f>
        <v>41883</v>
      </c>
      <c r="C183" s="406" t="n">
        <f aca="false">PJM_01212000!C212</f>
        <v>38.4249984741211</v>
      </c>
      <c r="D183" s="407" t="n">
        <f aca="false">PJM_01212000!X183</f>
        <v>0.104990369875778</v>
      </c>
      <c r="E183" s="407" t="n">
        <f aca="false">VLOOKUP(B183,'Revenues &amp; Expenses'!$K$8:$N$258,2)</f>
        <v>0.074145977981727</v>
      </c>
      <c r="F183" s="408" t="n">
        <f aca="false">VLOOKUP(B183,'Revenues &amp; Expenses'!$K$8:$N$246,4)</f>
        <v>0.345067957743027</v>
      </c>
      <c r="G183" s="376" t="n">
        <f aca="false">(B183-$B$1)/365.25</f>
        <v>14.4941820670773</v>
      </c>
      <c r="H183" s="376" t="n">
        <f aca="false">SQRT(G183)</f>
        <v>3.80712254426849</v>
      </c>
      <c r="I183" s="376" t="n">
        <f aca="false">IF($I$2=0,0,-(D183^2)/2)</f>
        <v>0</v>
      </c>
      <c r="J183" s="409" t="n">
        <f aca="false">C183*EXP(I183*G183+D183*$I$2*H183)</f>
        <v>38.4249984741211</v>
      </c>
      <c r="L183" s="395"/>
      <c r="M183" s="395"/>
    </row>
    <row r="184" customFormat="false" ht="15.75" hidden="false" customHeight="false" outlineLevel="0" collapsed="false">
      <c r="B184" s="405" t="n">
        <f aca="false">'Revenues &amp; Expenses'!K184</f>
        <v>41913</v>
      </c>
      <c r="C184" s="406" t="n">
        <f aca="false">PJM_01212000!C213</f>
        <v>31.0750003814697</v>
      </c>
      <c r="D184" s="407" t="n">
        <f aca="false">PJM_01212000!X184</f>
        <v>0.0742431901264429</v>
      </c>
      <c r="E184" s="407" t="n">
        <f aca="false">VLOOKUP(B184,'Revenues &amp; Expenses'!$K$8:$N$258,2)</f>
        <v>0.074140971418726</v>
      </c>
      <c r="F184" s="408" t="n">
        <f aca="false">VLOOKUP(B184,'Revenues &amp; Expenses'!$K$8:$N$246,4)</f>
        <v>0.343034999352449</v>
      </c>
      <c r="G184" s="376" t="n">
        <f aca="false">(B184-$B$1)/365.25</f>
        <v>14.5763175906913</v>
      </c>
      <c r="H184" s="376" t="n">
        <f aca="false">SQRT(G184)</f>
        <v>3.81789439229156</v>
      </c>
      <c r="I184" s="376" t="n">
        <f aca="false">IF($I$2=0,0,-(D184^2)/2)</f>
        <v>0</v>
      </c>
      <c r="J184" s="409" t="n">
        <f aca="false">C184*EXP(I184*G184+D184*$I$2*H184)</f>
        <v>31.0750003814697</v>
      </c>
      <c r="L184" s="395"/>
      <c r="M184" s="395"/>
    </row>
    <row r="185" customFormat="false" ht="15.75" hidden="false" customHeight="false" outlineLevel="0" collapsed="false">
      <c r="B185" s="405" t="n">
        <f aca="false">'Revenues &amp; Expenses'!K185</f>
        <v>41944</v>
      </c>
      <c r="C185" s="406" t="n">
        <f aca="false">PJM_01212000!C214</f>
        <v>30.7474990844727</v>
      </c>
      <c r="D185" s="407" t="n">
        <f aca="false">PJM_01212000!X185</f>
        <v>0.0742431901264429</v>
      </c>
      <c r="E185" s="407" t="n">
        <f aca="false">VLOOKUP(B185,'Revenues &amp; Expenses'!$K$8:$N$258,2)</f>
        <v>0.0741357979703</v>
      </c>
      <c r="F185" s="408" t="n">
        <f aca="false">VLOOKUP(B185,'Revenues &amp; Expenses'!$K$8:$N$246,4)</f>
        <v>0.340947141599342</v>
      </c>
      <c r="G185" s="376" t="n">
        <f aca="false">(B185-$B$1)/365.25</f>
        <v>14.6611909650924</v>
      </c>
      <c r="H185" s="376" t="n">
        <f aca="false">SQRT(G185)</f>
        <v>3.82899346631623</v>
      </c>
      <c r="I185" s="376" t="n">
        <f aca="false">IF($I$2=0,0,-(D185^2)/2)</f>
        <v>0</v>
      </c>
      <c r="J185" s="409" t="n">
        <f aca="false">C185*EXP(I185*G185+D185*$I$2*H185)</f>
        <v>30.7474990844727</v>
      </c>
      <c r="L185" s="395"/>
      <c r="M185" s="395"/>
    </row>
    <row r="186" customFormat="false" ht="15.75" hidden="false" customHeight="false" outlineLevel="0" collapsed="false">
      <c r="B186" s="405" t="n">
        <f aca="false">'Revenues &amp; Expenses'!K186</f>
        <v>41974</v>
      </c>
      <c r="C186" s="406" t="n">
        <f aca="false">PJM_01212000!C215</f>
        <v>32.4999996185303</v>
      </c>
      <c r="D186" s="407" t="n">
        <f aca="false">PJM_01212000!X186</f>
        <v>0.0742431901264429</v>
      </c>
      <c r="E186" s="407" t="n">
        <f aca="false">VLOOKUP(B186,'Revenues &amp; Expenses'!$K$8:$N$258,2)</f>
        <v>0.074130791407315</v>
      </c>
      <c r="F186" s="408" t="n">
        <f aca="false">VLOOKUP(B186,'Revenues &amp; Expenses'!$K$8:$N$246,4)</f>
        <v>0.338939007543146</v>
      </c>
      <c r="G186" s="376" t="n">
        <f aca="false">(B186-$B$1)/365.25</f>
        <v>14.7433264887064</v>
      </c>
      <c r="H186" s="376" t="n">
        <f aca="false">SQRT(G186)</f>
        <v>3.83970395847211</v>
      </c>
      <c r="I186" s="376" t="n">
        <f aca="false">IF($I$2=0,0,-(D186^2)/2)</f>
        <v>0</v>
      </c>
      <c r="J186" s="409" t="n">
        <f aca="false">C186*EXP(I186*G186+D186*$I$2*H186)</f>
        <v>32.4999996185303</v>
      </c>
      <c r="L186" s="395"/>
      <c r="M186" s="395"/>
    </row>
    <row r="187" customFormat="false" ht="15.75" hidden="false" customHeight="false" outlineLevel="0" collapsed="false">
      <c r="B187" s="405" t="n">
        <f aca="false">'Revenues &amp; Expenses'!K187</f>
        <v>42005</v>
      </c>
      <c r="C187" s="406" t="n">
        <f aca="false">PJM_01212000!C216</f>
        <v>41.0749984741211</v>
      </c>
      <c r="D187" s="407" t="n">
        <f aca="false">PJM_01212000!X187</f>
        <v>0.114037540034216</v>
      </c>
      <c r="E187" s="407" t="n">
        <f aca="false">VLOOKUP(B187,'Revenues &amp; Expenses'!$K$8:$N$258,2)</f>
        <v>0.074125617958907</v>
      </c>
      <c r="F187" s="408" t="n">
        <f aca="false">VLOOKUP(B187,'Revenues &amp; Expenses'!$K$8:$N$246,4)</f>
        <v>0.336876641194572</v>
      </c>
      <c r="G187" s="376" t="n">
        <f aca="false">(B187-$B$1)/365.25</f>
        <v>14.8281998631075</v>
      </c>
      <c r="H187" s="376" t="n">
        <f aca="false">SQRT(G187)</f>
        <v>3.85074017081229</v>
      </c>
      <c r="I187" s="376" t="n">
        <f aca="false">IF($I$2=0,0,-(D187^2)/2)</f>
        <v>0</v>
      </c>
      <c r="J187" s="409" t="n">
        <f aca="false">C187*EXP(I187*G187+D187*$I$2*H187)</f>
        <v>41.0749984741211</v>
      </c>
      <c r="L187" s="395"/>
      <c r="M187" s="395"/>
    </row>
    <row r="188" customFormat="false" ht="15.75" hidden="false" customHeight="false" outlineLevel="0" collapsed="false">
      <c r="B188" s="405" t="n">
        <f aca="false">'Revenues &amp; Expenses'!K188</f>
        <v>42036</v>
      </c>
      <c r="C188" s="406" t="n">
        <f aca="false">PJM_01212000!C217</f>
        <v>41.0749984741211</v>
      </c>
      <c r="D188" s="407" t="n">
        <f aca="false">PJM_01212000!X188</f>
        <v>0.114037540034216</v>
      </c>
      <c r="E188" s="407" t="n">
        <f aca="false">VLOOKUP(B188,'Revenues &amp; Expenses'!$K$8:$N$258,2)</f>
        <v>0.074120444510507</v>
      </c>
      <c r="F188" s="408" t="n">
        <f aca="false">VLOOKUP(B188,'Revenues &amp; Expenses'!$K$8:$N$246,4)</f>
        <v>0.33482710746448</v>
      </c>
      <c r="G188" s="376" t="n">
        <f aca="false">(B188-$B$1)/365.25</f>
        <v>14.9130732375086</v>
      </c>
      <c r="H188" s="376" t="n">
        <f aca="false">SQRT(G188)</f>
        <v>3.86174484365663</v>
      </c>
      <c r="I188" s="376" t="n">
        <f aca="false">IF($I$2=0,0,-(D188^2)/2)</f>
        <v>0</v>
      </c>
      <c r="J188" s="409" t="n">
        <f aca="false">C188*EXP(I188*G188+D188*$I$2*H188)</f>
        <v>41.0749984741211</v>
      </c>
      <c r="L188" s="395"/>
      <c r="M188" s="395"/>
    </row>
    <row r="189" customFormat="false" ht="15.75" hidden="false" customHeight="false" outlineLevel="0" collapsed="false">
      <c r="B189" s="405" t="n">
        <f aca="false">'Revenues &amp; Expenses'!K189</f>
        <v>42064</v>
      </c>
      <c r="C189" s="406" t="n">
        <f aca="false">PJM_01212000!C218</f>
        <v>30.8000007629395</v>
      </c>
      <c r="D189" s="407" t="n">
        <f aca="false">PJM_01212000!X189</f>
        <v>0.0950312833618469</v>
      </c>
      <c r="E189" s="407" t="n">
        <f aca="false">VLOOKUP(B189,'Revenues &amp; Expenses'!$K$8:$N$258,2)</f>
        <v>0.074115771718412</v>
      </c>
      <c r="F189" s="408" t="n">
        <f aca="false">VLOOKUP(B189,'Revenues &amp; Expenses'!$K$8:$N$246,4)</f>
        <v>0.332986877788253</v>
      </c>
      <c r="G189" s="376" t="n">
        <f aca="false">(B189-$B$1)/365.25</f>
        <v>14.9897330595483</v>
      </c>
      <c r="H189" s="376" t="n">
        <f aca="false">SQRT(G189)</f>
        <v>3.87165766301054</v>
      </c>
      <c r="I189" s="376" t="n">
        <f aca="false">IF($I$2=0,0,-(D189^2)/2)</f>
        <v>0</v>
      </c>
      <c r="J189" s="409" t="n">
        <f aca="false">C189*EXP(I189*G189+D189*$I$2*H189)</f>
        <v>30.8000007629395</v>
      </c>
      <c r="L189" s="395"/>
      <c r="M189" s="395"/>
    </row>
    <row r="190" customFormat="false" ht="15.75" hidden="false" customHeight="false" outlineLevel="0" collapsed="false">
      <c r="B190" s="405" t="n">
        <f aca="false">'Revenues &amp; Expenses'!K190</f>
        <v>42095</v>
      </c>
      <c r="C190" s="406" t="n">
        <f aca="false">PJM_01212000!C219</f>
        <v>30.5750007629395</v>
      </c>
      <c r="D190" s="407" t="n">
        <f aca="false">PJM_01212000!X190</f>
        <v>0.0902797191937545</v>
      </c>
      <c r="E190" s="407" t="n">
        <f aca="false">VLOOKUP(B190,'Revenues &amp; Expenses'!$K$8:$N$258,2)</f>
        <v>0.074110598270029</v>
      </c>
      <c r="F190" s="408" t="n">
        <f aca="false">VLOOKUP(B190,'Revenues &amp; Expenses'!$K$8:$N$246,4)</f>
        <v>0.330961542613379</v>
      </c>
      <c r="G190" s="376" t="n">
        <f aca="false">(B190-$B$1)/365.25</f>
        <v>15.0746064339494</v>
      </c>
      <c r="H190" s="376" t="n">
        <f aca="false">SQRT(G190)</f>
        <v>3.88260304872251</v>
      </c>
      <c r="I190" s="376" t="n">
        <f aca="false">IF($I$2=0,0,-(D190^2)/2)</f>
        <v>0</v>
      </c>
      <c r="J190" s="409" t="n">
        <f aca="false">C190*EXP(I190*G190+D190*$I$2*H190)</f>
        <v>30.5750007629395</v>
      </c>
      <c r="L190" s="395"/>
      <c r="M190" s="395"/>
    </row>
    <row r="191" customFormat="false" ht="15.75" hidden="false" customHeight="false" outlineLevel="0" collapsed="false">
      <c r="B191" s="405" t="n">
        <f aca="false">'Revenues &amp; Expenses'!K191</f>
        <v>42125</v>
      </c>
      <c r="C191" s="406" t="n">
        <f aca="false">PJM_01212000!C220</f>
        <v>38.575</v>
      </c>
      <c r="D191" s="407" t="n">
        <f aca="false">PJM_01212000!X191</f>
        <v>0.0997828475299392</v>
      </c>
      <c r="E191" s="407" t="n">
        <f aca="false">VLOOKUP(B191,'Revenues &amp; Expenses'!$K$8:$N$258,2)</f>
        <v>0.074105591707086</v>
      </c>
      <c r="F191" s="408" t="n">
        <f aca="false">VLOOKUP(B191,'Revenues &amp; Expenses'!$K$8:$N$246,4)</f>
        <v>0.329013536022591</v>
      </c>
      <c r="G191" s="376" t="n">
        <f aca="false">(B191-$B$1)/365.25</f>
        <v>15.1567419575633</v>
      </c>
      <c r="H191" s="376" t="n">
        <f aca="false">SQRT(G191)</f>
        <v>3.89316605830824</v>
      </c>
      <c r="I191" s="376" t="n">
        <f aca="false">IF($I$2=0,0,-(D191^2)/2)</f>
        <v>0</v>
      </c>
      <c r="J191" s="409" t="n">
        <f aca="false">C191*EXP(I191*G191+D191*$I$2*H191)</f>
        <v>38.575</v>
      </c>
      <c r="L191" s="395"/>
      <c r="M191" s="395"/>
    </row>
    <row r="192" customFormat="false" ht="15.75" hidden="false" customHeight="false" outlineLevel="0" collapsed="false">
      <c r="B192" s="405" t="n">
        <f aca="false">'Revenues &amp; Expenses'!K192</f>
        <v>42156</v>
      </c>
      <c r="C192" s="406" t="n">
        <f aca="false">PJM_01212000!C221</f>
        <v>66.0999984741211</v>
      </c>
      <c r="D192" s="407" t="n">
        <f aca="false">PJM_01212000!X192</f>
        <v>0.128292232538493</v>
      </c>
      <c r="E192" s="407" t="n">
        <f aca="false">VLOOKUP(B192,'Revenues &amp; Expenses'!$K$8:$N$258,2)</f>
        <v>0.07410041825872</v>
      </c>
      <c r="F192" s="408" t="n">
        <f aca="false">VLOOKUP(B192,'Revenues &amp; Expenses'!$K$8:$N$246,4)</f>
        <v>0.327012913029758</v>
      </c>
      <c r="G192" s="376" t="n">
        <f aca="false">(B192-$B$1)/365.25</f>
        <v>15.2416153319644</v>
      </c>
      <c r="H192" s="376" t="n">
        <f aca="false">SQRT(G192)</f>
        <v>3.90405114361536</v>
      </c>
      <c r="I192" s="376" t="n">
        <f aca="false">IF($I$2=0,0,-(D192^2)/2)</f>
        <v>0</v>
      </c>
      <c r="J192" s="409" t="n">
        <f aca="false">C192*EXP(I192*G192+D192*$I$2*H192)</f>
        <v>66.0999984741211</v>
      </c>
      <c r="L192" s="395"/>
      <c r="M192" s="395"/>
    </row>
    <row r="193" customFormat="false" ht="15.75" hidden="false" customHeight="false" outlineLevel="0" collapsed="false">
      <c r="B193" s="405" t="n">
        <f aca="false">'Revenues &amp; Expenses'!K193</f>
        <v>42186</v>
      </c>
      <c r="C193" s="406" t="n">
        <f aca="false">PJM_01212000!C222</f>
        <v>118.199996948242</v>
      </c>
      <c r="D193" s="407" t="n">
        <f aca="false">PJM_01212000!X193</f>
        <v>0.156801617547047</v>
      </c>
      <c r="E193" s="407" t="n">
        <f aca="false">VLOOKUP(B193,'Revenues &amp; Expenses'!$K$8:$N$258,2)</f>
        <v>0.074095411695795</v>
      </c>
      <c r="F193" s="408" t="n">
        <f aca="false">VLOOKUP(B193,'Revenues &amp; Expenses'!$K$8:$N$246,4)</f>
        <v>0.325088672012529</v>
      </c>
      <c r="G193" s="376" t="n">
        <f aca="false">(B193-$B$1)/365.25</f>
        <v>15.3237508555784</v>
      </c>
      <c r="H193" s="376" t="n">
        <f aca="false">SQRT(G193)</f>
        <v>3.91455627824896</v>
      </c>
      <c r="I193" s="376" t="n">
        <f aca="false">IF($I$2=0,0,-(D193^2)/2)</f>
        <v>0</v>
      </c>
      <c r="J193" s="409" t="n">
        <f aca="false">C193*EXP(I193*G193+D193*$I$2*H193)</f>
        <v>118.199996948242</v>
      </c>
      <c r="L193" s="395"/>
      <c r="M193" s="395"/>
    </row>
    <row r="194" customFormat="false" ht="15.75" hidden="false" customHeight="false" outlineLevel="0" collapsed="false">
      <c r="B194" s="405" t="n">
        <f aca="false">'Revenues &amp; Expenses'!K194</f>
        <v>42217</v>
      </c>
      <c r="C194" s="406" t="n">
        <f aca="false">PJM_01212000!C223</f>
        <v>105.199996948242</v>
      </c>
      <c r="D194" s="407" t="n">
        <f aca="false">PJM_01212000!X194</f>
        <v>0.156801617547047</v>
      </c>
      <c r="E194" s="407" t="n">
        <f aca="false">VLOOKUP(B194,'Revenues &amp; Expenses'!$K$8:$N$258,2)</f>
        <v>0.074090238247446</v>
      </c>
      <c r="F194" s="408" t="n">
        <f aca="false">VLOOKUP(B194,'Revenues &amp; Expenses'!$K$8:$N$246,4)</f>
        <v>0.323112453345802</v>
      </c>
      <c r="G194" s="376" t="n">
        <f aca="false">(B194-$B$1)/365.25</f>
        <v>15.4086242299795</v>
      </c>
      <c r="H194" s="376" t="n">
        <f aca="false">SQRT(G194)</f>
        <v>3.9253820489195</v>
      </c>
      <c r="I194" s="376" t="n">
        <f aca="false">IF($I$2=0,0,-(D194^2)/2)</f>
        <v>0</v>
      </c>
      <c r="J194" s="409" t="n">
        <f aca="false">C194*EXP(I194*G194+D194*$I$2*H194)</f>
        <v>105.199996948242</v>
      </c>
      <c r="L194" s="395"/>
      <c r="M194" s="395"/>
    </row>
    <row r="195" customFormat="false" ht="15.75" hidden="false" customHeight="false" outlineLevel="0" collapsed="false">
      <c r="B195" s="405" t="n">
        <f aca="false">'Revenues &amp; Expenses'!K195</f>
        <v>42248</v>
      </c>
      <c r="C195" s="406" t="n">
        <f aca="false">PJM_01212000!C224</f>
        <v>38.9249984741211</v>
      </c>
      <c r="D195" s="407" t="n">
        <f aca="false">PJM_01212000!X195</f>
        <v>0.100790755080747</v>
      </c>
      <c r="E195" s="407" t="n">
        <f aca="false">VLOOKUP(B195,'Revenues &amp; Expenses'!$K$8:$N$258,2)</f>
        <v>0.074085064799107</v>
      </c>
      <c r="F195" s="408" t="n">
        <f aca="false">VLOOKUP(B195,'Revenues &amp; Expenses'!$K$8:$N$246,4)</f>
        <v>0.321148520152884</v>
      </c>
      <c r="G195" s="376" t="n">
        <f aca="false">(B195-$B$1)/365.25</f>
        <v>15.4934976043806</v>
      </c>
      <c r="H195" s="376" t="n">
        <f aca="false">SQRT(G195)</f>
        <v>3.93617804531001</v>
      </c>
      <c r="I195" s="376" t="n">
        <f aca="false">IF($I$2=0,0,-(D195^2)/2)</f>
        <v>0</v>
      </c>
      <c r="J195" s="409" t="n">
        <f aca="false">C195*EXP(I195*G195+D195*$I$2*H195)</f>
        <v>38.9249984741211</v>
      </c>
      <c r="L195" s="395"/>
      <c r="M195" s="395"/>
    </row>
    <row r="196" customFormat="false" ht="15.75" hidden="false" customHeight="false" outlineLevel="0" collapsed="false">
      <c r="B196" s="405" t="n">
        <f aca="false">'Revenues &amp; Expenses'!K196</f>
        <v>42278</v>
      </c>
      <c r="C196" s="406" t="n">
        <f aca="false">PJM_01212000!C225</f>
        <v>31.3250003814697</v>
      </c>
      <c r="D196" s="407" t="n">
        <f aca="false">PJM_01212000!X196</f>
        <v>0.0712734625213851</v>
      </c>
      <c r="E196" s="407" t="n">
        <f aca="false">VLOOKUP(B196,'Revenues &amp; Expenses'!$K$8:$N$258,2)</f>
        <v>0.074080058236206</v>
      </c>
      <c r="F196" s="408" t="n">
        <f aca="false">VLOOKUP(B196,'Revenues &amp; Expenses'!$K$8:$N$246,4)</f>
        <v>0.319259563589729</v>
      </c>
      <c r="G196" s="376" t="n">
        <f aca="false">(B196-$B$1)/365.25</f>
        <v>15.5756331279945</v>
      </c>
      <c r="H196" s="376" t="n">
        <f aca="false">SQRT(G196)</f>
        <v>3.94659766482404</v>
      </c>
      <c r="I196" s="376" t="n">
        <f aca="false">IF($I$2=0,0,-(D196^2)/2)</f>
        <v>0</v>
      </c>
      <c r="J196" s="409" t="n">
        <f aca="false">C196*EXP(I196*G196+D196*$I$2*H196)</f>
        <v>31.3250003814697</v>
      </c>
      <c r="L196" s="395"/>
      <c r="M196" s="395"/>
    </row>
    <row r="197" customFormat="false" ht="15.75" hidden="false" customHeight="false" outlineLevel="0" collapsed="false">
      <c r="B197" s="405" t="n">
        <f aca="false">'Revenues &amp; Expenses'!K197</f>
        <v>42309</v>
      </c>
      <c r="C197" s="406" t="n">
        <f aca="false">PJM_01212000!C226</f>
        <v>30.9974990844727</v>
      </c>
      <c r="D197" s="407" t="n">
        <f aca="false">PJM_01212000!X197</f>
        <v>0.0712734625213851</v>
      </c>
      <c r="E197" s="407" t="n">
        <f aca="false">VLOOKUP(B197,'Revenues &amp; Expenses'!$K$8:$N$258,2)</f>
        <v>0.074074884787884</v>
      </c>
      <c r="F197" s="408" t="n">
        <f aca="false">VLOOKUP(B197,'Revenues &amp; Expenses'!$K$8:$N$246,4)</f>
        <v>0.317319577796264</v>
      </c>
      <c r="G197" s="376" t="n">
        <f aca="false">(B197-$B$1)/365.25</f>
        <v>15.6605065023956</v>
      </c>
      <c r="H197" s="376" t="n">
        <f aca="false">SQRT(G197)</f>
        <v>3.95733578337695</v>
      </c>
      <c r="I197" s="376" t="n">
        <f aca="false">IF($I$2=0,0,-(D197^2)/2)</f>
        <v>0</v>
      </c>
      <c r="J197" s="409" t="n">
        <f aca="false">C197*EXP(I197*G197+D197*$I$2*H197)</f>
        <v>30.9974990844727</v>
      </c>
      <c r="L197" s="395"/>
      <c r="M197" s="395"/>
    </row>
    <row r="198" customFormat="false" ht="15.75" hidden="false" customHeight="false" outlineLevel="0" collapsed="false">
      <c r="B198" s="405" t="n">
        <f aca="false">'Revenues &amp; Expenses'!K198</f>
        <v>42339</v>
      </c>
      <c r="C198" s="406" t="n">
        <f aca="false">PJM_01212000!C227</f>
        <v>32.7499996185303</v>
      </c>
      <c r="D198" s="407" t="n">
        <f aca="false">PJM_01212000!X198</f>
        <v>0.0712734625213851</v>
      </c>
      <c r="E198" s="407" t="n">
        <f aca="false">VLOOKUP(B198,'Revenues &amp; Expenses'!$K$8:$N$258,2)</f>
        <v>0.074069878225</v>
      </c>
      <c r="F198" s="408" t="n">
        <f aca="false">VLOOKUP(B198,'Revenues &amp; Expenses'!$K$8:$N$246,4)</f>
        <v>0.315453651409921</v>
      </c>
      <c r="G198" s="376" t="n">
        <f aca="false">(B198-$B$1)/365.25</f>
        <v>15.7426420260096</v>
      </c>
      <c r="H198" s="376" t="n">
        <f aca="false">SQRT(G198)</f>
        <v>3.96769984071497</v>
      </c>
      <c r="I198" s="376" t="n">
        <f aca="false">IF($I$2=0,0,-(D198^2)/2)</f>
        <v>0</v>
      </c>
      <c r="J198" s="409" t="n">
        <f aca="false">C198*EXP(I198*G198+D198*$I$2*H198)</f>
        <v>32.7499996185303</v>
      </c>
      <c r="L198" s="395"/>
      <c r="M198" s="395"/>
    </row>
    <row r="199" customFormat="false" ht="15.75" hidden="false" customHeight="false" outlineLevel="0" collapsed="false">
      <c r="B199" s="405" t="n">
        <f aca="false">'Revenues &amp; Expenses'!K199</f>
        <v>42370</v>
      </c>
      <c r="C199" s="406" t="n">
        <f aca="false">PJM_01212000!C228</f>
        <v>41.3249984741211</v>
      </c>
      <c r="D199" s="407" t="n">
        <f aca="false">PJM_01212000!X199</f>
        <v>0.109476038432848</v>
      </c>
      <c r="E199" s="407" t="n">
        <f aca="false">VLOOKUP(B199,'Revenues &amp; Expenses'!$K$8:$N$258,2)</f>
        <v>0.074064704776695</v>
      </c>
      <c r="F199" s="408" t="n">
        <f aca="false">VLOOKUP(B199,'Revenues &amp; Expenses'!$K$8:$N$246,4)</f>
        <v>0.313537314873403</v>
      </c>
      <c r="G199" s="376" t="n">
        <f aca="false">(B199-$B$1)/365.25</f>
        <v>15.8275154004107</v>
      </c>
      <c r="H199" s="376" t="n">
        <f aca="false">SQRT(G199)</f>
        <v>3.97838100241929</v>
      </c>
      <c r="I199" s="376" t="n">
        <f aca="false">IF($I$2=0,0,-(D199^2)/2)</f>
        <v>0</v>
      </c>
      <c r="J199" s="409" t="n">
        <f aca="false">C199*EXP(I199*G199+D199*$I$2*H199)</f>
        <v>41.3249984741211</v>
      </c>
      <c r="L199" s="395"/>
      <c r="M199" s="395"/>
    </row>
    <row r="200" customFormat="false" ht="15.75" hidden="false" customHeight="false" outlineLevel="0" collapsed="false">
      <c r="B200" s="405" t="n">
        <f aca="false">'Revenues &amp; Expenses'!K200</f>
        <v>42401</v>
      </c>
      <c r="C200" s="406" t="n">
        <f aca="false">PJM_01212000!C229</f>
        <v>41.3249984741211</v>
      </c>
      <c r="D200" s="407" t="n">
        <f aca="false">PJM_01212000!X200</f>
        <v>0.109476038432848</v>
      </c>
      <c r="E200" s="407" t="n">
        <f aca="false">VLOOKUP(B200,'Revenues &amp; Expenses'!$K$8:$N$258,2)</f>
        <v>0.074059531328399</v>
      </c>
      <c r="F200" s="408" t="n">
        <f aca="false">VLOOKUP(B200,'Revenues &amp; Expenses'!$K$8:$N$246,4)</f>
        <v>0.311632883769179</v>
      </c>
      <c r="G200" s="376" t="n">
        <f aca="false">(B200-$B$1)/365.25</f>
        <v>15.9123887748118</v>
      </c>
      <c r="H200" s="376" t="n">
        <f aca="false">SQRT(G200)</f>
        <v>3.98903356401169</v>
      </c>
      <c r="I200" s="376" t="n">
        <f aca="false">IF($I$2=0,0,-(D200^2)/2)</f>
        <v>0</v>
      </c>
      <c r="J200" s="409" t="n">
        <f aca="false">C200*EXP(I200*G200+D200*$I$2*H200)</f>
        <v>41.3249984741211</v>
      </c>
      <c r="L200" s="395"/>
      <c r="M200" s="395"/>
    </row>
    <row r="201" customFormat="false" ht="15.75" hidden="false" customHeight="false" outlineLevel="0" collapsed="false">
      <c r="B201" s="405" t="n">
        <f aca="false">'Revenues &amp; Expenses'!K201</f>
        <v>42430</v>
      </c>
      <c r="C201" s="406" t="n">
        <f aca="false">PJM_01212000!C230</f>
        <v>31.0500007629395</v>
      </c>
      <c r="D201" s="407" t="n">
        <f aca="false">PJM_01212000!X201</f>
        <v>0.091230032027373</v>
      </c>
      <c r="E201" s="407" t="n">
        <f aca="false">VLOOKUP(B201,'Revenues &amp; Expenses'!$K$8:$N$258,2)</f>
        <v>0.07405469165097</v>
      </c>
      <c r="F201" s="408" t="n">
        <f aca="false">VLOOKUP(B201,'Revenues &amp; Expenses'!$K$8:$N$246,4)</f>
        <v>0.309862030345046</v>
      </c>
      <c r="G201" s="376" t="n">
        <f aca="false">(B201-$B$1)/365.25</f>
        <v>15.9917864476386</v>
      </c>
      <c r="H201" s="376" t="n">
        <f aca="false">SQRT(G201)</f>
        <v>3.99897317415841</v>
      </c>
      <c r="I201" s="376" t="n">
        <f aca="false">IF($I$2=0,0,-(D201^2)/2)</f>
        <v>0</v>
      </c>
      <c r="J201" s="409" t="n">
        <f aca="false">C201*EXP(I201*G201+D201*$I$2*H201)</f>
        <v>31.0500007629395</v>
      </c>
      <c r="L201" s="395"/>
      <c r="M201" s="395"/>
    </row>
    <row r="202" customFormat="false" ht="15.75" hidden="false" customHeight="false" outlineLevel="0" collapsed="false">
      <c r="B202" s="405" t="n">
        <f aca="false">'Revenues &amp; Expenses'!K202</f>
        <v>42461</v>
      </c>
      <c r="C202" s="406" t="n">
        <f aca="false">PJM_01212000!C231</f>
        <v>30.8250007629395</v>
      </c>
      <c r="D202" s="407" t="n">
        <f aca="false">PJM_01212000!X202</f>
        <v>0.0866685304260044</v>
      </c>
      <c r="E202" s="407" t="n">
        <f aca="false">VLOOKUP(B202,'Revenues &amp; Expenses'!$K$8:$N$258,2)</f>
        <v>0.074049518202691</v>
      </c>
      <c r="F202" s="408" t="n">
        <f aca="false">VLOOKUP(B202,'Revenues &amp; Expenses'!$K$8:$N$246,4)</f>
        <v>0.307980427883324</v>
      </c>
      <c r="G202" s="376" t="n">
        <f aca="false">(B202-$B$1)/365.25</f>
        <v>16.0766598220397</v>
      </c>
      <c r="H202" s="376" t="n">
        <f aca="false">SQRT(G202)</f>
        <v>4.00957102718479</v>
      </c>
      <c r="I202" s="376" t="n">
        <f aca="false">IF($I$2=0,0,-(D202^2)/2)</f>
        <v>0</v>
      </c>
      <c r="J202" s="409" t="n">
        <f aca="false">C202*EXP(I202*G202+D202*$I$2*H202)</f>
        <v>30.8250007629395</v>
      </c>
      <c r="L202" s="395"/>
      <c r="M202" s="395"/>
    </row>
    <row r="203" customFormat="false" ht="15.75" hidden="false" customHeight="false" outlineLevel="0" collapsed="false">
      <c r="B203" s="405" t="n">
        <f aca="false">'Revenues &amp; Expenses'!K203</f>
        <v>42491</v>
      </c>
      <c r="C203" s="406" t="n">
        <f aca="false">PJM_01212000!C232</f>
        <v>38.825</v>
      </c>
      <c r="D203" s="407" t="n">
        <f aca="false">PJM_01212000!X203</f>
        <v>0.0957915336287416</v>
      </c>
      <c r="E203" s="407" t="n">
        <f aca="false">VLOOKUP(B203,'Revenues &amp; Expenses'!$K$8:$N$258,2)</f>
        <v>0.074044511639849</v>
      </c>
      <c r="F203" s="408" t="n">
        <f aca="false">VLOOKUP(B203,'Revenues &amp; Expenses'!$K$8:$N$246,4)</f>
        <v>0.306170648809578</v>
      </c>
      <c r="G203" s="376" t="n">
        <f aca="false">(B203-$B$1)/365.25</f>
        <v>16.1587953456537</v>
      </c>
      <c r="H203" s="376" t="n">
        <f aca="false">SQRT(G203)</f>
        <v>4.01980041117139</v>
      </c>
      <c r="I203" s="376" t="n">
        <f aca="false">IF($I$2=0,0,-(D203^2)/2)</f>
        <v>0</v>
      </c>
      <c r="J203" s="409" t="n">
        <f aca="false">C203*EXP(I203*G203+D203*$I$2*H203)</f>
        <v>38.825</v>
      </c>
      <c r="L203" s="395"/>
      <c r="M203" s="395"/>
    </row>
    <row r="204" customFormat="false" ht="15.75" hidden="false" customHeight="false" outlineLevel="0" collapsed="false">
      <c r="B204" s="405" t="n">
        <f aca="false">'Revenues &amp; Expenses'!K204</f>
        <v>42522</v>
      </c>
      <c r="C204" s="406" t="n">
        <f aca="false">PJM_01212000!C233</f>
        <v>66.8499984741211</v>
      </c>
      <c r="D204" s="407" t="n">
        <f aca="false">PJM_01212000!X204</f>
        <v>0.123160543236954</v>
      </c>
      <c r="E204" s="407" t="n">
        <f aca="false">VLOOKUP(B204,'Revenues &amp; Expenses'!$K$8:$N$258,2)</f>
        <v>0.074039338191588</v>
      </c>
      <c r="F204" s="408" t="n">
        <f aca="false">VLOOKUP(B204,'Revenues &amp; Expenses'!$K$8:$N$246,4)</f>
        <v>0.304311969053413</v>
      </c>
      <c r="G204" s="376" t="n">
        <f aca="false">(B204-$B$1)/365.25</f>
        <v>16.2436687200548</v>
      </c>
      <c r="H204" s="376" t="n">
        <f aca="false">SQRT(G204)</f>
        <v>4.03034349901528</v>
      </c>
      <c r="I204" s="376" t="n">
        <f aca="false">IF($I$2=0,0,-(D204^2)/2)</f>
        <v>0</v>
      </c>
      <c r="J204" s="409" t="n">
        <f aca="false">C204*EXP(I204*G204+D204*$I$2*H204)</f>
        <v>66.8499984741211</v>
      </c>
      <c r="L204" s="395"/>
      <c r="M204" s="395"/>
    </row>
    <row r="205" customFormat="false" ht="15.75" hidden="false" customHeight="false" outlineLevel="0" collapsed="false">
      <c r="B205" s="405" t="n">
        <f aca="false">'Revenues &amp; Expenses'!K205</f>
        <v>42552</v>
      </c>
      <c r="C205" s="406" t="n">
        <f aca="false">PJM_01212000!C234</f>
        <v>120.449996948242</v>
      </c>
      <c r="D205" s="407" t="n">
        <f aca="false">PJM_01212000!X205</f>
        <v>0.150529552845165</v>
      </c>
      <c r="E205" s="407" t="n">
        <f aca="false">VLOOKUP(B205,'Revenues &amp; Expenses'!$K$8:$N$258,2)</f>
        <v>0.074034331628763</v>
      </c>
      <c r="F205" s="408" t="n">
        <f aca="false">VLOOKUP(B205,'Revenues &amp; Expenses'!$K$8:$N$246,4)</f>
        <v>0.302524234830668</v>
      </c>
      <c r="G205" s="376" t="n">
        <f aca="false">(B205-$B$1)/365.25</f>
        <v>16.3258042436687</v>
      </c>
      <c r="H205" s="376" t="n">
        <f aca="false">SQRT(G205)</f>
        <v>4.04052029368356</v>
      </c>
      <c r="I205" s="376" t="n">
        <f aca="false">IF($I$2=0,0,-(D205^2)/2)</f>
        <v>0</v>
      </c>
      <c r="J205" s="409" t="n">
        <f aca="false">C205*EXP(I205*G205+D205*$I$2*H205)</f>
        <v>120.449996948242</v>
      </c>
      <c r="L205" s="395"/>
      <c r="M205" s="395"/>
    </row>
    <row r="206" customFormat="false" ht="15.75" hidden="false" customHeight="false" outlineLevel="0" collapsed="false">
      <c r="B206" s="405" t="n">
        <f aca="false">'Revenues &amp; Expenses'!K206</f>
        <v>42583</v>
      </c>
      <c r="C206" s="406" t="n">
        <f aca="false">PJM_01212000!C235</f>
        <v>107.449996948242</v>
      </c>
      <c r="D206" s="407" t="n">
        <f aca="false">PJM_01212000!X206</f>
        <v>0.150529552845165</v>
      </c>
      <c r="E206" s="407" t="n">
        <f aca="false">VLOOKUP(B206,'Revenues &amp; Expenses'!$K$8:$N$258,2)</f>
        <v>0.074029158180519</v>
      </c>
      <c r="F206" s="408" t="n">
        <f aca="false">VLOOKUP(B206,'Revenues &amp; Expenses'!$K$8:$N$246,4)</f>
        <v>0.30068819264278</v>
      </c>
      <c r="G206" s="376" t="n">
        <f aca="false">(B206-$B$1)/365.25</f>
        <v>16.4106776180698</v>
      </c>
      <c r="H206" s="376" t="n">
        <f aca="false">SQRT(G206)</f>
        <v>4.05100945667494</v>
      </c>
      <c r="I206" s="376" t="n">
        <f aca="false">IF($I$2=0,0,-(D206^2)/2)</f>
        <v>0</v>
      </c>
      <c r="J206" s="409" t="n">
        <f aca="false">C206*EXP(I206*G206+D206*$I$2*H206)</f>
        <v>107.449996948242</v>
      </c>
      <c r="L206" s="395"/>
      <c r="M206" s="395"/>
    </row>
    <row r="207" customFormat="false" ht="15.75" hidden="false" customHeight="false" outlineLevel="0" collapsed="false">
      <c r="B207" s="405" t="n">
        <f aca="false">'Revenues &amp; Expenses'!K207</f>
        <v>42614</v>
      </c>
      <c r="C207" s="406" t="n">
        <f aca="false">PJM_01212000!C236</f>
        <v>39.4249984741211</v>
      </c>
      <c r="D207" s="407" t="n">
        <f aca="false">PJM_01212000!X207</f>
        <v>0.0967591248775168</v>
      </c>
      <c r="E207" s="407" t="n">
        <f aca="false">VLOOKUP(B207,'Revenues &amp; Expenses'!$K$8:$N$258,2)</f>
        <v>0.074023984732284</v>
      </c>
      <c r="F207" s="408" t="n">
        <f aca="false">VLOOKUP(B207,'Revenues &amp; Expenses'!$K$8:$N$246,4)</f>
        <v>0.298863546680356</v>
      </c>
      <c r="G207" s="376" t="n">
        <f aca="false">(B207-$B$1)/365.25</f>
        <v>16.4955509924709</v>
      </c>
      <c r="H207" s="376" t="n">
        <f aca="false">SQRT(G207)</f>
        <v>4.06147153042723</v>
      </c>
      <c r="I207" s="376" t="n">
        <f aca="false">IF($I$2=0,0,-(D207^2)/2)</f>
        <v>0</v>
      </c>
      <c r="J207" s="409" t="n">
        <f aca="false">C207*EXP(I207*G207+D207*$I$2*H207)</f>
        <v>39.4249984741211</v>
      </c>
      <c r="L207" s="395"/>
      <c r="M207" s="395"/>
    </row>
    <row r="208" customFormat="false" ht="15.75" hidden="false" customHeight="false" outlineLevel="0" collapsed="false">
      <c r="B208" s="405" t="n">
        <f aca="false">'Revenues &amp; Expenses'!K208</f>
        <v>42644</v>
      </c>
      <c r="C208" s="406" t="n">
        <f aca="false">PJM_01212000!C237</f>
        <v>31.5750003814697</v>
      </c>
      <c r="D208" s="407" t="n">
        <f aca="false">PJM_01212000!X208</f>
        <v>0.0684225240205297</v>
      </c>
      <c r="E208" s="407" t="n">
        <f aca="false">VLOOKUP(B208,'Revenues &amp; Expenses'!$K$8:$N$258,2)</f>
        <v>0.074018978169484</v>
      </c>
      <c r="F208" s="408" t="n">
        <f aca="false">VLOOKUP(B208,'Revenues &amp; Expenses'!$K$8:$N$246,4)</f>
        <v>0.297108542947644</v>
      </c>
      <c r="G208" s="376" t="n">
        <f aca="false">(B208-$B$1)/365.25</f>
        <v>16.5776865160849</v>
      </c>
      <c r="H208" s="376" t="n">
        <f aca="false">SQRT(G208)</f>
        <v>4.07157052205717</v>
      </c>
      <c r="I208" s="376" t="n">
        <f aca="false">IF($I$2=0,0,-(D208^2)/2)</f>
        <v>0</v>
      </c>
      <c r="J208" s="409" t="n">
        <f aca="false">C208*EXP(I208*G208+D208*$I$2*H208)</f>
        <v>31.5750003814697</v>
      </c>
      <c r="L208" s="395"/>
      <c r="M208" s="395"/>
    </row>
    <row r="209" customFormat="false" ht="15.75" hidden="false" customHeight="false" outlineLevel="0" collapsed="false">
      <c r="B209" s="405" t="n">
        <f aca="false">'Revenues &amp; Expenses'!K209</f>
        <v>42675</v>
      </c>
      <c r="C209" s="406" t="n">
        <f aca="false">PJM_01212000!C238</f>
        <v>31.2474990844727</v>
      </c>
      <c r="D209" s="407" t="n">
        <f aca="false">PJM_01212000!X209</f>
        <v>0.0684225240205297</v>
      </c>
      <c r="E209" s="407" t="n">
        <f aca="false">VLOOKUP(B209,'Revenues &amp; Expenses'!$K$8:$N$258,2)</f>
        <v>0.074013804721266</v>
      </c>
      <c r="F209" s="408" t="n">
        <f aca="false">VLOOKUP(B209,'Revenues &amp; Expenses'!$K$8:$N$246,4)</f>
        <v>0.295306111336586</v>
      </c>
      <c r="G209" s="376" t="n">
        <f aca="false">(B209-$B$1)/365.25</f>
        <v>16.662559890486</v>
      </c>
      <c r="H209" s="376" t="n">
        <f aca="false">SQRT(G209)</f>
        <v>4.08197989834418</v>
      </c>
      <c r="I209" s="376" t="n">
        <f aca="false">IF($I$2=0,0,-(D209^2)/2)</f>
        <v>0</v>
      </c>
      <c r="J209" s="409" t="n">
        <f aca="false">C209*EXP(I209*G209+D209*$I$2*H209)</f>
        <v>31.2474990844727</v>
      </c>
      <c r="L209" s="395"/>
      <c r="M209" s="395"/>
    </row>
    <row r="210" customFormat="false" ht="15.75" hidden="false" customHeight="false" outlineLevel="0" collapsed="false">
      <c r="B210" s="405" t="n">
        <f aca="false">'Revenues &amp; Expenses'!K210</f>
        <v>42705</v>
      </c>
      <c r="C210" s="406" t="n">
        <f aca="false">PJM_01212000!C239</f>
        <v>32.9999996185303</v>
      </c>
      <c r="D210" s="407" t="n">
        <f aca="false">PJM_01212000!X210</f>
        <v>0.0684225240205297</v>
      </c>
      <c r="E210" s="407" t="n">
        <f aca="false">VLOOKUP(B210,'Revenues &amp; Expenses'!$K$8:$N$258,2)</f>
        <v>0.074008798158483</v>
      </c>
      <c r="F210" s="408" t="n">
        <f aca="false">VLOOKUP(B210,'Revenues &amp; Expenses'!$K$8:$N$246,4)</f>
        <v>0.293572471312034</v>
      </c>
      <c r="G210" s="376" t="n">
        <f aca="false">(B210-$B$1)/365.25</f>
        <v>16.7446954140999</v>
      </c>
      <c r="H210" s="376" t="n">
        <f aca="false">SQRT(G210)</f>
        <v>4.09202827630748</v>
      </c>
      <c r="I210" s="376" t="n">
        <f aca="false">IF($I$2=0,0,-(D210^2)/2)</f>
        <v>0</v>
      </c>
      <c r="J210" s="409" t="n">
        <f aca="false">C210*EXP(I210*G210+D210*$I$2*H210)</f>
        <v>32.9999996185303</v>
      </c>
      <c r="L210" s="395"/>
      <c r="M210" s="395"/>
    </row>
    <row r="211" customFormat="false" ht="15.75" hidden="false" customHeight="false" outlineLevel="0" collapsed="false">
      <c r="B211" s="405" t="n">
        <f aca="false">'Revenues &amp; Expenses'!K211</f>
        <v>42736</v>
      </c>
      <c r="C211" s="406" t="n">
        <f aca="false">PJM_01212000!C240</f>
        <v>41.5749984741211</v>
      </c>
      <c r="D211" s="407" t="n">
        <f aca="false">PJM_01212000!X211</f>
        <v>0.105096996895534</v>
      </c>
      <c r="E211" s="407" t="n">
        <f aca="false">VLOOKUP(B211,'Revenues &amp; Expenses'!$K$8:$N$258,2)</f>
        <v>0.074003624710283</v>
      </c>
      <c r="F211" s="408" t="n">
        <f aca="false">VLOOKUP(B211,'Revenues &amp; Expenses'!$K$8:$N$246,4)</f>
        <v>0.291791977898877</v>
      </c>
      <c r="G211" s="376" t="n">
        <f aca="false">(B211-$B$1)/365.25</f>
        <v>16.829568788501</v>
      </c>
      <c r="H211" s="376" t="n">
        <f aca="false">SQRT(G211)</f>
        <v>4.10238574350353</v>
      </c>
      <c r="I211" s="376" t="n">
        <f aca="false">IF($I$2=0,0,-(D211^2)/2)</f>
        <v>0</v>
      </c>
      <c r="J211" s="409" t="n">
        <f aca="false">C211*EXP(I211*G211+D211*$I$2*H211)</f>
        <v>41.5749984741211</v>
      </c>
      <c r="L211" s="395"/>
      <c r="M211" s="395"/>
    </row>
    <row r="212" customFormat="false" ht="15.75" hidden="false" customHeight="false" outlineLevel="0" collapsed="false">
      <c r="B212" s="405" t="n">
        <f aca="false">'Revenues &amp; Expenses'!K212</f>
        <v>42767</v>
      </c>
      <c r="C212" s="406" t="n">
        <f aca="false">PJM_01212000!C241</f>
        <v>41.5749984741211</v>
      </c>
      <c r="D212" s="407" t="n">
        <f aca="false">PJM_01212000!X212</f>
        <v>0.105096996895534</v>
      </c>
      <c r="E212" s="407" t="n">
        <f aca="false">VLOOKUP(B212,'Revenues &amp; Expenses'!$K$8:$N$258,2)</f>
        <v>0.073998451262091</v>
      </c>
      <c r="F212" s="408" t="n">
        <f aca="false">VLOOKUP(B212,'Revenues &amp; Expenses'!$K$8:$N$246,4)</f>
        <v>0.290022528699086</v>
      </c>
      <c r="G212" s="376" t="n">
        <f aca="false">(B212-$B$1)/365.25</f>
        <v>16.9144421629021</v>
      </c>
      <c r="H212" s="376" t="n">
        <f aca="false">SQRT(G212)</f>
        <v>4.11271712653595</v>
      </c>
      <c r="I212" s="376" t="n">
        <f aca="false">IF($I$2=0,0,-(D212^2)/2)</f>
        <v>0</v>
      </c>
      <c r="J212" s="409" t="n">
        <f aca="false">C212*EXP(I212*G212+D212*$I$2*H212)</f>
        <v>41.5749984741211</v>
      </c>
      <c r="L212" s="395"/>
      <c r="M212" s="395"/>
    </row>
    <row r="213" customFormat="false" ht="15.75" hidden="false" customHeight="false" outlineLevel="0" collapsed="false">
      <c r="B213" s="405" t="n">
        <f aca="false">'Revenues &amp; Expenses'!K213</f>
        <v>42795</v>
      </c>
      <c r="C213" s="406" t="n">
        <f aca="false">PJM_01212000!C242</f>
        <v>31.3000007629395</v>
      </c>
      <c r="D213" s="407" t="n">
        <f aca="false">PJM_01212000!X213</f>
        <v>0.0875808307462781</v>
      </c>
      <c r="E213" s="407" t="n">
        <f aca="false">VLOOKUP(B213,'Revenues &amp; Expenses'!$K$8:$N$258,2)</f>
        <v>0.073993778470185</v>
      </c>
      <c r="F213" s="408" t="n">
        <f aca="false">VLOOKUP(B213,'Revenues &amp; Expenses'!$K$8:$N$246,4)</f>
        <v>0.288433751053627</v>
      </c>
      <c r="G213" s="376" t="n">
        <f aca="false">(B213-$B$1)/365.25</f>
        <v>16.9911019849418</v>
      </c>
      <c r="H213" s="376" t="n">
        <f aca="false">SQRT(G213)</f>
        <v>4.12202644156267</v>
      </c>
      <c r="I213" s="376" t="n">
        <f aca="false">IF($I$2=0,0,-(D213^2)/2)</f>
        <v>0</v>
      </c>
      <c r="J213" s="409" t="n">
        <f aca="false">C213*EXP(I213*G213+D213*$I$2*H213)</f>
        <v>31.3000007629395</v>
      </c>
      <c r="L213" s="395"/>
      <c r="M213" s="395"/>
    </row>
    <row r="214" customFormat="false" ht="15.75" hidden="false" customHeight="false" outlineLevel="0" collapsed="false">
      <c r="B214" s="405" t="n">
        <f aca="false">'Revenues &amp; Expenses'!K214</f>
        <v>42826</v>
      </c>
      <c r="C214" s="406" t="n">
        <f aca="false">PJM_01212000!C243</f>
        <v>31.0750007629395</v>
      </c>
      <c r="D214" s="407" t="n">
        <f aca="false">PJM_01212000!X214</f>
        <v>0.0832017892089642</v>
      </c>
      <c r="E214" s="407" t="n">
        <f aca="false">VLOOKUP(B214,'Revenues &amp; Expenses'!$K$8:$N$258,2)</f>
        <v>0.07398860502201</v>
      </c>
      <c r="F214" s="408" t="n">
        <f aca="false">VLOOKUP(B214,'Revenues &amp; Expenses'!$K$8:$N$246,4)</f>
        <v>0.286685128578311</v>
      </c>
      <c r="G214" s="376" t="n">
        <f aca="false">(B214-$B$1)/365.25</f>
        <v>17.0759753593429</v>
      </c>
      <c r="H214" s="376" t="n">
        <f aca="false">SQRT(G214)</f>
        <v>4.13230872023654</v>
      </c>
      <c r="I214" s="376" t="n">
        <f aca="false">IF($I$2=0,0,-(D214^2)/2)</f>
        <v>0</v>
      </c>
      <c r="J214" s="409" t="n">
        <f aca="false">C214*EXP(I214*G214+D214*$I$2*H214)</f>
        <v>31.0750007629395</v>
      </c>
      <c r="L214" s="395"/>
      <c r="M214" s="395"/>
    </row>
    <row r="215" customFormat="false" ht="15.75" hidden="false" customHeight="false" outlineLevel="0" collapsed="false">
      <c r="B215" s="405" t="n">
        <f aca="false">'Revenues &amp; Expenses'!K215</f>
        <v>42856</v>
      </c>
      <c r="C215" s="406" t="n">
        <f aca="false">PJM_01212000!C244</f>
        <v>39.075</v>
      </c>
      <c r="D215" s="407" t="n">
        <f aca="false">PJM_01212000!X215</f>
        <v>0.091959872283592</v>
      </c>
      <c r="E215" s="407" t="n">
        <f aca="false">VLOOKUP(B215,'Revenues &amp; Expenses'!$K$8:$N$258,2)</f>
        <v>0.073983598459268</v>
      </c>
      <c r="F215" s="408" t="n">
        <f aca="false">VLOOKUP(B215,'Revenues &amp; Expenses'!$K$8:$N$246,4)</f>
        <v>0.285003237343373</v>
      </c>
      <c r="G215" s="376" t="n">
        <f aca="false">(B215-$B$1)/365.25</f>
        <v>17.1581108829569</v>
      </c>
      <c r="H215" s="376" t="n">
        <f aca="false">SQRT(G215)</f>
        <v>4.14223501058992</v>
      </c>
      <c r="I215" s="376" t="n">
        <f aca="false">IF($I$2=0,0,-(D215^2)/2)</f>
        <v>0</v>
      </c>
      <c r="J215" s="409" t="n">
        <f aca="false">C215*EXP(I215*G215+D215*$I$2*H215)</f>
        <v>39.075</v>
      </c>
      <c r="L215" s="395"/>
      <c r="M215" s="395"/>
    </row>
    <row r="216" customFormat="false" ht="15.75" hidden="false" customHeight="false" outlineLevel="0" collapsed="false">
      <c r="B216" s="405" t="n">
        <f aca="false">'Revenues &amp; Expenses'!K216</f>
        <v>42887</v>
      </c>
      <c r="C216" s="406" t="n">
        <f aca="false">PJM_01212000!C245</f>
        <v>67.5999984741211</v>
      </c>
      <c r="D216" s="407" t="n">
        <f aca="false">PJM_01212000!X216</f>
        <v>0.118234121507475</v>
      </c>
      <c r="E216" s="407" t="n">
        <f aca="false">VLOOKUP(B216,'Revenues &amp; Expenses'!$K$8:$N$258,2)</f>
        <v>0.073978425011111</v>
      </c>
      <c r="F216" s="408" t="n">
        <f aca="false">VLOOKUP(B216,'Revenues &amp; Expenses'!$K$8:$N$246,4)</f>
        <v>0.283275884436665</v>
      </c>
      <c r="G216" s="376" t="n">
        <f aca="false">(B216-$B$1)/365.25</f>
        <v>17.242984257358</v>
      </c>
      <c r="H216" s="376" t="n">
        <f aca="false">SQRT(G216)</f>
        <v>4.15246724940221</v>
      </c>
      <c r="I216" s="376" t="n">
        <f aca="false">IF($I$2=0,0,-(D216^2)/2)</f>
        <v>0</v>
      </c>
      <c r="J216" s="409" t="n">
        <f aca="false">C216*EXP(I216*G216+D216*$I$2*H216)</f>
        <v>67.5999984741211</v>
      </c>
      <c r="L216" s="395"/>
      <c r="M216" s="395"/>
    </row>
    <row r="217" customFormat="false" ht="15.75" hidden="false" customHeight="false" outlineLevel="0" collapsed="false">
      <c r="B217" s="405" t="n">
        <f aca="false">'Revenues &amp; Expenses'!K217</f>
        <v>42917</v>
      </c>
      <c r="C217" s="406" t="n">
        <f aca="false">PJM_01212000!C246</f>
        <v>122.699996948242</v>
      </c>
      <c r="D217" s="407" t="n">
        <f aca="false">PJM_01212000!X217</f>
        <v>0.144508370731359</v>
      </c>
      <c r="E217" s="407" t="n">
        <f aca="false">VLOOKUP(B217,'Revenues &amp; Expenses'!$K$8:$N$258,2)</f>
        <v>0.073973418448387</v>
      </c>
      <c r="F217" s="408" t="n">
        <f aca="false">VLOOKUP(B217,'Revenues &amp; Expenses'!$K$8:$N$246,4)</f>
        <v>0.281614448416695</v>
      </c>
      <c r="G217" s="376" t="n">
        <f aca="false">(B217-$B$1)/365.25</f>
        <v>17.3251197809719</v>
      </c>
      <c r="H217" s="376" t="n">
        <f aca="false">SQRT(G217)</f>
        <v>4.16234546631727</v>
      </c>
      <c r="I217" s="376" t="n">
        <f aca="false">IF($I$2=0,0,-(D217^2)/2)</f>
        <v>0</v>
      </c>
      <c r="J217" s="409" t="n">
        <f aca="false">C217*EXP(I217*G217+D217*$I$2*H217)</f>
        <v>122.699996948242</v>
      </c>
      <c r="L217" s="395"/>
      <c r="M217" s="395"/>
    </row>
    <row r="218" customFormat="false" ht="15.75" hidden="false" customHeight="false" outlineLevel="0" collapsed="false">
      <c r="B218" s="405" t="n">
        <f aca="false">'Revenues &amp; Expenses'!K218</f>
        <v>42948</v>
      </c>
      <c r="C218" s="406" t="n">
        <f aca="false">PJM_01212000!C247</f>
        <v>109.699996948242</v>
      </c>
      <c r="D218" s="407" t="n">
        <f aca="false">PJM_01212000!X218</f>
        <v>0.144508370731359</v>
      </c>
      <c r="E218" s="407" t="n">
        <f aca="false">VLOOKUP(B218,'Revenues &amp; Expenses'!$K$8:$N$258,2)</f>
        <v>0.073968245000246</v>
      </c>
      <c r="F218" s="408" t="n">
        <f aca="false">VLOOKUP(B218,'Revenues &amp; Expenses'!$K$8:$N$246,4)</f>
        <v>0.27990810089895</v>
      </c>
      <c r="G218" s="376" t="n">
        <f aca="false">(B218-$B$1)/365.25</f>
        <v>17.409993155373</v>
      </c>
      <c r="H218" s="376" t="n">
        <f aca="false">SQRT(G218)</f>
        <v>4.17252838880373</v>
      </c>
      <c r="I218" s="376" t="n">
        <f aca="false">IF($I$2=0,0,-(D218^2)/2)</f>
        <v>0</v>
      </c>
      <c r="J218" s="409" t="n">
        <f aca="false">C218*EXP(I218*G218+D218*$I$2*H218)</f>
        <v>109.699996948242</v>
      </c>
      <c r="L218" s="395"/>
      <c r="M218" s="395"/>
    </row>
    <row r="219" customFormat="false" ht="15.75" hidden="false" customHeight="false" outlineLevel="0" collapsed="false">
      <c r="B219" s="405" t="n">
        <f aca="false">'Revenues &amp; Expenses'!K219</f>
        <v>42979</v>
      </c>
      <c r="C219" s="406" t="n">
        <f aca="false">PJM_01212000!C248</f>
        <v>39.9249984741211</v>
      </c>
      <c r="D219" s="407" t="n">
        <f aca="false">PJM_01212000!X219</f>
        <v>0.0928887598824161</v>
      </c>
      <c r="E219" s="407" t="n">
        <f aca="false">VLOOKUP(B219,'Revenues &amp; Expenses'!$K$8:$N$258,2)</f>
        <v>0.073963071552115</v>
      </c>
      <c r="F219" s="408" t="n">
        <f aca="false">VLOOKUP(B219,'Revenues &amp; Expenses'!$K$8:$N$246,4)</f>
        <v>0.278212328083229</v>
      </c>
      <c r="G219" s="376" t="n">
        <f aca="false">(B219-$B$1)/365.25</f>
        <v>17.4948665297741</v>
      </c>
      <c r="H219" s="376" t="n">
        <f aca="false">SQRT(G219)</f>
        <v>4.18268652061975</v>
      </c>
      <c r="I219" s="376" t="n">
        <f aca="false">IF($I$2=0,0,-(D219^2)/2)</f>
        <v>0</v>
      </c>
      <c r="J219" s="409" t="n">
        <f aca="false">C219*EXP(I219*G219+D219*$I$2*H219)</f>
        <v>39.9249984741211</v>
      </c>
      <c r="L219" s="395"/>
      <c r="M219" s="395"/>
    </row>
    <row r="220" customFormat="false" ht="15.75" hidden="false" customHeight="false" outlineLevel="0" collapsed="false">
      <c r="B220" s="405" t="n">
        <f aca="false">'Revenues &amp; Expenses'!K220</f>
        <v>43009</v>
      </c>
      <c r="C220" s="406" t="n">
        <f aca="false">PJM_01212000!C249</f>
        <v>31.8250003814697</v>
      </c>
      <c r="D220" s="407" t="n">
        <f aca="false">PJM_01212000!X220</f>
        <v>0.0656856230597085</v>
      </c>
      <c r="E220" s="407" t="n">
        <f aca="false">VLOOKUP(B220,'Revenues &amp; Expenses'!$K$8:$N$258,2)</f>
        <v>0.073958064989417</v>
      </c>
      <c r="F220" s="408" t="n">
        <f aca="false">VLOOKUP(B220,'Revenues &amp; Expenses'!$K$8:$N$246,4)</f>
        <v>0.276581263098544</v>
      </c>
      <c r="G220" s="376" t="n">
        <f aca="false">(B220-$B$1)/365.25</f>
        <v>17.5770020533881</v>
      </c>
      <c r="H220" s="376" t="n">
        <f aca="false">SQRT(G220)</f>
        <v>4.19249353647541</v>
      </c>
      <c r="I220" s="376" t="n">
        <f aca="false">IF($I$2=0,0,-(D220^2)/2)</f>
        <v>0</v>
      </c>
      <c r="J220" s="409" t="n">
        <f aca="false">C220*EXP(I220*G220+D220*$I$2*H220)</f>
        <v>31.8250003814697</v>
      </c>
      <c r="L220" s="395"/>
      <c r="M220" s="395"/>
    </row>
    <row r="221" customFormat="false" ht="15.75" hidden="false" customHeight="false" outlineLevel="0" collapsed="false">
      <c r="B221" s="405" t="n">
        <f aca="false">'Revenues &amp; Expenses'!K221</f>
        <v>43040</v>
      </c>
      <c r="C221" s="406" t="n">
        <f aca="false">PJM_01212000!C250</f>
        <v>31.4974990844727</v>
      </c>
      <c r="D221" s="407" t="n">
        <f aca="false">PJM_01212000!X221</f>
        <v>0.0656856230597085</v>
      </c>
      <c r="E221" s="407" t="n">
        <f aca="false">VLOOKUP(B221,'Revenues &amp; Expenses'!$K$8:$N$258,2)</f>
        <v>0.073952891541303</v>
      </c>
      <c r="F221" s="408" t="n">
        <f aca="false">VLOOKUP(B221,'Revenues &amp; Expenses'!$K$8:$N$246,4)</f>
        <v>0.274906103552325</v>
      </c>
      <c r="G221" s="376" t="n">
        <f aca="false">(B221-$B$1)/365.25</f>
        <v>17.6618754277892</v>
      </c>
      <c r="H221" s="376" t="n">
        <f aca="false">SQRT(G221)</f>
        <v>4.20260341071926</v>
      </c>
      <c r="I221" s="376" t="n">
        <f aca="false">IF($I$2=0,0,-(D221^2)/2)</f>
        <v>0</v>
      </c>
      <c r="J221" s="409" t="n">
        <f aca="false">C221*EXP(I221*G221+D221*$I$2*H221)</f>
        <v>31.4974990844727</v>
      </c>
      <c r="L221" s="395"/>
      <c r="M221" s="395"/>
    </row>
    <row r="222" customFormat="false" ht="15.75" hidden="false" customHeight="false" outlineLevel="0" collapsed="false">
      <c r="B222" s="405" t="n">
        <f aca="false">'Revenues &amp; Expenses'!K222</f>
        <v>43070</v>
      </c>
      <c r="C222" s="406" t="n">
        <f aca="false">PJM_01212000!C251</f>
        <v>33.2499996185303</v>
      </c>
      <c r="D222" s="407" t="n">
        <f aca="false">PJM_01212000!X222</f>
        <v>0.0656856230597085</v>
      </c>
      <c r="E222" s="407" t="n">
        <f aca="false">VLOOKUP(B222,'Revenues &amp; Expenses'!$K$8:$N$258,2)</f>
        <v>0.07394788497862</v>
      </c>
      <c r="F222" s="408" t="n">
        <f aca="false">VLOOKUP(B222,'Revenues &amp; Expenses'!$K$8:$N$246,4)</f>
        <v>0.273294862689371</v>
      </c>
      <c r="G222" s="376" t="n">
        <f aca="false">(B222-$B$1)/365.25</f>
        <v>17.7440109514031</v>
      </c>
      <c r="H222" s="376" t="n">
        <f aca="false">SQRT(G222)</f>
        <v>4.21236405732021</v>
      </c>
      <c r="I222" s="376" t="n">
        <f aca="false">IF($I$2=0,0,-(D222^2)/2)</f>
        <v>0</v>
      </c>
      <c r="J222" s="409" t="n">
        <f aca="false">C222*EXP(I222*G222+D222*$I$2*H222)</f>
        <v>33.2499996185303</v>
      </c>
      <c r="L222" s="395"/>
      <c r="M222" s="395"/>
    </row>
    <row r="223" customFormat="false" ht="15.75" hidden="false" customHeight="false" outlineLevel="0" collapsed="false">
      <c r="B223" s="405" t="n">
        <f aca="false">'Revenues &amp; Expenses'!K223</f>
        <v>43101</v>
      </c>
      <c r="C223" s="406" t="n">
        <f aca="false">PJM_01212000!C252</f>
        <v>41.8249984741211</v>
      </c>
      <c r="D223" s="407" t="n">
        <f aca="false">PJM_01212000!X223</f>
        <v>0.100893117019712</v>
      </c>
      <c r="E223" s="407" t="n">
        <f aca="false">VLOOKUP(B223,'Revenues &amp; Expenses'!$K$8:$N$258,2)</f>
        <v>0.073942711530524</v>
      </c>
      <c r="F223" s="408" t="n">
        <f aca="false">VLOOKUP(B223,'Revenues &amp; Expenses'!$K$8:$N$246,4)</f>
        <v>0.271640060544694</v>
      </c>
      <c r="G223" s="376" t="n">
        <f aca="false">(B223-$B$1)/365.25</f>
        <v>17.8288843258042</v>
      </c>
      <c r="H223" s="376" t="n">
        <f aca="false">SQRT(G223)</f>
        <v>4.22242635528487</v>
      </c>
      <c r="I223" s="376" t="n">
        <f aca="false">IF($I$2=0,0,-(D223^2)/2)</f>
        <v>0</v>
      </c>
      <c r="J223" s="409" t="n">
        <f aca="false">C223*EXP(I223*G223+D223*$I$2*H223)</f>
        <v>41.8249984741211</v>
      </c>
      <c r="L223" s="395"/>
      <c r="M223" s="395"/>
    </row>
    <row r="224" customFormat="false" ht="15.75" hidden="false" customHeight="false" outlineLevel="0" collapsed="false">
      <c r="B224" s="405" t="n">
        <f aca="false">'Revenues &amp; Expenses'!K224</f>
        <v>43132</v>
      </c>
      <c r="C224" s="406" t="n">
        <f aca="false">PJM_01212000!C253</f>
        <v>41.8249984741211</v>
      </c>
      <c r="D224" s="407" t="n">
        <f aca="false">PJM_01212000!X224</f>
        <v>0.100893117019712</v>
      </c>
      <c r="E224" s="407" t="n">
        <f aca="false">VLOOKUP(B224,'Revenues &amp; Expenses'!$K$8:$N$258,2)</f>
        <v>0.073937538082437</v>
      </c>
      <c r="F224" s="408" t="n">
        <f aca="false">VLOOKUP(B224,'Revenues &amp; Expenses'!$K$8:$N$246,4)</f>
        <v>0.269995506947846</v>
      </c>
      <c r="G224" s="376" t="n">
        <f aca="false">(B224-$B$1)/365.25</f>
        <v>17.9137577002053</v>
      </c>
      <c r="H224" s="376" t="n">
        <f aca="false">SQRT(G224)</f>
        <v>4.23246473112362</v>
      </c>
      <c r="I224" s="376" t="n">
        <f aca="false">IF($I$2=0,0,-(D224^2)/2)</f>
        <v>0</v>
      </c>
      <c r="J224" s="409" t="n">
        <f aca="false">C224*EXP(I224*G224+D224*$I$2*H224)</f>
        <v>41.8249984741211</v>
      </c>
      <c r="L224" s="395"/>
      <c r="M224" s="395"/>
    </row>
    <row r="225" customFormat="false" ht="15.75" hidden="false" customHeight="false" outlineLevel="0" collapsed="false">
      <c r="B225" s="405" t="n">
        <f aca="false">'Revenues &amp; Expenses'!K225</f>
        <v>43160</v>
      </c>
      <c r="C225" s="406" t="n">
        <f aca="false">PJM_01212000!C254</f>
        <v>31.5500007629395</v>
      </c>
      <c r="D225" s="407" t="n">
        <f aca="false">PJM_01212000!X225</f>
        <v>0.0840775975164269</v>
      </c>
      <c r="E225" s="407" t="n">
        <f aca="false">VLOOKUP(B225,'Revenues &amp; Expenses'!$K$8:$N$258,2)</f>
        <v>0.073932865290623</v>
      </c>
      <c r="F225" s="408" t="n">
        <f aca="false">VLOOKUP(B225,'Revenues &amp; Expenses'!$K$8:$N$246,4)</f>
        <v>0.268518858616475</v>
      </c>
      <c r="G225" s="376" t="n">
        <f aca="false">(B225-$B$1)/365.25</f>
        <v>17.990417522245</v>
      </c>
      <c r="H225" s="376" t="n">
        <f aca="false">SQRT(G225)</f>
        <v>4.24151123094647</v>
      </c>
      <c r="I225" s="376" t="n">
        <f aca="false">IF($I$2=0,0,-(D225^2)/2)</f>
        <v>0</v>
      </c>
      <c r="J225" s="409" t="n">
        <f aca="false">C225*EXP(I225*G225+D225*$I$2*H225)</f>
        <v>31.5500007629395</v>
      </c>
      <c r="L225" s="395"/>
      <c r="M225" s="395"/>
    </row>
    <row r="226" customFormat="false" ht="15.75" hidden="false" customHeight="false" outlineLevel="0" collapsed="false">
      <c r="B226" s="405" t="n">
        <f aca="false">'Revenues &amp; Expenses'!K226</f>
        <v>43191</v>
      </c>
      <c r="C226" s="406" t="n">
        <f aca="false">PJM_01212000!C255</f>
        <v>31.3250007629395</v>
      </c>
      <c r="D226" s="407" t="n">
        <f aca="false">PJM_01212000!X226</f>
        <v>0.0798737176406056</v>
      </c>
      <c r="E226" s="407" t="n">
        <f aca="false">VLOOKUP(B226,'Revenues &amp; Expenses'!$K$8:$N$258,2)</f>
        <v>0.073927691842552</v>
      </c>
      <c r="F226" s="408" t="n">
        <f aca="false">VLOOKUP(B226,'Revenues &amp; Expenses'!$K$8:$N$246,4)</f>
        <v>0.266893631577935</v>
      </c>
      <c r="G226" s="376" t="n">
        <f aca="false">(B226-$B$1)/365.25</f>
        <v>18.0752908966461</v>
      </c>
      <c r="H226" s="376" t="n">
        <f aca="false">SQRT(G226)</f>
        <v>4.25150454505768</v>
      </c>
      <c r="I226" s="376" t="n">
        <f aca="false">IF($I$2=0,0,-(D226^2)/2)</f>
        <v>0</v>
      </c>
      <c r="J226" s="409" t="n">
        <f aca="false">C226*EXP(I226*G226+D226*$I$2*H226)</f>
        <v>31.3250007629395</v>
      </c>
      <c r="L226" s="395"/>
      <c r="M226" s="395"/>
    </row>
    <row r="227" customFormat="false" ht="15.75" hidden="false" customHeight="false" outlineLevel="0" collapsed="false">
      <c r="B227" s="405" t="n">
        <f aca="false">'Revenues &amp; Expenses'!K227</f>
        <v>43221</v>
      </c>
      <c r="C227" s="406" t="n">
        <f aca="false">PJM_01212000!C256</f>
        <v>39.325</v>
      </c>
      <c r="D227" s="407" t="n">
        <f aca="false">PJM_01212000!X227</f>
        <v>0.0882814773922483</v>
      </c>
      <c r="E227" s="407" t="n">
        <f aca="false">VLOOKUP(B227,'Revenues &amp; Expenses'!$K$8:$N$258,2)</f>
        <v>0.073922685279911</v>
      </c>
      <c r="F227" s="408" t="n">
        <f aca="false">VLOOKUP(B227,'Revenues &amp; Expenses'!$K$8:$N$246,4)</f>
        <v>0.265330411762718</v>
      </c>
      <c r="G227" s="376" t="n">
        <f aca="false">(B227-$B$1)/365.25</f>
        <v>18.1574264202601</v>
      </c>
      <c r="H227" s="376" t="n">
        <f aca="false">SQRT(G227)</f>
        <v>4.26115317962874</v>
      </c>
      <c r="I227" s="376" t="n">
        <f aca="false">IF($I$2=0,0,-(D227^2)/2)</f>
        <v>0</v>
      </c>
      <c r="J227" s="409" t="n">
        <f aca="false">C227*EXP(I227*G227+D227*$I$2*H227)</f>
        <v>39.325</v>
      </c>
      <c r="L227" s="395"/>
      <c r="M227" s="395"/>
    </row>
    <row r="228" customFormat="false" ht="15.75" hidden="false" customHeight="false" outlineLevel="0" collapsed="false">
      <c r="B228" s="405" t="n">
        <f aca="false">'Revenues &amp; Expenses'!K228</f>
        <v>43252</v>
      </c>
      <c r="C228" s="406" t="n">
        <f aca="false">PJM_01212000!C257</f>
        <v>68.3499984741211</v>
      </c>
      <c r="D228" s="407" t="n">
        <f aca="false">PJM_01212000!X228</f>
        <v>0.113504756647176</v>
      </c>
      <c r="E228" s="407" t="n">
        <f aca="false">VLOOKUP(B228,'Revenues &amp; Expenses'!$K$8:$N$258,2)</f>
        <v>0.073917511831858</v>
      </c>
      <c r="F228" s="408" t="n">
        <f aca="false">VLOOKUP(B228,'Revenues &amp; Expenses'!$K$8:$N$246,4)</f>
        <v>0.26372492259241</v>
      </c>
      <c r="G228" s="376" t="n">
        <f aca="false">(B228-$B$1)/365.25</f>
        <v>18.2422997946612</v>
      </c>
      <c r="H228" s="376" t="n">
        <f aca="false">SQRT(G228)</f>
        <v>4.27110053670728</v>
      </c>
      <c r="I228" s="376" t="n">
        <f aca="false">IF($I$2=0,0,-(D228^2)/2)</f>
        <v>0</v>
      </c>
      <c r="J228" s="409" t="n">
        <f aca="false">C228*EXP(I228*G228+D228*$I$2*H228)</f>
        <v>68.3499984741211</v>
      </c>
      <c r="L228" s="395"/>
      <c r="M228" s="395"/>
    </row>
    <row r="229" customFormat="false" ht="15.75" hidden="false" customHeight="false" outlineLevel="0" collapsed="false">
      <c r="B229" s="405" t="n">
        <f aca="false">'Revenues &amp; Expenses'!K229</f>
        <v>43282</v>
      </c>
      <c r="C229" s="406" t="n">
        <f aca="false">PJM_01212000!C258</f>
        <v>124.949996948242</v>
      </c>
      <c r="D229" s="407" t="n">
        <f aca="false">PJM_01212000!X229</f>
        <v>0.138728035902104</v>
      </c>
      <c r="E229" s="407" t="n">
        <f aca="false">VLOOKUP(B229,'Revenues &amp; Expenses'!$K$8:$N$258,2)</f>
        <v>0.073912505269235</v>
      </c>
      <c r="F229" s="408" t="n">
        <f aca="false">VLOOKUP(B229,'Revenues &amp; Expenses'!$K$8:$N$246,4)</f>
        <v>0.262180685114484</v>
      </c>
      <c r="G229" s="376" t="n">
        <f aca="false">(B229-$B$1)/365.25</f>
        <v>18.3244353182752</v>
      </c>
      <c r="H229" s="376" t="n">
        <f aca="false">SQRT(G229)</f>
        <v>4.28070500248209</v>
      </c>
      <c r="I229" s="376" t="n">
        <f aca="false">IF($I$2=0,0,-(D229^2)/2)</f>
        <v>0</v>
      </c>
      <c r="J229" s="409" t="n">
        <f aca="false">C229*EXP(I229*G229+D229*$I$2*H229)</f>
        <v>124.949996948242</v>
      </c>
      <c r="L229" s="395"/>
      <c r="M229" s="395"/>
    </row>
    <row r="230" customFormat="false" ht="15.75" hidden="false" customHeight="false" outlineLevel="0" collapsed="false">
      <c r="B230" s="405" t="n">
        <f aca="false">'Revenues &amp; Expenses'!K230</f>
        <v>43313</v>
      </c>
      <c r="C230" s="406" t="n">
        <f aca="false">PJM_01212000!C259</f>
        <v>111.949996948242</v>
      </c>
      <c r="D230" s="407" t="n">
        <f aca="false">PJM_01212000!X230</f>
        <v>0.138728035902104</v>
      </c>
      <c r="E230" s="407" t="n">
        <f aca="false">VLOOKUP(B230,'Revenues &amp; Expenses'!$K$8:$N$258,2)</f>
        <v>0.073907331821199</v>
      </c>
      <c r="F230" s="408" t="n">
        <f aca="false">VLOOKUP(B230,'Revenues &amp; Expenses'!$K$8:$N$246,4)</f>
        <v>0.260594689023033</v>
      </c>
      <c r="G230" s="376" t="n">
        <f aca="false">(B230-$B$1)/365.25</f>
        <v>18.4093086926762</v>
      </c>
      <c r="H230" s="376" t="n">
        <f aca="false">SQRT(G230)</f>
        <v>4.29060703079136</v>
      </c>
      <c r="I230" s="376" t="n">
        <f aca="false">IF($I$2=0,0,-(D230^2)/2)</f>
        <v>0</v>
      </c>
      <c r="J230" s="409" t="n">
        <f aca="false">C230*EXP(I230*G230+D230*$I$2*H230)</f>
        <v>111.949996948242</v>
      </c>
      <c r="L230" s="395"/>
      <c r="M230" s="395"/>
    </row>
    <row r="231" customFormat="false" ht="15.75" hidden="false" customHeight="false" outlineLevel="0" collapsed="false">
      <c r="B231" s="405" t="n">
        <f aca="false">'Revenues &amp; Expenses'!K231</f>
        <v>43344</v>
      </c>
      <c r="C231" s="411" t="n">
        <f aca="false">C219</f>
        <v>39.9249984741211</v>
      </c>
      <c r="D231" s="412" t="n">
        <f aca="false">D219</f>
        <v>0.0928887598824161</v>
      </c>
      <c r="E231" s="407" t="n">
        <f aca="false">VLOOKUP(B231,'Revenues &amp; Expenses'!$K$8:$N$258,2)</f>
        <v>0.073902158373172</v>
      </c>
      <c r="F231" s="408" t="n">
        <f aca="false">VLOOKUP(B231,'Revenues &amp; Expenses'!$K$8:$N$246,4)</f>
        <v>0.259018506433269</v>
      </c>
      <c r="G231" s="376" t="n">
        <f aca="false">(B231-$B$1)/365.25</f>
        <v>18.4941820670773</v>
      </c>
      <c r="H231" s="376" t="n">
        <f aca="false">SQRT(G231)</f>
        <v>4.30048625937548</v>
      </c>
      <c r="I231" s="376" t="n">
        <f aca="false">IF($I$2=0,0,-(D231^2)/2)</f>
        <v>0</v>
      </c>
      <c r="J231" s="409" t="n">
        <f aca="false">C231*EXP(I231*G231+D231*$I$2*H231)</f>
        <v>39.9249984741211</v>
      </c>
      <c r="L231" s="395"/>
      <c r="M231" s="395"/>
    </row>
    <row r="232" customFormat="false" ht="15.75" hidden="false" customHeight="false" outlineLevel="0" collapsed="false">
      <c r="B232" s="405" t="n">
        <f aca="false">'Revenues &amp; Expenses'!K232</f>
        <v>43374</v>
      </c>
      <c r="C232" s="413" t="n">
        <f aca="false">C220</f>
        <v>31.8250003814697</v>
      </c>
      <c r="D232" s="414" t="n">
        <f aca="false">D220</f>
        <v>0.0656856230597085</v>
      </c>
      <c r="E232" s="407" t="n">
        <f aca="false">VLOOKUP(B232,'Revenues &amp; Expenses'!$K$8:$N$258,2)</f>
        <v>0.073897151810573</v>
      </c>
      <c r="F232" s="408" t="n">
        <f aca="false">VLOOKUP(B232,'Revenues &amp; Expenses'!$K$8:$N$246,4)</f>
        <v>0.257502453786801</v>
      </c>
      <c r="G232" s="376" t="n">
        <f aca="false">(B232-$B$1)/365.25</f>
        <v>18.5763175906913</v>
      </c>
      <c r="H232" s="376" t="n">
        <f aca="false">SQRT(G232)</f>
        <v>4.31002524246568</v>
      </c>
      <c r="I232" s="376" t="n">
        <f aca="false">IF($I$2=0,0,-(D232^2)/2)</f>
        <v>0</v>
      </c>
      <c r="J232" s="409" t="n">
        <f aca="false">C232*EXP(I232*G232+D232*$I$2*H232)</f>
        <v>31.8250003814697</v>
      </c>
      <c r="L232" s="395"/>
      <c r="M232" s="395"/>
    </row>
    <row r="233" customFormat="false" ht="15.75" hidden="false" customHeight="false" outlineLevel="0" collapsed="false">
      <c r="B233" s="405" t="n">
        <f aca="false">'Revenues &amp; Expenses'!K233</f>
        <v>43405</v>
      </c>
      <c r="C233" s="413" t="n">
        <f aca="false">C221</f>
        <v>31.4974990844727</v>
      </c>
      <c r="D233" s="414" t="n">
        <f aca="false">D221</f>
        <v>0.0656856230597085</v>
      </c>
      <c r="E233" s="407" t="n">
        <f aca="false">VLOOKUP(B233,'Revenues &amp; Expenses'!$K$8:$N$258,2)</f>
        <v>0.073891978362564</v>
      </c>
      <c r="F233" s="408" t="n">
        <f aca="false">VLOOKUP(B233,'Revenues &amp; Expenses'!$K$8:$N$246,4)</f>
        <v>0.255945400928866</v>
      </c>
      <c r="G233" s="376" t="n">
        <f aca="false">(B233-$B$1)/365.25</f>
        <v>18.6611909650924</v>
      </c>
      <c r="H233" s="376" t="n">
        <f aca="false">SQRT(G233)</f>
        <v>4.31986006313774</v>
      </c>
      <c r="I233" s="376" t="n">
        <f aca="false">IF($I$2=0,0,-(D233^2)/2)</f>
        <v>0</v>
      </c>
      <c r="J233" s="409" t="n">
        <f aca="false">C233*EXP(I233*G233+D233*$I$2*H233)</f>
        <v>31.4974990844727</v>
      </c>
      <c r="L233" s="395"/>
      <c r="M233" s="395"/>
    </row>
    <row r="234" customFormat="false" ht="15.75" hidden="false" customHeight="false" outlineLevel="0" collapsed="false">
      <c r="B234" s="405" t="n">
        <f aca="false">'Revenues &amp; Expenses'!K234</f>
        <v>43435</v>
      </c>
      <c r="C234" s="413" t="n">
        <f aca="false">C222</f>
        <v>33.2499996185303</v>
      </c>
      <c r="D234" s="414" t="n">
        <f aca="false">D222</f>
        <v>0.0656856230597085</v>
      </c>
      <c r="E234" s="407" t="n">
        <f aca="false">VLOOKUP(B234,'Revenues &amp; Expenses'!$K$8:$N$258,2)</f>
        <v>0.073886971799982</v>
      </c>
      <c r="F234" s="408" t="n">
        <f aca="false">VLOOKUP(B234,'Revenues &amp; Expenses'!$K$8:$N$246,4)</f>
        <v>0.25444774583403</v>
      </c>
      <c r="G234" s="376" t="n">
        <f aca="false">(B234-$B$1)/365.25</f>
        <v>18.7433264887064</v>
      </c>
      <c r="H234" s="376" t="n">
        <f aca="false">SQRT(G234)</f>
        <v>4.32935635963435</v>
      </c>
      <c r="I234" s="376" t="n">
        <f aca="false">IF($I$2=0,0,-(D234^2)/2)</f>
        <v>0</v>
      </c>
      <c r="J234" s="409" t="n">
        <f aca="false">C234*EXP(I234*G234+D234*$I$2*H234)</f>
        <v>33.2499996185303</v>
      </c>
      <c r="L234" s="395"/>
      <c r="M234" s="395"/>
    </row>
    <row r="235" customFormat="false" ht="15.75" hidden="false" customHeight="false" outlineLevel="0" collapsed="false">
      <c r="B235" s="405" t="n">
        <f aca="false">'Revenues &amp; Expenses'!K235</f>
        <v>43466</v>
      </c>
      <c r="C235" s="413" t="n">
        <f aca="false">C223</f>
        <v>41.8249984741211</v>
      </c>
      <c r="D235" s="414" t="n">
        <f aca="false">D223</f>
        <v>0.100893117019712</v>
      </c>
      <c r="E235" s="407" t="n">
        <f aca="false">VLOOKUP(B235,'Revenues &amp; Expenses'!$K$8:$N$258,2)</f>
        <v>0.073881798352</v>
      </c>
      <c r="F235" s="408" t="n">
        <f aca="false">VLOOKUP(B235,'Revenues &amp; Expenses'!$K$8:$N$246,4)</f>
        <v>0.252909585609196</v>
      </c>
      <c r="G235" s="376" t="n">
        <f aca="false">(B235-$B$1)/365.25</f>
        <v>18.8281998631075</v>
      </c>
      <c r="H235" s="376" t="n">
        <f aca="false">SQRT(G235)</f>
        <v>4.33914736591274</v>
      </c>
      <c r="I235" s="376" t="n">
        <f aca="false">IF($I$2=0,0,-(D235^2)/2)</f>
        <v>0</v>
      </c>
      <c r="J235" s="409" t="n">
        <f aca="false">C235*EXP(I235*G235+D235*$I$2*H235)</f>
        <v>41.8249984741211</v>
      </c>
      <c r="L235" s="395"/>
      <c r="M235" s="395"/>
    </row>
    <row r="236" customFormat="false" ht="15.75" hidden="false" customHeight="false" outlineLevel="0" collapsed="false">
      <c r="B236" s="405" t="n">
        <f aca="false">'Revenues &amp; Expenses'!K236</f>
        <v>43497</v>
      </c>
      <c r="C236" s="413" t="n">
        <f aca="false">C224</f>
        <v>41.8249984741211</v>
      </c>
      <c r="D236" s="414" t="n">
        <f aca="false">D224</f>
        <v>0.100893117019712</v>
      </c>
      <c r="E236" s="407" t="n">
        <f aca="false">VLOOKUP(B236,'Revenues &amp; Expenses'!$K$8:$N$258,2)</f>
        <v>0.073876624904006</v>
      </c>
      <c r="F236" s="408" t="n">
        <f aca="false">VLOOKUP(B236,'Revenues &amp; Expenses'!$K$8:$N$246,4)</f>
        <v>0.25138093665711</v>
      </c>
      <c r="G236" s="376" t="n">
        <f aca="false">(B236-$B$1)/365.25</f>
        <v>18.9130732375086</v>
      </c>
      <c r="H236" s="376" t="n">
        <f aca="false">SQRT(G236)</f>
        <v>4.34891632909953</v>
      </c>
      <c r="I236" s="376" t="n">
        <f aca="false">IF($I$2=0,0,-(D236^2)/2)</f>
        <v>0</v>
      </c>
      <c r="J236" s="409" t="n">
        <f aca="false">C236*EXP(I236*G236+D236*$I$2*H236)</f>
        <v>41.8249984741211</v>
      </c>
      <c r="L236" s="395"/>
      <c r="M236" s="395"/>
    </row>
    <row r="237" customFormat="false" ht="15.75" hidden="false" customHeight="false" outlineLevel="0" collapsed="false">
      <c r="B237" s="405" t="n">
        <f aca="false">'Revenues &amp; Expenses'!K237</f>
        <v>43525</v>
      </c>
      <c r="C237" s="413" t="n">
        <f aca="false">C225</f>
        <v>31.5500007629395</v>
      </c>
      <c r="D237" s="414" t="n">
        <f aca="false">D225</f>
        <v>0.0840775975164269</v>
      </c>
      <c r="E237" s="407" t="n">
        <f aca="false">VLOOKUP(B237,'Revenues &amp; Expenses'!$K$8:$N$258,2)</f>
        <v>0.073871952112287</v>
      </c>
      <c r="F237" s="408" t="n">
        <f aca="false">VLOOKUP(B237,'Revenues &amp; Expenses'!$K$8:$N$246,4)</f>
        <v>0.25000834664271</v>
      </c>
      <c r="G237" s="376" t="n">
        <f aca="false">(B237-$B$1)/365.25</f>
        <v>18.9897330595483</v>
      </c>
      <c r="H237" s="376" t="n">
        <f aca="false">SQRT(G237)</f>
        <v>4.35772108556161</v>
      </c>
      <c r="I237" s="376" t="n">
        <f aca="false">IF($I$2=0,0,-(D237^2)/2)</f>
        <v>0</v>
      </c>
      <c r="J237" s="409" t="n">
        <f aca="false">C237*EXP(I237*G237+D237*$I$2*H237)</f>
        <v>31.5500007629395</v>
      </c>
      <c r="L237" s="395"/>
      <c r="M237" s="395"/>
    </row>
    <row r="238" customFormat="false" ht="15.75" hidden="false" customHeight="false" outlineLevel="0" collapsed="false">
      <c r="B238" s="405" t="n">
        <f aca="false">'Revenues &amp; Expenses'!K238</f>
        <v>43556</v>
      </c>
      <c r="C238" s="413" t="n">
        <f aca="false">C226</f>
        <v>31.3250007629395</v>
      </c>
      <c r="D238" s="414" t="n">
        <f aca="false">D226</f>
        <v>0.0798737176406056</v>
      </c>
      <c r="E238" s="407" t="n">
        <f aca="false">VLOOKUP(B238,'Revenues &amp; Expenses'!$K$8:$N$258,2)</f>
        <v>0.07386677866432</v>
      </c>
      <c r="F238" s="408" t="n">
        <f aca="false">VLOOKUP(B238,'Revenues &amp; Expenses'!$K$8:$N$246,4)</f>
        <v>0.248497634154361</v>
      </c>
      <c r="G238" s="376" t="n">
        <f aca="false">(B238-$B$1)/365.25</f>
        <v>19.0746064339494</v>
      </c>
      <c r="H238" s="376" t="n">
        <f aca="false">SQRT(G238)</f>
        <v>4.3674485038692</v>
      </c>
      <c r="I238" s="376" t="n">
        <f aca="false">IF($I$2=0,0,-(D238^2)/2)</f>
        <v>0</v>
      </c>
      <c r="J238" s="409" t="n">
        <f aca="false">C238*EXP(I238*G238+D238*$I$2*H238)</f>
        <v>31.3250007629395</v>
      </c>
      <c r="L238" s="395"/>
      <c r="M238" s="395"/>
    </row>
    <row r="239" customFormat="false" ht="15.75" hidden="false" customHeight="false" outlineLevel="0" collapsed="false">
      <c r="B239" s="405" t="n">
        <f aca="false">'Revenues &amp; Expenses'!K239</f>
        <v>43586</v>
      </c>
      <c r="C239" s="413" t="n">
        <f aca="false">C227</f>
        <v>39.325</v>
      </c>
      <c r="D239" s="414" t="n">
        <f aca="false">D227</f>
        <v>0.0882814773922483</v>
      </c>
      <c r="E239" s="407" t="n">
        <f aca="false">VLOOKUP(B239,'Revenues &amp; Expenses'!$K$8:$N$258,2)</f>
        <v>0.07386177210178</v>
      </c>
      <c r="F239" s="408" t="n">
        <f aca="false">VLOOKUP(B239,'Revenues &amp; Expenses'!$K$8:$N$246,4)</f>
        <v>0.247044545897405</v>
      </c>
      <c r="G239" s="376" t="n">
        <f aca="false">(B239-$B$1)/365.25</f>
        <v>19.1567419575633</v>
      </c>
      <c r="H239" s="376" t="n">
        <f aca="false">SQRT(G239)</f>
        <v>4.37684155042918</v>
      </c>
      <c r="I239" s="376" t="n">
        <f aca="false">IF($I$2=0,0,-(D239^2)/2)</f>
        <v>0</v>
      </c>
      <c r="J239" s="409" t="n">
        <f aca="false">C239*EXP(I239*G239+D239*$I$2*H239)</f>
        <v>39.325</v>
      </c>
      <c r="L239" s="395"/>
      <c r="M239" s="395"/>
    </row>
    <row r="240" customFormat="false" ht="15.75" hidden="false" customHeight="false" outlineLevel="0" collapsed="false">
      <c r="B240" s="405" t="n">
        <f aca="false">'Revenues &amp; Expenses'!K240</f>
        <v>43617</v>
      </c>
      <c r="C240" s="413" t="n">
        <f aca="false">C228</f>
        <v>68.3499984741211</v>
      </c>
      <c r="D240" s="414" t="n">
        <f aca="false">D228</f>
        <v>0.113504756647176</v>
      </c>
      <c r="E240" s="407" t="n">
        <f aca="false">VLOOKUP(B240,'Revenues &amp; Expenses'!$K$8:$N$258,2)</f>
        <v>0.073856598653831</v>
      </c>
      <c r="F240" s="408" t="n">
        <f aca="false">VLOOKUP(B240,'Revenues &amp; Expenses'!$K$8:$N$246,4)</f>
        <v>0.245552151936625</v>
      </c>
      <c r="G240" s="376" t="n">
        <f aca="false">(B240-$B$1)/365.25</f>
        <v>19.2416153319644</v>
      </c>
      <c r="H240" s="376" t="n">
        <f aca="false">SQRT(G240)</f>
        <v>4.38652656802218</v>
      </c>
      <c r="I240" s="376" t="n">
        <f aca="false">IF($I$2=0,0,-(D240^2)/2)</f>
        <v>0</v>
      </c>
      <c r="J240" s="409" t="n">
        <f aca="false">C240*EXP(I240*G240+D240*$I$2*H240)</f>
        <v>68.3499984741211</v>
      </c>
      <c r="L240" s="395"/>
      <c r="M240" s="395"/>
    </row>
    <row r="241" customFormat="false" ht="15.75" hidden="false" customHeight="false" outlineLevel="0" collapsed="false">
      <c r="B241" s="405" t="n">
        <f aca="false">'Revenues &amp; Expenses'!K241</f>
        <v>43647</v>
      </c>
      <c r="C241" s="413" t="n">
        <f aca="false">C229</f>
        <v>124.949996948242</v>
      </c>
      <c r="D241" s="414" t="n">
        <f aca="false">D229</f>
        <v>0.138728035902104</v>
      </c>
      <c r="E241" s="407" t="n">
        <f aca="false">VLOOKUP(B241,'Revenues &amp; Expenses'!$K$8:$N$258,2)</f>
        <v>0.073851592091307</v>
      </c>
      <c r="F241" s="408" t="n">
        <f aca="false">VLOOKUP(B241,'Revenues &amp; Expenses'!$K$8:$N$246,4)</f>
        <v>0.244116681171432</v>
      </c>
      <c r="G241" s="376" t="n">
        <f aca="false">(B241-$B$1)/365.25</f>
        <v>19.3237508555784</v>
      </c>
      <c r="H241" s="376" t="n">
        <f aca="false">SQRT(G241)</f>
        <v>4.39587884905605</v>
      </c>
      <c r="I241" s="376" t="n">
        <f aca="false">IF($I$2=0,0,-(D241^2)/2)</f>
        <v>0</v>
      </c>
      <c r="J241" s="409" t="n">
        <f aca="false">C241*EXP(I241*G241+D241*$I$2*H241)</f>
        <v>124.949996948242</v>
      </c>
      <c r="L241" s="395"/>
      <c r="M241" s="395"/>
    </row>
    <row r="242" customFormat="false" ht="15.75" hidden="false" customHeight="false" outlineLevel="0" collapsed="false">
      <c r="B242" s="405" t="n">
        <f aca="false">'Revenues &amp; Expenses'!K242</f>
        <v>43678</v>
      </c>
      <c r="C242" s="413" t="n">
        <f aca="false">C230</f>
        <v>111.949996948242</v>
      </c>
      <c r="D242" s="414" t="n">
        <f aca="false">D230</f>
        <v>0.138728035902104</v>
      </c>
      <c r="E242" s="407" t="n">
        <f aca="false">VLOOKUP(B242,'Revenues &amp; Expenses'!$K$8:$N$258,2)</f>
        <v>0.073846418643376</v>
      </c>
      <c r="F242" s="408" t="n">
        <f aca="false">VLOOKUP(B242,'Revenues &amp; Expenses'!$K$8:$N$246,4)</f>
        <v>0.24264237889093</v>
      </c>
      <c r="G242" s="376" t="n">
        <f aca="false">(B242-$B$1)/365.25</f>
        <v>19.4086242299795</v>
      </c>
      <c r="H242" s="376" t="n">
        <f aca="false">SQRT(G242)</f>
        <v>4.4055220156049</v>
      </c>
      <c r="I242" s="376" t="n">
        <f aca="false">IF($I$2=0,0,-(D242^2)/2)</f>
        <v>0</v>
      </c>
      <c r="J242" s="409" t="n">
        <f aca="false">C242*EXP(I242*G242+D242*$I$2*H242)</f>
        <v>111.949996948242</v>
      </c>
      <c r="L242" s="395"/>
      <c r="M242" s="395"/>
    </row>
    <row r="243" customFormat="false" ht="15.75" hidden="false" customHeight="false" outlineLevel="0" collapsed="false">
      <c r="B243" s="405" t="n">
        <f aca="false">'Revenues &amp; Expenses'!K243</f>
        <v>43709</v>
      </c>
      <c r="C243" s="413" t="n">
        <f aca="false">C231</f>
        <v>39.9249984741211</v>
      </c>
      <c r="D243" s="414" t="n">
        <f aca="false">D231</f>
        <v>0.0928887598824161</v>
      </c>
      <c r="E243" s="407" t="n">
        <f aca="false">VLOOKUP(B243,'Revenues &amp; Expenses'!$K$8:$N$258,2)</f>
        <v>0.073841245195453</v>
      </c>
      <c r="F243" s="408" t="n">
        <f aca="false">VLOOKUP(B243,'Revenues &amp; Expenses'!$K$8:$N$246,4)</f>
        <v>0.24117718472775</v>
      </c>
      <c r="G243" s="376" t="n">
        <f aca="false">(B243-$B$1)/365.25</f>
        <v>19.4934976043806</v>
      </c>
      <c r="H243" s="376" t="n">
        <f aca="false">SQRT(G243)</f>
        <v>4.41514412045412</v>
      </c>
      <c r="I243" s="376" t="n">
        <f aca="false">IF($I$2=0,0,-(D243^2)/2)</f>
        <v>0</v>
      </c>
      <c r="J243" s="409" t="n">
        <f aca="false">C243*EXP(I243*G243+D243*$I$2*H243)</f>
        <v>39.9249984741211</v>
      </c>
      <c r="L243" s="395"/>
      <c r="M243" s="395"/>
    </row>
    <row r="244" customFormat="false" ht="15.75" hidden="false" customHeight="false" outlineLevel="0" collapsed="false">
      <c r="B244" s="405" t="n">
        <f aca="false">'Revenues &amp; Expenses'!K244</f>
        <v>43739</v>
      </c>
      <c r="C244" s="413" t="n">
        <f aca="false">C232</f>
        <v>31.8250003814697</v>
      </c>
      <c r="D244" s="414" t="n">
        <f aca="false">D232</f>
        <v>0.0656856230597085</v>
      </c>
      <c r="E244" s="407" t="n">
        <f aca="false">VLOOKUP(B244,'Revenues &amp; Expenses'!$K$8:$N$258,2)</f>
        <v>0.073836238632955</v>
      </c>
      <c r="F244" s="408" t="n">
        <f aca="false">VLOOKUP(B244,'Revenues &amp; Expenses'!$K$8:$N$246,4)</f>
        <v>0.239767872896411</v>
      </c>
      <c r="G244" s="376" t="n">
        <f aca="false">(B244-$B$1)/365.25</f>
        <v>19.5756331279945</v>
      </c>
      <c r="H244" s="376" t="n">
        <f aca="false">SQRT(G244)</f>
        <v>4.42443591071162</v>
      </c>
      <c r="I244" s="376" t="n">
        <f aca="false">IF($I$2=0,0,-(D244^2)/2)</f>
        <v>0</v>
      </c>
      <c r="J244" s="409" t="n">
        <f aca="false">C244*EXP(I244*G244+D244*$I$2*H244)</f>
        <v>31.8250003814697</v>
      </c>
      <c r="L244" s="395"/>
      <c r="M244" s="395"/>
    </row>
    <row r="245" customFormat="false" ht="15.75" hidden="false" customHeight="false" outlineLevel="0" collapsed="false">
      <c r="B245" s="405" t="n">
        <f aca="false">'Revenues &amp; Expenses'!K245</f>
        <v>43770</v>
      </c>
      <c r="C245" s="413" t="n">
        <f aca="false">C233</f>
        <v>31.4974990844727</v>
      </c>
      <c r="D245" s="414" t="n">
        <f aca="false">D233</f>
        <v>0.0656856230597085</v>
      </c>
      <c r="E245" s="407" t="n">
        <f aca="false">VLOOKUP(B245,'Revenues &amp; Expenses'!$K$8:$N$258,2)</f>
        <v>0.073831065185049</v>
      </c>
      <c r="F245" s="408" t="n">
        <f aca="false">VLOOKUP(B245,'Revenues &amp; Expenses'!$K$8:$N$246,4)</f>
        <v>0.238320433690611</v>
      </c>
      <c r="G245" s="376" t="n">
        <f aca="false">(B245-$B$1)/365.25</f>
        <v>19.6605065023956</v>
      </c>
      <c r="H245" s="376" t="n">
        <f aca="false">SQRT(G245)</f>
        <v>4.43401697136982</v>
      </c>
      <c r="I245" s="376" t="n">
        <f aca="false">IF($I$2=0,0,-(D245^2)/2)</f>
        <v>0</v>
      </c>
      <c r="J245" s="409" t="n">
        <f aca="false">C245*EXP(I245*G245+D245*$I$2*H245)</f>
        <v>31.4974990844727</v>
      </c>
      <c r="L245" s="395"/>
      <c r="M245" s="395"/>
    </row>
    <row r="246" customFormat="false" ht="15.75" hidden="false" customHeight="false" outlineLevel="0" collapsed="false">
      <c r="B246" s="405" t="n">
        <f aca="false">'Revenues &amp; Expenses'!K246</f>
        <v>43800</v>
      </c>
      <c r="C246" s="413" t="n">
        <f aca="false">C234</f>
        <v>33.2499996185303</v>
      </c>
      <c r="D246" s="414" t="n">
        <f aca="false">D234</f>
        <v>0.0656856230597085</v>
      </c>
      <c r="E246" s="407" t="n">
        <f aca="false">VLOOKUP(B246,'Revenues &amp; Expenses'!$K$8:$N$258,2)</f>
        <v>0.073826058622568</v>
      </c>
      <c r="F246" s="408" t="n">
        <f aca="false">VLOOKUP(B246,'Revenues &amp; Expenses'!$K$8:$N$258,4)</f>
        <v>0.236928197415367</v>
      </c>
      <c r="G246" s="376" t="n">
        <f aca="false">(B246-$B$1)/365.25</f>
        <v>19.7426420260096</v>
      </c>
      <c r="H246" s="376" t="n">
        <f aca="false">SQRT(G246)</f>
        <v>4.44326929478842</v>
      </c>
      <c r="I246" s="376" t="n">
        <f aca="false">IF($I$2=0,0,-(D246^2)/2)</f>
        <v>0</v>
      </c>
      <c r="J246" s="409" t="n">
        <f aca="false">C246*EXP(I246*G246+D246*$I$2*H246)</f>
        <v>33.2499996185303</v>
      </c>
      <c r="L246" s="395"/>
      <c r="M246" s="395"/>
    </row>
    <row r="247" customFormat="false" ht="15.75" hidden="false" customHeight="false" outlineLevel="0" collapsed="false">
      <c r="B247" s="405" t="n">
        <f aca="false">'Revenues &amp; Expenses'!K247</f>
        <v>43831</v>
      </c>
      <c r="C247" s="413" t="n">
        <f aca="false">C235</f>
        <v>41.8249984741211</v>
      </c>
      <c r="D247" s="414" t="n">
        <f aca="false">D235</f>
        <v>0.100893117019712</v>
      </c>
      <c r="E247" s="407" t="n">
        <f aca="false">VLOOKUP(B247,'Revenues &amp; Expenses'!$K$8:$N$258,2)</f>
        <v>0.07382088517468</v>
      </c>
      <c r="F247" s="408" t="n">
        <f aca="false">VLOOKUP(B247,'Revenues &amp; Expenses'!$K$8:$N$258,4)</f>
        <v>0.235498293436497</v>
      </c>
      <c r="G247" s="376" t="n">
        <f aca="false">(B247-$B$1)/365.25</f>
        <v>19.8275154004107</v>
      </c>
      <c r="H247" s="376" t="n">
        <f aca="false">SQRT(G247)</f>
        <v>4.45280983205107</v>
      </c>
      <c r="I247" s="376" t="n">
        <f aca="false">IF($I$2=0,0,-(D247^2)/2)</f>
        <v>0</v>
      </c>
      <c r="J247" s="409" t="n">
        <f aca="false">C247*EXP(I247*G247+D247*$I$2*H247)</f>
        <v>41.8249984741211</v>
      </c>
    </row>
    <row r="248" customFormat="false" ht="15.75" hidden="false" customHeight="false" outlineLevel="0" collapsed="false">
      <c r="B248" s="405" t="n">
        <f aca="false">'Revenues &amp; Expenses'!K248</f>
        <v>43862</v>
      </c>
      <c r="C248" s="413" t="n">
        <f aca="false">C236</f>
        <v>41.8249984741211</v>
      </c>
      <c r="D248" s="414" t="n">
        <f aca="false">D236</f>
        <v>0.100893117019712</v>
      </c>
      <c r="E248" s="407" t="n">
        <f aca="false">VLOOKUP(B248,'Revenues &amp; Expenses'!$K$8:$N$258,2)</f>
        <v>0.0738157117268</v>
      </c>
      <c r="F248" s="408" t="n">
        <f aca="false">VLOOKUP(B248,'Revenues &amp; Expenses'!$K$8:$N$258,4)</f>
        <v>0.234077217485193</v>
      </c>
      <c r="G248" s="376" t="n">
        <f aca="false">(B248-$B$1)/365.25</f>
        <v>19.9123887748118</v>
      </c>
      <c r="H248" s="376" t="n">
        <f aca="false">SQRT(G248)</f>
        <v>4.46232997152965</v>
      </c>
      <c r="I248" s="376" t="n">
        <f aca="false">IF($I$2=0,0,-(D248^2)/2)</f>
        <v>0</v>
      </c>
      <c r="J248" s="409" t="n">
        <f aca="false">C248*EXP(I248*G248+D248*$I$2*H248)</f>
        <v>41.8249984741211</v>
      </c>
    </row>
    <row r="249" customFormat="false" ht="15.75" hidden="false" customHeight="false" outlineLevel="0" collapsed="false">
      <c r="B249" s="405" t="n">
        <f aca="false">'Revenues &amp; Expenses'!K249</f>
        <v>43891</v>
      </c>
      <c r="C249" s="413" t="n">
        <f aca="false">C237</f>
        <v>31.5500007629395</v>
      </c>
      <c r="D249" s="414" t="n">
        <f aca="false">D237</f>
        <v>0.0840775975164269</v>
      </c>
      <c r="E249" s="407" t="n">
        <f aca="false">VLOOKUP(B249,'Revenues &amp; Expenses'!$K$8:$N$258,2)</f>
        <v>0.07381087204976</v>
      </c>
      <c r="F249" s="408" t="n">
        <f aca="false">VLOOKUP(B249,'Revenues &amp; Expenses'!$K$8:$N$258,4)</f>
        <v>0.232755766607559</v>
      </c>
      <c r="G249" s="376" t="n">
        <f aca="false">(B249-$B$1)/365.25</f>
        <v>19.9917864476386</v>
      </c>
      <c r="H249" s="376" t="n">
        <f aca="false">SQRT(G249)</f>
        <v>4.47121755762774</v>
      </c>
      <c r="I249" s="376" t="n">
        <f aca="false">IF($I$2=0,0,-(D249^2)/2)</f>
        <v>0</v>
      </c>
      <c r="J249" s="409" t="n">
        <f aca="false">C249*EXP(I249*G249+D249*$I$2*H249)</f>
        <v>31.5500007629395</v>
      </c>
    </row>
    <row r="250" customFormat="false" ht="15.75" hidden="false" customHeight="false" outlineLevel="0" collapsed="false">
      <c r="B250" s="405" t="n">
        <f aca="false">'Revenues &amp; Expenses'!K250</f>
        <v>43922</v>
      </c>
      <c r="C250" s="413" t="n">
        <f aca="false">C238</f>
        <v>31.3250007629395</v>
      </c>
      <c r="D250" s="414" t="n">
        <f aca="false">D238</f>
        <v>0.0798737176406056</v>
      </c>
      <c r="E250" s="407" t="n">
        <f aca="false">VLOOKUP(B250,'Revenues &amp; Expenses'!$K$8:$N$258,2)</f>
        <v>0.073799890656808</v>
      </c>
      <c r="F250" s="408" t="n">
        <f aca="false">VLOOKUP(B250,'Revenues &amp; Expenses'!$K$8:$N$258,4)</f>
        <v>0.231377793425829</v>
      </c>
      <c r="G250" s="376" t="n">
        <f aca="false">(B250-$B$1)/365.25</f>
        <v>20.0766598220397</v>
      </c>
      <c r="H250" s="376" t="n">
        <f aca="false">SQRT(G250)</f>
        <v>4.4806985863858</v>
      </c>
      <c r="I250" s="376" t="n">
        <f aca="false">IF($I$2=0,0,-(D250^2)/2)</f>
        <v>0</v>
      </c>
      <c r="J250" s="409" t="n">
        <f aca="false">C250*EXP(I250*G250+D250*$I$2*H250)</f>
        <v>31.3250007629395</v>
      </c>
    </row>
    <row r="251" customFormat="false" ht="15.75" hidden="false" customHeight="false" outlineLevel="0" collapsed="false">
      <c r="B251" s="405" t="n">
        <f aca="false">'Revenues &amp; Expenses'!K251</f>
        <v>43952</v>
      </c>
      <c r="C251" s="413" t="n">
        <f aca="false">C239</f>
        <v>39.325</v>
      </c>
      <c r="D251" s="414" t="n">
        <f aca="false">D239</f>
        <v>0.0882814773922483</v>
      </c>
      <c r="E251" s="407" t="n">
        <f aca="false">VLOOKUP(B251,'Revenues &amp; Expenses'!$K$8:$N$258,2)</f>
        <v>0.073788182619301</v>
      </c>
      <c r="F251" s="408" t="n">
        <f aca="false">VLOOKUP(B251,'Revenues &amp; Expenses'!$K$8:$N$258,4)</f>
        <v>0.23005729622688</v>
      </c>
      <c r="G251" s="376" t="n">
        <f aca="false">(B251-$B$1)/365.25</f>
        <v>20.1587953456537</v>
      </c>
      <c r="H251" s="376" t="n">
        <f aca="false">SQRT(G251)</f>
        <v>4.48985471320105</v>
      </c>
      <c r="I251" s="376" t="n">
        <f aca="false">IF($I$2=0,0,-(D251^2)/2)</f>
        <v>0</v>
      </c>
      <c r="J251" s="409" t="n">
        <f aca="false">C251*EXP(I251*G251+D251*$I$2*H251)</f>
        <v>39.325</v>
      </c>
    </row>
    <row r="252" customFormat="false" ht="15.75" hidden="false" customHeight="false" outlineLevel="0" collapsed="false">
      <c r="B252" s="405" t="n">
        <f aca="false">'Revenues &amp; Expenses'!K252</f>
        <v>43983</v>
      </c>
      <c r="C252" s="413" t="n">
        <f aca="false">C240</f>
        <v>68.3499984741211</v>
      </c>
      <c r="D252" s="414" t="n">
        <f aca="false">D240</f>
        <v>0.113504756647176</v>
      </c>
      <c r="E252" s="407" t="n">
        <f aca="false">VLOOKUP(B252,'Revenues &amp; Expenses'!$K$8:$N$258,2)</f>
        <v>0.073776084313925</v>
      </c>
      <c r="F252" s="408" t="n">
        <f aca="false">VLOOKUP(B252,'Revenues &amp; Expenses'!$K$8:$N$258,4)</f>
        <v>0.228701145128967</v>
      </c>
      <c r="G252" s="376" t="n">
        <f aca="false">(B252-$B$1)/365.25</f>
        <v>20.2436687200548</v>
      </c>
      <c r="H252" s="376" t="n">
        <f aca="false">SQRT(G252)</f>
        <v>4.4992964694555</v>
      </c>
      <c r="I252" s="376" t="n">
        <f aca="false">IF($I$2=0,0,-(D252^2)/2)</f>
        <v>0</v>
      </c>
      <c r="J252" s="409" t="n">
        <f aca="false">C252*EXP(I252*G252+D252*$I$2*H252)</f>
        <v>68.3499984741211</v>
      </c>
    </row>
    <row r="253" customFormat="false" ht="15.75" hidden="false" customHeight="false" outlineLevel="0" collapsed="false">
      <c r="B253" s="405" t="n">
        <f aca="false">'Revenues &amp; Expenses'!K253</f>
        <v>44013</v>
      </c>
      <c r="C253" s="413" t="n">
        <f aca="false">C241</f>
        <v>124.949996948242</v>
      </c>
      <c r="D253" s="414" t="n">
        <f aca="false">D241</f>
        <v>0.138728035902104</v>
      </c>
      <c r="E253" s="407" t="n">
        <f aca="false">VLOOKUP(B253,'Revenues &amp; Expenses'!$K$8:$N$258,2)</f>
        <v>0.07376437627651</v>
      </c>
      <c r="F253" s="408" t="n">
        <f aca="false">VLOOKUP(B253,'Revenues &amp; Expenses'!$K$8:$N$258,4)</f>
        <v>0.227396782077709</v>
      </c>
      <c r="G253" s="376" t="n">
        <f aca="false">(B253-$B$1)/365.25</f>
        <v>20.3258042436687</v>
      </c>
      <c r="H253" s="376" t="n">
        <f aca="false">SQRT(G253)</f>
        <v>4.50841482604127</v>
      </c>
      <c r="I253" s="376" t="n">
        <f aca="false">IF($I$2=0,0,-(D253^2)/2)</f>
        <v>0</v>
      </c>
      <c r="J253" s="409" t="n">
        <f aca="false">C253*EXP(I253*G253+D253*$I$2*H253)</f>
        <v>124.949996948242</v>
      </c>
    </row>
    <row r="254" customFormat="false" ht="15.75" hidden="false" customHeight="false" outlineLevel="0" collapsed="false">
      <c r="B254" s="405" t="n">
        <f aca="false">'Revenues &amp; Expenses'!K254</f>
        <v>44044</v>
      </c>
      <c r="C254" s="413" t="n">
        <f aca="false">C242</f>
        <v>111.949996948242</v>
      </c>
      <c r="D254" s="414" t="n">
        <f aca="false">D242</f>
        <v>0.138728035902104</v>
      </c>
      <c r="E254" s="407" t="n">
        <f aca="false">VLOOKUP(B254,'Revenues &amp; Expenses'!$K$8:$N$258,2)</f>
        <v>0.073752277971228</v>
      </c>
      <c r="F254" s="408" t="n">
        <f aca="false">VLOOKUP(B254,'Revenues &amp; Expenses'!$K$8:$N$258,4)</f>
        <v>0.226057195914463</v>
      </c>
      <c r="G254" s="376" t="n">
        <f aca="false">(B254-$B$1)/365.25</f>
        <v>20.4106776180698</v>
      </c>
      <c r="H254" s="376" t="n">
        <f aca="false">SQRT(G254)</f>
        <v>4.51781779381039</v>
      </c>
      <c r="I254" s="376" t="n">
        <f aca="false">IF($I$2=0,0,-(D254^2)/2)</f>
        <v>0</v>
      </c>
      <c r="J254" s="409" t="n">
        <f aca="false">C254*EXP(I254*G254+D254*$I$2*H254)</f>
        <v>111.949996948242</v>
      </c>
    </row>
    <row r="255" customFormat="false" ht="15.75" hidden="false" customHeight="false" outlineLevel="0" collapsed="false">
      <c r="B255" s="405" t="n">
        <f aca="false">'Revenues &amp; Expenses'!K255</f>
        <v>44075</v>
      </c>
      <c r="C255" s="413" t="n">
        <f aca="false">C243</f>
        <v>39.9249984741211</v>
      </c>
      <c r="D255" s="414" t="n">
        <f aca="false">D243</f>
        <v>0.0928887598824161</v>
      </c>
      <c r="E255" s="407" t="n">
        <f aca="false">VLOOKUP(B255,'Revenues &amp; Expenses'!$K$8:$N$258,2)</f>
        <v>0.073740179666</v>
      </c>
      <c r="F255" s="408" t="n">
        <f aca="false">VLOOKUP(B255,'Revenues &amp; Expenses'!$K$8:$N$258,4)</f>
        <v>0.224725946612535</v>
      </c>
      <c r="G255" s="376" t="n">
        <f aca="false">(B255-$B$1)/365.25</f>
        <v>20.4955509924709</v>
      </c>
      <c r="H255" s="376" t="n">
        <f aca="false">SQRT(G255)</f>
        <v>4.52720123171821</v>
      </c>
      <c r="I255" s="376" t="n">
        <f aca="false">IF($I$2=0,0,-(D255^2)/2)</f>
        <v>0</v>
      </c>
      <c r="J255" s="409" t="n">
        <f aca="false">C255*EXP(I255*G255+D255*$I$2*H255)</f>
        <v>39.9249984741211</v>
      </c>
    </row>
    <row r="256" customFormat="false" ht="15.75" hidden="false" customHeight="false" outlineLevel="0" collapsed="false">
      <c r="B256" s="405" t="n">
        <f aca="false">'Revenues &amp; Expenses'!K256</f>
        <v>44105</v>
      </c>
      <c r="C256" s="413" t="n">
        <f aca="false">C244</f>
        <v>31.8250003814697</v>
      </c>
      <c r="D256" s="414" t="n">
        <f aca="false">D244</f>
        <v>0.0656856230597085</v>
      </c>
      <c r="E256" s="407" t="n">
        <f aca="false">VLOOKUP(B256,'Revenues &amp; Expenses'!$K$8:$N$258,2)</f>
        <v>0.073728471628718</v>
      </c>
      <c r="F256" s="408" t="n">
        <f aca="false">VLOOKUP(B256,'Revenues &amp; Expenses'!$K$8:$N$258,4)</f>
        <v>0.22344552744093</v>
      </c>
      <c r="G256" s="376" t="n">
        <f aca="false">(B256-$B$1)/365.25</f>
        <v>20.5776865160849</v>
      </c>
      <c r="H256" s="376" t="n">
        <f aca="false">SQRT(G256)</f>
        <v>4.53626349720614</v>
      </c>
      <c r="I256" s="376" t="n">
        <f aca="false">IF($I$2=0,0,-(D256^2)/2)</f>
        <v>0</v>
      </c>
      <c r="J256" s="409" t="n">
        <f aca="false">C256*EXP(I256*G256+D256*$I$2*H256)</f>
        <v>31.8250003814697</v>
      </c>
    </row>
    <row r="257" customFormat="false" ht="15.75" hidden="false" customHeight="false" outlineLevel="0" collapsed="false">
      <c r="B257" s="405" t="n">
        <f aca="false">'Revenues &amp; Expenses'!K257</f>
        <v>44136</v>
      </c>
      <c r="C257" s="413" t="n">
        <f aca="false">C245</f>
        <v>31.4974990844727</v>
      </c>
      <c r="D257" s="414" t="n">
        <f aca="false">D245</f>
        <v>0.0656856230597085</v>
      </c>
      <c r="E257" s="407" t="n">
        <f aca="false">VLOOKUP(B257,'Revenues &amp; Expenses'!$K$8:$N$258,2)</f>
        <v>0.07371637332358</v>
      </c>
      <c r="F257" s="408" t="n">
        <f aca="false">VLOOKUP(B257,'Revenues &amp; Expenses'!$K$8:$N$258,4)</f>
        <v>0.222130524573187</v>
      </c>
      <c r="G257" s="376" t="n">
        <f aca="false">(B257-$B$1)/365.25</f>
        <v>20.662559890486</v>
      </c>
      <c r="H257" s="376" t="n">
        <f aca="false">SQRT(G257)</f>
        <v>4.54560885806137</v>
      </c>
      <c r="I257" s="376" t="n">
        <f aca="false">IF($I$2=0,0,-(D257^2)/2)</f>
        <v>0</v>
      </c>
      <c r="J257" s="409" t="n">
        <f aca="false">C257*EXP(I257*G257+D257*$I$2*H257)</f>
        <v>31.4974990844727</v>
      </c>
    </row>
    <row r="258" customFormat="false" ht="15.75" hidden="false" customHeight="false" outlineLevel="0" collapsed="false">
      <c r="B258" s="405" t="n">
        <f aca="false">'Revenues &amp; Expenses'!K258</f>
        <v>44166</v>
      </c>
      <c r="C258" s="415" t="n">
        <f aca="false">C246</f>
        <v>33.2499996185303</v>
      </c>
      <c r="D258" s="416" t="n">
        <f aca="false">D246</f>
        <v>0.0656856230597085</v>
      </c>
      <c r="E258" s="407" t="n">
        <f aca="false">VLOOKUP(B258,'Revenues &amp; Expenses'!$K$8:$N$258,2)</f>
        <v>0.073704665286396</v>
      </c>
      <c r="F258" s="408" t="n">
        <f aca="false">VLOOKUP(B258,'Revenues &amp; Expenses'!$K$8:$N$258,4)</f>
        <v>0.22086572693959</v>
      </c>
      <c r="G258" s="376" t="n">
        <f aca="false">(B258-$B$1)/365.25</f>
        <v>20.7446954140999</v>
      </c>
      <c r="H258" s="376" t="n">
        <f aca="false">SQRT(G258)</f>
        <v>4.55463449840928</v>
      </c>
      <c r="I258" s="376" t="n">
        <f aca="false">IF($I$2=0,0,-(D258^2)/2)</f>
        <v>0</v>
      </c>
      <c r="J258" s="409" t="n">
        <f aca="false">C258*EXP(I258*G258+D258*$I$2*H258)</f>
        <v>33.2499996185303</v>
      </c>
    </row>
    <row r="259" customFormat="false" ht="15.75" hidden="false" customHeight="false" outlineLevel="0" collapsed="false">
      <c r="B259" s="405" t="n">
        <f aca="false">'Revenues &amp; Expenses'!K259</f>
        <v>44197</v>
      </c>
    </row>
    <row r="260" customFormat="false" ht="15.75" hidden="false" customHeight="false" outlineLevel="0" collapsed="false">
      <c r="B260" s="405"/>
    </row>
    <row r="261" customFormat="false" ht="15.75" hidden="false" customHeight="false" outlineLevel="0" collapsed="false">
      <c r="B261" s="405"/>
    </row>
    <row r="262" customFormat="false" ht="15.75" hidden="false" customHeight="false" outlineLevel="0" collapsed="false">
      <c r="B262" s="405"/>
    </row>
    <row r="263" customFormat="false" ht="15.75" hidden="false" customHeight="false" outlineLevel="0" collapsed="false">
      <c r="B263" s="405"/>
    </row>
    <row r="264" customFormat="false" ht="15.75" hidden="false" customHeight="false" outlineLevel="0" collapsed="false">
      <c r="B264" s="405"/>
    </row>
    <row r="265" customFormat="false" ht="15.75" hidden="false" customHeight="false" outlineLevel="0" collapsed="false">
      <c r="B265" s="405"/>
    </row>
    <row r="266" customFormat="false" ht="15.75" hidden="false" customHeight="false" outlineLevel="0" collapsed="false">
      <c r="B266" s="405"/>
    </row>
    <row r="267" customFormat="false" ht="15.75" hidden="false" customHeight="false" outlineLevel="0" collapsed="false">
      <c r="B267" s="405"/>
    </row>
    <row r="268" customFormat="false" ht="15.75" hidden="false" customHeight="false" outlineLevel="0" collapsed="false">
      <c r="B268" s="405"/>
    </row>
    <row r="269" customFormat="false" ht="15.75" hidden="false" customHeight="false" outlineLevel="0" collapsed="false">
      <c r="B269" s="405"/>
    </row>
    <row r="270" customFormat="false" ht="15.75" hidden="false" customHeight="false" outlineLevel="0" collapsed="false">
      <c r="B270" s="405"/>
    </row>
    <row r="271" customFormat="false" ht="15.75" hidden="false" customHeight="false" outlineLevel="0" collapsed="false">
      <c r="B271" s="405"/>
    </row>
    <row r="272" customFormat="false" ht="15.75" hidden="false" customHeight="false" outlineLevel="0" collapsed="false">
      <c r="B272" s="405"/>
    </row>
    <row r="273" customFormat="false" ht="15.75" hidden="false" customHeight="false" outlineLevel="0" collapsed="false">
      <c r="B273" s="405"/>
    </row>
    <row r="274" customFormat="false" ht="15.75" hidden="false" customHeight="false" outlineLevel="0" collapsed="false">
      <c r="B274" s="405"/>
    </row>
    <row r="275" customFormat="false" ht="15.75" hidden="false" customHeight="false" outlineLevel="0" collapsed="false">
      <c r="B275" s="405"/>
    </row>
    <row r="276" customFormat="false" ht="15.75" hidden="false" customHeight="false" outlineLevel="0" collapsed="false">
      <c r="B276" s="405"/>
    </row>
    <row r="277" customFormat="false" ht="15.75" hidden="false" customHeight="false" outlineLevel="0" collapsed="false">
      <c r="B277" s="405"/>
    </row>
    <row r="278" customFormat="false" ht="15.75" hidden="false" customHeight="false" outlineLevel="0" collapsed="false">
      <c r="B278" s="405"/>
    </row>
    <row r="279" customFormat="false" ht="15.75" hidden="false" customHeight="false" outlineLevel="0" collapsed="false">
      <c r="B279" s="405"/>
    </row>
    <row r="280" customFormat="false" ht="15.75" hidden="false" customHeight="false" outlineLevel="0" collapsed="false">
      <c r="B280" s="405"/>
    </row>
    <row r="281" customFormat="false" ht="15.75" hidden="false" customHeight="false" outlineLevel="0" collapsed="false">
      <c r="B281" s="405"/>
    </row>
    <row r="282" customFormat="false" ht="15.75" hidden="false" customHeight="false" outlineLevel="0" collapsed="false">
      <c r="B282" s="405"/>
    </row>
    <row r="283" customFormat="false" ht="15.75" hidden="false" customHeight="false" outlineLevel="0" collapsed="false">
      <c r="B283" s="405"/>
    </row>
    <row r="284" customFormat="false" ht="15.75" hidden="false" customHeight="false" outlineLevel="0" collapsed="false">
      <c r="B284" s="405"/>
    </row>
    <row r="285" customFormat="false" ht="15.75" hidden="false" customHeight="false" outlineLevel="0" collapsed="false">
      <c r="B285" s="405"/>
    </row>
    <row r="286" customFormat="false" ht="15.75" hidden="false" customHeight="false" outlineLevel="0" collapsed="false">
      <c r="B286" s="405"/>
    </row>
    <row r="287" customFormat="false" ht="15.75" hidden="false" customHeight="false" outlineLevel="0" collapsed="false">
      <c r="B287" s="405"/>
    </row>
    <row r="288" customFormat="false" ht="15.75" hidden="false" customHeight="false" outlineLevel="0" collapsed="false">
      <c r="B288" s="405"/>
    </row>
    <row r="289" customFormat="false" ht="15.75" hidden="false" customHeight="false" outlineLevel="0" collapsed="false">
      <c r="B289" s="405"/>
    </row>
    <row r="290" customFormat="false" ht="15.75" hidden="false" customHeight="false" outlineLevel="0" collapsed="false">
      <c r="B290" s="405"/>
    </row>
    <row r="291" customFormat="false" ht="15.75" hidden="false" customHeight="false" outlineLevel="0" collapsed="false">
      <c r="B291" s="405"/>
    </row>
    <row r="292" customFormat="false" ht="15.75" hidden="false" customHeight="false" outlineLevel="0" collapsed="false">
      <c r="B292" s="405"/>
    </row>
    <row r="293" customFormat="false" ht="15.75" hidden="false" customHeight="false" outlineLevel="0" collapsed="false">
      <c r="B293" s="405"/>
    </row>
    <row r="294" customFormat="false" ht="15.75" hidden="false" customHeight="false" outlineLevel="0" collapsed="false">
      <c r="B294" s="405"/>
    </row>
    <row r="295" customFormat="false" ht="15.75" hidden="false" customHeight="false" outlineLevel="0" collapsed="false">
      <c r="B295" s="405"/>
    </row>
    <row r="296" customFormat="false" ht="15.75" hidden="false" customHeight="false" outlineLevel="0" collapsed="false">
      <c r="B296" s="405"/>
    </row>
    <row r="297" customFormat="false" ht="15.75" hidden="false" customHeight="false" outlineLevel="0" collapsed="false">
      <c r="B297" s="405"/>
    </row>
    <row r="298" customFormat="false" ht="15.75" hidden="false" customHeight="false" outlineLevel="0" collapsed="false">
      <c r="B298" s="405"/>
    </row>
    <row r="299" customFormat="false" ht="15.75" hidden="false" customHeight="false" outlineLevel="0" collapsed="false">
      <c r="B299" s="405"/>
    </row>
    <row r="300" customFormat="false" ht="15.75" hidden="false" customHeight="false" outlineLevel="0" collapsed="false">
      <c r="B300" s="405"/>
    </row>
    <row r="301" customFormat="false" ht="15.75" hidden="false" customHeight="false" outlineLevel="0" collapsed="false">
      <c r="B301" s="405"/>
    </row>
    <row r="302" customFormat="false" ht="15.75" hidden="false" customHeight="false" outlineLevel="0" collapsed="false">
      <c r="B302" s="405"/>
    </row>
    <row r="303" customFormat="false" ht="15.75" hidden="false" customHeight="false" outlineLevel="0" collapsed="false">
      <c r="B303" s="405"/>
    </row>
    <row r="304" customFormat="false" ht="15.75" hidden="false" customHeight="false" outlineLevel="0" collapsed="false">
      <c r="B304" s="405"/>
    </row>
    <row r="305" customFormat="false" ht="15.75" hidden="false" customHeight="false" outlineLevel="0" collapsed="false">
      <c r="B305" s="405"/>
    </row>
    <row r="306" customFormat="false" ht="15.75" hidden="false" customHeight="false" outlineLevel="0" collapsed="false">
      <c r="B306" s="405"/>
    </row>
    <row r="307" customFormat="false" ht="15.75" hidden="false" customHeight="false" outlineLevel="0" collapsed="false">
      <c r="B307" s="405"/>
    </row>
    <row r="308" customFormat="false" ht="15.75" hidden="false" customHeight="false" outlineLevel="0" collapsed="false">
      <c r="B308" s="405"/>
    </row>
    <row r="309" customFormat="false" ht="15.75" hidden="false" customHeight="false" outlineLevel="0" collapsed="false">
      <c r="B309" s="405"/>
    </row>
    <row r="310" customFormat="false" ht="15.75" hidden="false" customHeight="false" outlineLevel="0" collapsed="false">
      <c r="B310" s="405"/>
    </row>
    <row r="311" customFormat="false" ht="15.75" hidden="false" customHeight="false" outlineLevel="0" collapsed="false">
      <c r="B311" s="405"/>
    </row>
    <row r="312" customFormat="false" ht="15.75" hidden="false" customHeight="false" outlineLevel="0" collapsed="false">
      <c r="B312" s="405"/>
    </row>
    <row r="313" customFormat="false" ht="15.75" hidden="false" customHeight="false" outlineLevel="0" collapsed="false">
      <c r="B313" s="405"/>
    </row>
    <row r="314" customFormat="false" ht="15.75" hidden="false" customHeight="false" outlineLevel="0" collapsed="false">
      <c r="B314" s="405"/>
    </row>
    <row r="315" customFormat="false" ht="15.75" hidden="false" customHeight="false" outlineLevel="0" collapsed="false">
      <c r="B315" s="405"/>
    </row>
    <row r="316" customFormat="false" ht="15.75" hidden="false" customHeight="false" outlineLevel="0" collapsed="false">
      <c r="B316" s="405"/>
    </row>
    <row r="317" customFormat="false" ht="15.75" hidden="false" customHeight="false" outlineLevel="0" collapsed="false">
      <c r="B317" s="405"/>
    </row>
    <row r="318" customFormat="false" ht="15.75" hidden="false" customHeight="false" outlineLevel="0" collapsed="false">
      <c r="B318" s="405"/>
    </row>
    <row r="319" customFormat="false" ht="15.75" hidden="false" customHeight="false" outlineLevel="0" collapsed="false">
      <c r="B319" s="405"/>
    </row>
    <row r="320" customFormat="false" ht="15.75" hidden="false" customHeight="false" outlineLevel="0" collapsed="false">
      <c r="B320" s="405"/>
    </row>
    <row r="321" customFormat="false" ht="15.75" hidden="false" customHeight="false" outlineLevel="0" collapsed="false">
      <c r="B321" s="405"/>
    </row>
    <row r="322" customFormat="false" ht="15.75" hidden="false" customHeight="false" outlineLevel="0" collapsed="false">
      <c r="B322" s="405"/>
    </row>
    <row r="323" customFormat="false" ht="15.75" hidden="false" customHeight="false" outlineLevel="0" collapsed="false">
      <c r="B323" s="405"/>
    </row>
    <row r="324" customFormat="false" ht="15.75" hidden="false" customHeight="false" outlineLevel="0" collapsed="false">
      <c r="B324" s="405"/>
    </row>
    <row r="325" customFormat="false" ht="15.75" hidden="false" customHeight="false" outlineLevel="0" collapsed="false">
      <c r="B325" s="405"/>
    </row>
    <row r="326" customFormat="false" ht="15.75" hidden="false" customHeight="false" outlineLevel="0" collapsed="false">
      <c r="B326" s="405"/>
    </row>
    <row r="327" customFormat="false" ht="15.75" hidden="false" customHeight="false" outlineLevel="0" collapsed="false">
      <c r="B327" s="405"/>
    </row>
    <row r="328" customFormat="false" ht="15.75" hidden="false" customHeight="false" outlineLevel="0" collapsed="false">
      <c r="B328" s="405"/>
    </row>
    <row r="329" customFormat="false" ht="15.75" hidden="false" customHeight="false" outlineLevel="0" collapsed="false">
      <c r="B329" s="405"/>
    </row>
    <row r="330" customFormat="false" ht="15.75" hidden="false" customHeight="false" outlineLevel="0" collapsed="false">
      <c r="B330" s="405"/>
    </row>
    <row r="331" customFormat="false" ht="15.75" hidden="false" customHeight="false" outlineLevel="0" collapsed="false">
      <c r="B331" s="405"/>
    </row>
    <row r="332" customFormat="false" ht="15.75" hidden="false" customHeight="false" outlineLevel="0" collapsed="false">
      <c r="B332" s="405"/>
    </row>
    <row r="333" customFormat="false" ht="15.75" hidden="false" customHeight="false" outlineLevel="0" collapsed="false">
      <c r="B333" s="405"/>
    </row>
    <row r="334" customFormat="false" ht="15.75" hidden="false" customHeight="false" outlineLevel="0" collapsed="false">
      <c r="B334" s="405"/>
    </row>
    <row r="335" customFormat="false" ht="15.75" hidden="false" customHeight="false" outlineLevel="0" collapsed="false">
      <c r="B335" s="405"/>
    </row>
    <row r="336" customFormat="false" ht="15.75" hidden="false" customHeight="false" outlineLevel="0" collapsed="false">
      <c r="B336" s="405"/>
    </row>
    <row r="337" customFormat="false" ht="15.75" hidden="false" customHeight="false" outlineLevel="0" collapsed="false">
      <c r="B337" s="405"/>
    </row>
    <row r="338" customFormat="false" ht="15.75" hidden="false" customHeight="false" outlineLevel="0" collapsed="false">
      <c r="B338" s="405"/>
    </row>
    <row r="339" customFormat="false" ht="15.75" hidden="false" customHeight="false" outlineLevel="0" collapsed="false">
      <c r="B339" s="405"/>
    </row>
    <row r="340" customFormat="false" ht="15.75" hidden="false" customHeight="false" outlineLevel="0" collapsed="false">
      <c r="B340" s="405"/>
    </row>
    <row r="341" customFormat="false" ht="15.75" hidden="false" customHeight="false" outlineLevel="0" collapsed="false">
      <c r="B341" s="405"/>
    </row>
    <row r="342" customFormat="false" ht="15.75" hidden="false" customHeight="false" outlineLevel="0" collapsed="false">
      <c r="B342" s="405"/>
    </row>
    <row r="343" customFormat="false" ht="15.75" hidden="false" customHeight="false" outlineLevel="0" collapsed="false">
      <c r="B343" s="405"/>
    </row>
    <row r="344" customFormat="false" ht="15.75" hidden="false" customHeight="false" outlineLevel="0" collapsed="false">
      <c r="B344" s="405"/>
    </row>
    <row r="345" customFormat="false" ht="15.75" hidden="false" customHeight="false" outlineLevel="0" collapsed="false">
      <c r="B345" s="405"/>
    </row>
    <row r="346" customFormat="false" ht="15.75" hidden="false" customHeight="false" outlineLevel="0" collapsed="false">
      <c r="B346" s="405"/>
    </row>
    <row r="347" customFormat="false" ht="15.75" hidden="false" customHeight="false" outlineLevel="0" collapsed="false">
      <c r="B347" s="405"/>
    </row>
    <row r="348" customFormat="false" ht="15.75" hidden="false" customHeight="false" outlineLevel="0" collapsed="false">
      <c r="B348" s="405"/>
    </row>
    <row r="349" customFormat="false" ht="15.75" hidden="false" customHeight="false" outlineLevel="0" collapsed="false">
      <c r="B349" s="405"/>
    </row>
    <row r="350" customFormat="false" ht="15.75" hidden="false" customHeight="false" outlineLevel="0" collapsed="false">
      <c r="B350" s="405"/>
    </row>
    <row r="351" customFormat="false" ht="15.75" hidden="false" customHeight="false" outlineLevel="0" collapsed="false">
      <c r="B351" s="405"/>
    </row>
    <row r="352" customFormat="false" ht="15.75" hidden="false" customHeight="false" outlineLevel="0" collapsed="false">
      <c r="B352" s="405"/>
    </row>
    <row r="353" customFormat="false" ht="15.75" hidden="false" customHeight="false" outlineLevel="0" collapsed="false">
      <c r="B353" s="405"/>
    </row>
    <row r="354" customFormat="false" ht="15.75" hidden="false" customHeight="false" outlineLevel="0" collapsed="false">
      <c r="B354" s="405"/>
    </row>
    <row r="355" customFormat="false" ht="15.75" hidden="false" customHeight="false" outlineLevel="0" collapsed="false">
      <c r="B355" s="405"/>
    </row>
    <row r="356" customFormat="false" ht="15.75" hidden="false" customHeight="false" outlineLevel="0" collapsed="false">
      <c r="B356" s="405"/>
    </row>
    <row r="357" customFormat="false" ht="15.75" hidden="false" customHeight="false" outlineLevel="0" collapsed="false">
      <c r="B357" s="405"/>
    </row>
    <row r="358" customFormat="false" ht="15.75" hidden="false" customHeight="false" outlineLevel="0" collapsed="false">
      <c r="B358" s="405"/>
    </row>
    <row r="359" customFormat="false" ht="15.75" hidden="false" customHeight="false" outlineLevel="0" collapsed="false">
      <c r="B359" s="40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5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" activeCellId="0" sqref="F3"/>
    </sheetView>
  </sheetViews>
  <sheetFormatPr defaultColWidth="9.0546875" defaultRowHeight="15.75" customHeight="true" zeroHeight="false" outlineLevelRow="0" outlineLevelCol="0"/>
  <cols>
    <col collapsed="false" customWidth="true" hidden="false" outlineLevel="0" max="1" min="1" style="373" width="0.85"/>
    <col collapsed="false" customWidth="true" hidden="false" outlineLevel="0" max="2" min="2" style="374" width="11.28"/>
    <col collapsed="false" customWidth="true" hidden="false" outlineLevel="0" max="3" min="3" style="373" width="9.14"/>
    <col collapsed="false" customWidth="true" hidden="false" outlineLevel="0" max="4" min="4" style="375" width="9.14"/>
    <col collapsed="false" customWidth="true" hidden="false" outlineLevel="0" max="6" min="5" style="373" width="9.7"/>
    <col collapsed="false" customWidth="true" hidden="false" outlineLevel="0" max="8" min="7" style="376" width="12.85"/>
    <col collapsed="false" customWidth="true" hidden="false" outlineLevel="0" max="9" min="9" style="376" width="16.84"/>
    <col collapsed="false" customWidth="true" hidden="false" outlineLevel="0" max="10" min="10" style="377" width="12.14"/>
    <col collapsed="false" customWidth="true" hidden="false" outlineLevel="0" max="11" min="11" style="373" width="9.14"/>
    <col collapsed="false" customWidth="false" hidden="true" outlineLevel="0" max="257" min="12" style="373" width="9.06"/>
    <col collapsed="false" customWidth="false" hidden="true" outlineLevel="0" max="16384" min="258" style="0" width="9.06"/>
  </cols>
  <sheetData>
    <row r="1" customFormat="false" ht="16.5" hidden="false" customHeight="false" outlineLevel="0" collapsed="false">
      <c r="B1" s="378" t="n">
        <f aca="false">'Revenues &amp; Expenses'!K1</f>
        <v>36589</v>
      </c>
      <c r="E1" s="379"/>
      <c r="F1" s="379"/>
      <c r="G1" s="380"/>
      <c r="H1" s="380"/>
      <c r="I1" s="381" t="s">
        <v>182</v>
      </c>
      <c r="K1" s="373" t="n">
        <v>1</v>
      </c>
    </row>
    <row r="2" customFormat="false" ht="15.75" hidden="false" customHeight="false" outlineLevel="0" collapsed="false">
      <c r="C2" s="382"/>
      <c r="D2" s="383"/>
      <c r="F2" s="384"/>
      <c r="I2" s="385" t="n">
        <v>0</v>
      </c>
    </row>
    <row r="3" customFormat="false" ht="15.75" hidden="false" customHeight="false" outlineLevel="0" collapsed="false">
      <c r="C3" s="382"/>
      <c r="D3" s="386"/>
    </row>
    <row r="4" customFormat="false" ht="15.75" hidden="false" customHeight="false" outlineLevel="0" collapsed="false">
      <c r="C4" s="382"/>
      <c r="D4" s="386"/>
      <c r="G4" s="388"/>
      <c r="H4" s="388"/>
      <c r="I4" s="375"/>
    </row>
    <row r="5" customFormat="false" ht="15.75" hidden="false" customHeight="false" outlineLevel="0" collapsed="false">
      <c r="A5" s="374"/>
      <c r="C5" s="417"/>
      <c r="D5" s="391"/>
      <c r="E5" s="374"/>
      <c r="F5" s="374"/>
      <c r="G5" s="392"/>
      <c r="H5" s="392"/>
      <c r="I5" s="393"/>
      <c r="J5" s="418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  <c r="AA5" s="374"/>
      <c r="AB5" s="374"/>
      <c r="AC5" s="374"/>
      <c r="AD5" s="374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74"/>
      <c r="AP5" s="374"/>
      <c r="AQ5" s="374"/>
      <c r="AR5" s="374"/>
      <c r="AS5" s="374"/>
      <c r="AT5" s="374"/>
      <c r="AU5" s="374"/>
      <c r="AV5" s="374"/>
      <c r="AW5" s="374"/>
      <c r="AX5" s="374"/>
      <c r="AY5" s="374"/>
      <c r="AZ5" s="374"/>
      <c r="BA5" s="374"/>
      <c r="BB5" s="374"/>
      <c r="BC5" s="374"/>
      <c r="BD5" s="374"/>
      <c r="BE5" s="374"/>
      <c r="BF5" s="374"/>
      <c r="BG5" s="374"/>
      <c r="BH5" s="374"/>
      <c r="BI5" s="374"/>
      <c r="BJ5" s="374"/>
      <c r="BK5" s="374"/>
      <c r="BL5" s="374"/>
      <c r="BM5" s="374"/>
      <c r="BN5" s="374"/>
      <c r="BO5" s="374"/>
      <c r="BP5" s="374"/>
      <c r="BQ5" s="374"/>
      <c r="BR5" s="374"/>
      <c r="BS5" s="374"/>
      <c r="BT5" s="374"/>
      <c r="BU5" s="374"/>
      <c r="BV5" s="374"/>
      <c r="BW5" s="374"/>
      <c r="BX5" s="374"/>
      <c r="BY5" s="374"/>
      <c r="BZ5" s="374"/>
      <c r="CA5" s="374"/>
      <c r="CB5" s="374"/>
      <c r="CC5" s="374"/>
      <c r="CD5" s="374"/>
      <c r="CE5" s="374"/>
      <c r="CF5" s="374"/>
      <c r="CG5" s="374"/>
      <c r="CH5" s="374"/>
      <c r="CI5" s="374"/>
      <c r="CJ5" s="374"/>
      <c r="CK5" s="374"/>
      <c r="CL5" s="374"/>
      <c r="CM5" s="374"/>
      <c r="CN5" s="374"/>
      <c r="CO5" s="374"/>
      <c r="CP5" s="374"/>
      <c r="CQ5" s="374"/>
      <c r="CR5" s="374"/>
      <c r="CS5" s="374"/>
      <c r="CT5" s="374"/>
      <c r="CU5" s="374"/>
      <c r="CV5" s="374"/>
      <c r="CW5" s="374"/>
      <c r="CX5" s="374"/>
      <c r="CY5" s="374"/>
      <c r="CZ5" s="374"/>
      <c r="DA5" s="374"/>
      <c r="DB5" s="374"/>
      <c r="DC5" s="374"/>
      <c r="DD5" s="374"/>
      <c r="DE5" s="374"/>
      <c r="DF5" s="374"/>
      <c r="DG5" s="374"/>
      <c r="DH5" s="374"/>
      <c r="DI5" s="374"/>
      <c r="DJ5" s="374"/>
      <c r="DK5" s="374"/>
      <c r="DL5" s="374"/>
      <c r="DM5" s="374"/>
      <c r="DN5" s="374"/>
      <c r="DO5" s="374"/>
      <c r="DP5" s="374"/>
      <c r="DQ5" s="374"/>
      <c r="DR5" s="374"/>
      <c r="DS5" s="374"/>
      <c r="DT5" s="374"/>
      <c r="DU5" s="374"/>
      <c r="DV5" s="374"/>
      <c r="DW5" s="374"/>
      <c r="DX5" s="374"/>
      <c r="DY5" s="374"/>
      <c r="DZ5" s="374"/>
      <c r="EA5" s="374"/>
      <c r="EB5" s="374"/>
      <c r="EC5" s="374"/>
      <c r="ED5" s="374"/>
      <c r="EE5" s="374"/>
      <c r="EF5" s="374"/>
      <c r="EG5" s="374"/>
      <c r="EH5" s="374"/>
      <c r="EI5" s="374"/>
      <c r="EJ5" s="374"/>
      <c r="EK5" s="374"/>
      <c r="EL5" s="374"/>
      <c r="EM5" s="374"/>
      <c r="EN5" s="374"/>
      <c r="EO5" s="374"/>
      <c r="EP5" s="374"/>
      <c r="EQ5" s="374"/>
      <c r="ER5" s="374"/>
      <c r="ES5" s="374"/>
      <c r="ET5" s="374"/>
      <c r="EU5" s="374"/>
      <c r="EV5" s="374"/>
      <c r="EW5" s="374"/>
      <c r="EX5" s="374"/>
      <c r="EY5" s="374"/>
      <c r="EZ5" s="374"/>
      <c r="FA5" s="374"/>
      <c r="FB5" s="374"/>
      <c r="FC5" s="374"/>
      <c r="FD5" s="374"/>
      <c r="FE5" s="374"/>
      <c r="FF5" s="374"/>
      <c r="FG5" s="374"/>
      <c r="FH5" s="374"/>
      <c r="FI5" s="374"/>
      <c r="FJ5" s="374"/>
      <c r="FK5" s="374"/>
      <c r="FL5" s="374"/>
      <c r="FM5" s="374"/>
      <c r="FN5" s="374"/>
      <c r="FO5" s="374"/>
      <c r="FP5" s="374"/>
      <c r="FQ5" s="374"/>
      <c r="FR5" s="374"/>
      <c r="FS5" s="374"/>
      <c r="FT5" s="374"/>
      <c r="FU5" s="374"/>
      <c r="FV5" s="374"/>
      <c r="FW5" s="374"/>
      <c r="FX5" s="374"/>
      <c r="FY5" s="374"/>
      <c r="FZ5" s="374"/>
      <c r="GA5" s="374"/>
      <c r="GB5" s="374"/>
      <c r="GC5" s="374"/>
      <c r="GD5" s="374"/>
      <c r="GE5" s="374"/>
      <c r="GF5" s="374"/>
      <c r="GG5" s="374"/>
      <c r="GH5" s="374"/>
      <c r="GI5" s="374"/>
      <c r="GJ5" s="374"/>
      <c r="GK5" s="374"/>
      <c r="GL5" s="374"/>
      <c r="GM5" s="374"/>
      <c r="GN5" s="374"/>
      <c r="GO5" s="374"/>
      <c r="GP5" s="374"/>
      <c r="GQ5" s="374"/>
      <c r="GR5" s="374"/>
      <c r="GS5" s="374"/>
      <c r="GT5" s="374"/>
      <c r="GU5" s="374"/>
      <c r="GV5" s="374"/>
      <c r="GW5" s="374"/>
      <c r="GX5" s="374"/>
      <c r="GY5" s="374"/>
      <c r="GZ5" s="374"/>
      <c r="HA5" s="374"/>
      <c r="HB5" s="374"/>
      <c r="HC5" s="374"/>
      <c r="HD5" s="374"/>
      <c r="HE5" s="374"/>
      <c r="HF5" s="374"/>
      <c r="HG5" s="374"/>
      <c r="HH5" s="374"/>
      <c r="HI5" s="374"/>
      <c r="HJ5" s="374"/>
      <c r="HK5" s="374"/>
      <c r="HL5" s="374"/>
      <c r="HM5" s="374"/>
      <c r="HN5" s="374"/>
      <c r="HO5" s="374"/>
      <c r="HP5" s="374"/>
      <c r="HQ5" s="374"/>
      <c r="HR5" s="374"/>
      <c r="HS5" s="374"/>
      <c r="HT5" s="374"/>
      <c r="HU5" s="374"/>
      <c r="HV5" s="374"/>
      <c r="HW5" s="374"/>
      <c r="HX5" s="374"/>
      <c r="HY5" s="374"/>
      <c r="HZ5" s="374"/>
      <c r="IA5" s="374"/>
      <c r="IB5" s="374"/>
      <c r="IC5" s="374"/>
      <c r="ID5" s="374"/>
      <c r="IE5" s="374"/>
      <c r="IF5" s="374"/>
      <c r="IG5" s="374"/>
      <c r="IH5" s="374"/>
      <c r="II5" s="374"/>
      <c r="IJ5" s="374"/>
      <c r="IK5" s="374"/>
      <c r="IL5" s="374"/>
      <c r="IM5" s="374"/>
      <c r="IN5" s="374"/>
      <c r="IO5" s="374"/>
      <c r="IP5" s="374"/>
      <c r="IQ5" s="374"/>
      <c r="IR5" s="374"/>
      <c r="IS5" s="374"/>
      <c r="IT5" s="374"/>
      <c r="IU5" s="374"/>
      <c r="IV5" s="374"/>
      <c r="IW5" s="374"/>
    </row>
    <row r="6" customFormat="false" ht="15.75" hidden="false" customHeight="false" outlineLevel="0" collapsed="false">
      <c r="A6" s="396"/>
      <c r="B6" s="396"/>
      <c r="C6" s="396" t="s">
        <v>91</v>
      </c>
      <c r="D6" s="397"/>
      <c r="E6" s="396"/>
      <c r="F6" s="396"/>
      <c r="G6" s="398"/>
      <c r="H6" s="398"/>
      <c r="I6" s="398" t="s">
        <v>183</v>
      </c>
      <c r="J6" s="419" t="s">
        <v>184</v>
      </c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  <c r="HJ6" s="396"/>
      <c r="HK6" s="396"/>
      <c r="HL6" s="396"/>
      <c r="HM6" s="396"/>
      <c r="HN6" s="396"/>
      <c r="HO6" s="396"/>
      <c r="HP6" s="396"/>
      <c r="HQ6" s="396"/>
      <c r="HR6" s="396"/>
      <c r="HS6" s="396"/>
      <c r="HT6" s="396"/>
      <c r="HU6" s="396"/>
      <c r="HV6" s="396"/>
      <c r="HW6" s="396"/>
      <c r="HX6" s="396"/>
      <c r="HY6" s="396"/>
      <c r="HZ6" s="396"/>
      <c r="IA6" s="396"/>
      <c r="IB6" s="396"/>
      <c r="IC6" s="396"/>
      <c r="ID6" s="396"/>
      <c r="IE6" s="396"/>
      <c r="IF6" s="396"/>
      <c r="IG6" s="396"/>
      <c r="IH6" s="396"/>
      <c r="II6" s="396"/>
      <c r="IJ6" s="396"/>
      <c r="IK6" s="396"/>
      <c r="IL6" s="396"/>
      <c r="IM6" s="396"/>
      <c r="IN6" s="396"/>
      <c r="IO6" s="396"/>
      <c r="IP6" s="396"/>
      <c r="IQ6" s="396"/>
      <c r="IR6" s="396"/>
      <c r="IS6" s="396"/>
      <c r="IT6" s="396"/>
      <c r="IU6" s="396"/>
      <c r="IV6" s="396"/>
      <c r="IW6" s="396"/>
    </row>
    <row r="7" customFormat="false" ht="16.5" hidden="false" customHeight="false" outlineLevel="0" collapsed="false">
      <c r="A7" s="396"/>
      <c r="B7" s="396"/>
      <c r="C7" s="401" t="s">
        <v>63</v>
      </c>
      <c r="D7" s="402" t="s">
        <v>185</v>
      </c>
      <c r="E7" s="401" t="s">
        <v>186</v>
      </c>
      <c r="F7" s="401" t="s">
        <v>187</v>
      </c>
      <c r="G7" s="403" t="s">
        <v>188</v>
      </c>
      <c r="H7" s="403" t="s">
        <v>189</v>
      </c>
      <c r="I7" s="403" t="s">
        <v>190</v>
      </c>
      <c r="J7" s="420" t="s">
        <v>63</v>
      </c>
      <c r="K7" s="396"/>
      <c r="L7" s="396"/>
      <c r="M7" s="396"/>
      <c r="N7" s="396"/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396"/>
      <c r="AM7" s="396"/>
      <c r="AN7" s="396"/>
      <c r="AO7" s="396"/>
      <c r="AP7" s="396"/>
      <c r="AQ7" s="396"/>
      <c r="AR7" s="396"/>
      <c r="AS7" s="396"/>
      <c r="AT7" s="396"/>
      <c r="AU7" s="396"/>
      <c r="AV7" s="396"/>
      <c r="AW7" s="396"/>
      <c r="AX7" s="396"/>
      <c r="AY7" s="396"/>
      <c r="AZ7" s="396"/>
      <c r="BA7" s="396"/>
      <c r="BB7" s="396"/>
      <c r="BC7" s="396"/>
      <c r="BD7" s="396"/>
      <c r="BE7" s="396"/>
      <c r="BF7" s="396"/>
      <c r="BG7" s="396"/>
      <c r="BH7" s="396"/>
      <c r="BI7" s="396"/>
      <c r="BJ7" s="396"/>
      <c r="BK7" s="396"/>
      <c r="BL7" s="396"/>
      <c r="BM7" s="396"/>
      <c r="BN7" s="396"/>
      <c r="BO7" s="396"/>
      <c r="BP7" s="396"/>
      <c r="BQ7" s="396"/>
      <c r="BR7" s="396"/>
      <c r="BS7" s="396"/>
      <c r="BT7" s="396"/>
      <c r="BU7" s="396"/>
      <c r="BV7" s="396"/>
      <c r="BW7" s="396"/>
      <c r="BX7" s="396"/>
      <c r="BY7" s="396"/>
      <c r="BZ7" s="396"/>
      <c r="CA7" s="396"/>
      <c r="CB7" s="396"/>
      <c r="CC7" s="396"/>
      <c r="CD7" s="396"/>
      <c r="CE7" s="396"/>
      <c r="CF7" s="396"/>
      <c r="CG7" s="396"/>
      <c r="CH7" s="396"/>
      <c r="CI7" s="396"/>
      <c r="CJ7" s="396"/>
      <c r="CK7" s="396"/>
      <c r="CL7" s="396"/>
      <c r="CM7" s="396"/>
      <c r="CN7" s="396"/>
      <c r="CO7" s="396"/>
      <c r="CP7" s="396"/>
      <c r="CQ7" s="396"/>
      <c r="CR7" s="396"/>
      <c r="CS7" s="396"/>
      <c r="CT7" s="396"/>
      <c r="CU7" s="396"/>
      <c r="CV7" s="396"/>
      <c r="CW7" s="396"/>
      <c r="CX7" s="396"/>
      <c r="CY7" s="396"/>
      <c r="CZ7" s="396"/>
      <c r="DA7" s="396"/>
      <c r="DB7" s="396"/>
      <c r="DC7" s="396"/>
      <c r="DD7" s="396"/>
      <c r="DE7" s="396"/>
      <c r="DF7" s="396"/>
      <c r="DG7" s="396"/>
      <c r="DH7" s="396"/>
      <c r="DI7" s="396"/>
      <c r="DJ7" s="396"/>
      <c r="DK7" s="396"/>
      <c r="DL7" s="396"/>
      <c r="DM7" s="396"/>
      <c r="DN7" s="396"/>
      <c r="DO7" s="396"/>
      <c r="DP7" s="396"/>
      <c r="DQ7" s="396"/>
      <c r="DR7" s="396"/>
      <c r="DS7" s="396"/>
      <c r="DT7" s="396"/>
      <c r="DU7" s="396"/>
      <c r="DV7" s="396"/>
      <c r="DW7" s="396"/>
      <c r="DX7" s="396"/>
      <c r="DY7" s="396"/>
      <c r="DZ7" s="396"/>
      <c r="EA7" s="396"/>
      <c r="EB7" s="396"/>
      <c r="EC7" s="396"/>
      <c r="ED7" s="396"/>
      <c r="EE7" s="396"/>
      <c r="EF7" s="396"/>
      <c r="EG7" s="396"/>
      <c r="EH7" s="396"/>
      <c r="EI7" s="396"/>
      <c r="EJ7" s="396"/>
      <c r="EK7" s="396"/>
      <c r="EL7" s="396"/>
      <c r="EM7" s="396"/>
      <c r="EN7" s="396"/>
      <c r="EO7" s="396"/>
      <c r="EP7" s="396"/>
      <c r="EQ7" s="396"/>
      <c r="ER7" s="396"/>
      <c r="ES7" s="396"/>
      <c r="ET7" s="396"/>
      <c r="EU7" s="396"/>
      <c r="EV7" s="396"/>
      <c r="EW7" s="396"/>
      <c r="EX7" s="396"/>
      <c r="EY7" s="396"/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6"/>
      <c r="FL7" s="396"/>
      <c r="FM7" s="396"/>
      <c r="FN7" s="396"/>
      <c r="FO7" s="396"/>
      <c r="FP7" s="396"/>
      <c r="FQ7" s="396"/>
      <c r="FR7" s="396"/>
      <c r="FS7" s="396"/>
      <c r="FT7" s="396"/>
      <c r="FU7" s="396"/>
      <c r="FV7" s="396"/>
      <c r="FW7" s="396"/>
      <c r="FX7" s="396"/>
      <c r="FY7" s="396"/>
      <c r="FZ7" s="396"/>
      <c r="GA7" s="396"/>
      <c r="GB7" s="396"/>
      <c r="GC7" s="396"/>
      <c r="GD7" s="396"/>
      <c r="GE7" s="396"/>
      <c r="GF7" s="396"/>
      <c r="GG7" s="396"/>
      <c r="GH7" s="396"/>
      <c r="GI7" s="396"/>
      <c r="GJ7" s="396"/>
      <c r="GK7" s="396"/>
      <c r="GL7" s="396"/>
      <c r="GM7" s="396"/>
      <c r="GN7" s="396"/>
      <c r="GO7" s="396"/>
      <c r="GP7" s="396"/>
      <c r="GQ7" s="396"/>
      <c r="GR7" s="396"/>
      <c r="GS7" s="396"/>
      <c r="GT7" s="396"/>
      <c r="GU7" s="396"/>
      <c r="GV7" s="396"/>
      <c r="GW7" s="396"/>
      <c r="GX7" s="396"/>
      <c r="GY7" s="396"/>
      <c r="GZ7" s="396"/>
      <c r="HA7" s="396"/>
      <c r="HB7" s="396"/>
      <c r="HC7" s="396"/>
      <c r="HD7" s="396"/>
      <c r="HE7" s="396"/>
      <c r="HF7" s="396"/>
      <c r="HG7" s="396"/>
      <c r="HH7" s="396"/>
      <c r="HI7" s="396"/>
      <c r="HJ7" s="396"/>
      <c r="HK7" s="396"/>
      <c r="HL7" s="396"/>
      <c r="HM7" s="396"/>
      <c r="HN7" s="396"/>
      <c r="HO7" s="396"/>
      <c r="HP7" s="396"/>
      <c r="HQ7" s="396"/>
      <c r="HR7" s="396"/>
      <c r="HS7" s="396"/>
      <c r="HT7" s="396"/>
      <c r="HU7" s="396"/>
      <c r="HV7" s="396"/>
      <c r="HW7" s="396"/>
      <c r="HX7" s="396"/>
      <c r="HY7" s="396"/>
      <c r="HZ7" s="396"/>
      <c r="IA7" s="396"/>
      <c r="IB7" s="396"/>
      <c r="IC7" s="396"/>
      <c r="ID7" s="396"/>
      <c r="IE7" s="396"/>
      <c r="IF7" s="396"/>
      <c r="IG7" s="396"/>
      <c r="IH7" s="396"/>
      <c r="II7" s="396"/>
      <c r="IJ7" s="396"/>
      <c r="IK7" s="396"/>
      <c r="IL7" s="396"/>
      <c r="IM7" s="396"/>
      <c r="IN7" s="396"/>
      <c r="IO7" s="396"/>
      <c r="IP7" s="396"/>
      <c r="IQ7" s="396"/>
      <c r="IR7" s="396"/>
      <c r="IS7" s="396"/>
      <c r="IT7" s="396"/>
      <c r="IU7" s="396"/>
      <c r="IV7" s="396"/>
      <c r="IW7" s="396"/>
    </row>
    <row r="8" customFormat="false" ht="15.75" hidden="false" customHeight="false" outlineLevel="0" collapsed="false">
      <c r="B8" s="405" t="n">
        <f aca="false">'Revenues &amp; Expenses'!K8</f>
        <v>36557</v>
      </c>
      <c r="C8" s="406"/>
      <c r="E8" s="407"/>
      <c r="F8" s="408"/>
      <c r="J8" s="421"/>
    </row>
    <row r="9" customFormat="false" ht="15.75" hidden="false" customHeight="false" outlineLevel="0" collapsed="false">
      <c r="B9" s="405" t="n">
        <f aca="false">'Revenues &amp; Expenses'!K9</f>
        <v>36586</v>
      </c>
      <c r="C9" s="377"/>
      <c r="D9" s="422"/>
      <c r="E9" s="407"/>
      <c r="F9" s="376"/>
      <c r="J9" s="421"/>
    </row>
    <row r="10" customFormat="false" ht="15.75" hidden="false" customHeight="false" outlineLevel="0" collapsed="false">
      <c r="B10" s="405" t="n">
        <f aca="false">'Revenues &amp; Expenses'!K10</f>
        <v>36617</v>
      </c>
      <c r="C10" s="377"/>
      <c r="D10" s="422"/>
      <c r="E10" s="407"/>
      <c r="F10" s="376"/>
      <c r="J10" s="421"/>
    </row>
    <row r="11" customFormat="false" ht="15.75" hidden="false" customHeight="false" outlineLevel="0" collapsed="false">
      <c r="B11" s="405" t="n">
        <f aca="false">'Revenues &amp; Expenses'!K11</f>
        <v>36647</v>
      </c>
      <c r="C11" s="377"/>
      <c r="D11" s="422"/>
      <c r="E11" s="407"/>
      <c r="F11" s="376"/>
      <c r="J11" s="421"/>
    </row>
    <row r="12" customFormat="false" ht="15.75" hidden="false" customHeight="false" outlineLevel="0" collapsed="false">
      <c r="B12" s="405" t="n">
        <f aca="false">'Revenues &amp; Expenses'!K12</f>
        <v>36678</v>
      </c>
      <c r="C12" s="377" t="n">
        <f aca="false">'Fuel Curve'!F12</f>
        <v>5.45706896551724</v>
      </c>
      <c r="D12" s="422" t="n">
        <f aca="false">'Fuel Curve'!D12</f>
        <v>0.287</v>
      </c>
      <c r="E12" s="407" t="n">
        <f aca="false">VLOOKUP(B12,'PJM Curve Simulation'!$B$9:$F$258,4)</f>
        <v>0.062177946159863</v>
      </c>
      <c r="F12" s="376" t="n">
        <f aca="false">VLOOKUP(B12,'PJM Curve Simulation'!$B$9:$F$258,5)</f>
        <v>0.977950427546173</v>
      </c>
      <c r="G12" s="376" t="n">
        <f aca="false">(B12-$B$1)/365.25</f>
        <v>0.243668720054757</v>
      </c>
      <c r="H12" s="376" t="n">
        <f aca="false">SQRT(G12)</f>
        <v>0.493628119189696</v>
      </c>
      <c r="I12" s="376" t="n">
        <f aca="false">IF($I$2=0,0,-(D12^2)/2)</f>
        <v>0</v>
      </c>
      <c r="J12" s="421" t="n">
        <f aca="false">IF(K1=1,C12,EXP(I12*G12+D12*$I$2*H12)*C12)</f>
        <v>5.45706896551724</v>
      </c>
    </row>
    <row r="13" customFormat="false" ht="15.75" hidden="false" customHeight="false" outlineLevel="0" collapsed="false">
      <c r="B13" s="405" t="n">
        <f aca="false">'Revenues &amp; Expenses'!K13</f>
        <v>36708</v>
      </c>
      <c r="C13" s="377" t="n">
        <f aca="false">'Fuel Curve'!F13</f>
        <v>5.38465517241379</v>
      </c>
      <c r="D13" s="422" t="n">
        <f aca="false">'Fuel Curve'!D13</f>
        <v>0.288</v>
      </c>
      <c r="E13" s="407" t="n">
        <f aca="false">VLOOKUP(B13,'PJM Curve Simulation'!$B$9:$F$258,4)</f>
        <v>0.063156630597147</v>
      </c>
      <c r="F13" s="376" t="n">
        <f aca="false">VLOOKUP(B13,'PJM Curve Simulation'!$B$9:$F$258,5)</f>
        <v>0.972632441915619</v>
      </c>
      <c r="G13" s="376" t="n">
        <f aca="false">(B13-$B$1)/365.25</f>
        <v>0.32580424366872</v>
      </c>
      <c r="H13" s="376" t="n">
        <f aca="false">SQRT(G13)</f>
        <v>0.570792645072377</v>
      </c>
      <c r="I13" s="376" t="n">
        <f aca="false">IF($I$2=0,0,-(D13^2)/2)</f>
        <v>0</v>
      </c>
      <c r="J13" s="421" t="n">
        <f aca="false">IF(K2=1,C13,EXP(I13*G13+D13*$I$2*H13)*C13)</f>
        <v>5.38465517241379</v>
      </c>
    </row>
    <row r="14" customFormat="false" ht="15.75" hidden="false" customHeight="false" outlineLevel="0" collapsed="false">
      <c r="B14" s="405" t="n">
        <f aca="false">'Revenues &amp; Expenses'!K14</f>
        <v>36739</v>
      </c>
      <c r="C14" s="377" t="n">
        <f aca="false">'Fuel Curve'!F14</f>
        <v>5.39189655172414</v>
      </c>
      <c r="D14" s="422" t="n">
        <f aca="false">'Fuel Curve'!D14</f>
        <v>0.279</v>
      </c>
      <c r="E14" s="407" t="n">
        <f aca="false">VLOOKUP(B14,'PJM Curve Simulation'!$B$9:$F$258,4)</f>
        <v>0.063794910183085</v>
      </c>
      <c r="F14" s="376" t="n">
        <f aca="false">VLOOKUP(B14,'PJM Curve Simulation'!$B$9:$F$258,5)</f>
        <v>0.967195108750546</v>
      </c>
      <c r="G14" s="376" t="n">
        <f aca="false">(B14-$B$1)/365.25</f>
        <v>0.410677618069815</v>
      </c>
      <c r="H14" s="376" t="n">
        <f aca="false">SQRT(G14)</f>
        <v>0.640841336112001</v>
      </c>
      <c r="I14" s="376" t="n">
        <f aca="false">IF($I$2=0,0,-(D14^2)/2)</f>
        <v>0</v>
      </c>
      <c r="J14" s="421" t="n">
        <f aca="false">IF(K3=1,C14,EXP(I14*G14+D14*$I$2*H14)*C14)</f>
        <v>5.39189655172414</v>
      </c>
    </row>
    <row r="15" customFormat="false" ht="15.75" hidden="false" customHeight="false" outlineLevel="0" collapsed="false">
      <c r="B15" s="405" t="n">
        <f aca="false">'Revenues &amp; Expenses'!K15</f>
        <v>36770</v>
      </c>
      <c r="C15" s="377" t="n">
        <f aca="false">'Fuel Curve'!F15</f>
        <v>5.40275862068966</v>
      </c>
      <c r="D15" s="422" t="n">
        <f aca="false">'Fuel Curve'!D15</f>
        <v>0.281</v>
      </c>
      <c r="E15" s="407" t="n">
        <f aca="false">VLOOKUP(B15,'PJM Curve Simulation'!$B$9:$F$258,4)</f>
        <v>0.064433189904138</v>
      </c>
      <c r="F15" s="376" t="n">
        <f aca="false">VLOOKUP(B15,'PJM Curve Simulation'!$B$9:$F$258,5)</f>
        <v>0.961687290353495</v>
      </c>
      <c r="G15" s="376" t="n">
        <f aca="false">(B15-$B$1)/365.25</f>
        <v>0.49555099247091</v>
      </c>
      <c r="H15" s="376" t="n">
        <f aca="false">SQRT(G15)</f>
        <v>0.703953828365831</v>
      </c>
      <c r="I15" s="376" t="n">
        <f aca="false">IF($I$2=0,0,-(D15^2)/2)</f>
        <v>0</v>
      </c>
      <c r="J15" s="421" t="n">
        <f aca="false">IF(K4=1,C15,EXP(I15*G15+D15*$I$2*H15)*C15)</f>
        <v>5.40275862068966</v>
      </c>
    </row>
    <row r="16" customFormat="false" ht="15.75" hidden="false" customHeight="false" outlineLevel="0" collapsed="false">
      <c r="B16" s="405" t="n">
        <f aca="false">'Revenues &amp; Expenses'!K16</f>
        <v>36800</v>
      </c>
      <c r="C16" s="377" t="n">
        <f aca="false">'Fuel Curve'!F16</f>
        <v>5.41724137931035</v>
      </c>
      <c r="D16" s="422" t="n">
        <f aca="false">'Fuel Curve'!D16</f>
        <v>0.28</v>
      </c>
      <c r="E16" s="407" t="n">
        <f aca="false">VLOOKUP(B16,'PJM Curve Simulation'!$B$9:$F$258,4)</f>
        <v>0.065011694486706</v>
      </c>
      <c r="F16" s="376" t="n">
        <f aca="false">VLOOKUP(B16,'PJM Curve Simulation'!$B$9:$F$258,5)</f>
        <v>0.95631687732409</v>
      </c>
      <c r="G16" s="376" t="n">
        <f aca="false">(B16-$B$1)/365.25</f>
        <v>0.577686516084873</v>
      </c>
      <c r="H16" s="376" t="n">
        <f aca="false">SQRT(G16)</f>
        <v>0.76005691634566</v>
      </c>
      <c r="I16" s="376" t="n">
        <f aca="false">IF($I$2=0,0,-(D16^2)/2)</f>
        <v>0</v>
      </c>
      <c r="J16" s="421" t="n">
        <f aca="false">IF(K5=1,C16,EXP(I16*G16+D16*$I$2*H16)*C16)</f>
        <v>5.41724137931035</v>
      </c>
    </row>
    <row r="17" customFormat="false" ht="15.75" hidden="false" customHeight="false" outlineLevel="0" collapsed="false">
      <c r="B17" s="405" t="n">
        <f aca="false">'Revenues &amp; Expenses'!K17</f>
        <v>36831</v>
      </c>
      <c r="C17" s="377" t="n">
        <f aca="false">'Fuel Curve'!F17</f>
        <v>5.42810344827586</v>
      </c>
      <c r="D17" s="422" t="n">
        <f aca="false">'Fuel Curve'!D17</f>
        <v>0.273</v>
      </c>
      <c r="E17" s="407" t="n">
        <f aca="false">VLOOKUP(B17,'PJM Curve Simulation'!$B$9:$F$258,4)</f>
        <v>0.065536848233941</v>
      </c>
      <c r="F17" s="376" t="n">
        <f aca="false">VLOOKUP(B17,'PJM Curve Simulation'!$B$9:$F$258,5)</f>
        <v>0.950759489883635</v>
      </c>
      <c r="G17" s="376" t="n">
        <f aca="false">(B17-$B$1)/365.25</f>
        <v>0.662559890485969</v>
      </c>
      <c r="H17" s="376" t="n">
        <f aca="false">SQRT(G17)</f>
        <v>0.813977819406628</v>
      </c>
      <c r="I17" s="376" t="n">
        <f aca="false">IF($I$2=0,0,-(D17^2)/2)</f>
        <v>0</v>
      </c>
      <c r="J17" s="421" t="n">
        <f aca="false">IF(K6=1,C17,EXP(I17*G17+D17*$I$2*H17)*C17)</f>
        <v>5.42810344827586</v>
      </c>
    </row>
    <row r="18" customFormat="false" ht="15.75" hidden="false" customHeight="false" outlineLevel="0" collapsed="false">
      <c r="B18" s="405" t="n">
        <f aca="false">'Revenues &amp; Expenses'!K18</f>
        <v>36861</v>
      </c>
      <c r="C18" s="377" t="n">
        <f aca="false">'Fuel Curve'!F18</f>
        <v>5.41</v>
      </c>
      <c r="D18" s="422" t="n">
        <f aca="false">'Fuel Curve'!D18</f>
        <v>0.275</v>
      </c>
      <c r="E18" s="407" t="n">
        <f aca="false">VLOOKUP(B18,'PJM Curve Simulation'!$B$9:$F$258,4)</f>
        <v>0.06604506162473</v>
      </c>
      <c r="F18" s="376" t="n">
        <f aca="false">VLOOKUP(B18,'PJM Curve Simulation'!$B$9:$F$258,5)</f>
        <v>0.945334521362693</v>
      </c>
      <c r="G18" s="376" t="n">
        <f aca="false">(B18-$B$1)/365.25</f>
        <v>0.744695414099932</v>
      </c>
      <c r="H18" s="376" t="n">
        <f aca="false">SQRT(G18)</f>
        <v>0.862957365169295</v>
      </c>
      <c r="I18" s="376" t="n">
        <f aca="false">IF($I$2=0,0,-(D18^2)/2)</f>
        <v>0</v>
      </c>
      <c r="J18" s="421" t="n">
        <f aca="false">IF(K7=1,C18,EXP(I18*G18+D18*$I$2*H18)*C18)</f>
        <v>5.41</v>
      </c>
    </row>
    <row r="19" customFormat="false" ht="15.75" hidden="false" customHeight="false" outlineLevel="0" collapsed="false">
      <c r="B19" s="405" t="n">
        <f aca="false">'Revenues &amp; Expenses'!K19</f>
        <v>36892</v>
      </c>
      <c r="C19" s="377" t="n">
        <f aca="false">'Fuel Curve'!F19</f>
        <v>5.33758620689655</v>
      </c>
      <c r="D19" s="422" t="n">
        <f aca="false">'Fuel Curve'!D19</f>
        <v>0.275</v>
      </c>
      <c r="E19" s="407" t="n">
        <f aca="false">VLOOKUP(B19,'PJM Curve Simulation'!$B$9:$F$258,4)</f>
        <v>0.066545865575548</v>
      </c>
      <c r="F19" s="376" t="n">
        <f aca="false">VLOOKUP(B19,'PJM Curve Simulation'!$B$9:$F$258,5)</f>
        <v>0.939702595645664</v>
      </c>
      <c r="G19" s="376" t="n">
        <f aca="false">(B19-$B$1)/365.25</f>
        <v>0.829568788501027</v>
      </c>
      <c r="H19" s="376" t="n">
        <f aca="false">SQRT(G19)</f>
        <v>0.91080666911317</v>
      </c>
      <c r="I19" s="376" t="n">
        <f aca="false">IF($I$2=0,0,-(D19^2)/2)</f>
        <v>0</v>
      </c>
      <c r="J19" s="421" t="n">
        <f aca="false">IF(K8=1,C19,EXP(I19*G19+D19*$I$2*H19)*C19)</f>
        <v>5.33758620689655</v>
      </c>
    </row>
    <row r="20" customFormat="false" ht="15.75" hidden="false" customHeight="false" outlineLevel="0" collapsed="false">
      <c r="B20" s="405" t="n">
        <f aca="false">'Revenues &amp; Expenses'!K20</f>
        <v>36923</v>
      </c>
      <c r="C20" s="377" t="n">
        <f aca="false">'Fuel Curve'!F20</f>
        <v>5.18189655172414</v>
      </c>
      <c r="D20" s="422" t="n">
        <f aca="false">'Fuel Curve'!D20</f>
        <v>0.271</v>
      </c>
      <c r="E20" s="407" t="n">
        <f aca="false">VLOOKUP(B20,'PJM Curve Simulation'!$B$9:$F$258,4)</f>
        <v>0.067008115474421</v>
      </c>
      <c r="F20" s="376" t="n">
        <f aca="false">VLOOKUP(B20,'PJM Curve Simulation'!$B$9:$F$258,5)</f>
        <v>0.934063538891895</v>
      </c>
      <c r="G20" s="376" t="n">
        <f aca="false">(B20-$B$1)/365.25</f>
        <v>0.914442162902122</v>
      </c>
      <c r="H20" s="376" t="n">
        <f aca="false">SQRT(G20)</f>
        <v>0.956264692907838</v>
      </c>
      <c r="I20" s="376" t="n">
        <f aca="false">IF($I$2=0,0,-(D20^2)/2)</f>
        <v>0</v>
      </c>
      <c r="J20" s="421" t="n">
        <f aca="false">IF(K9=1,C20,EXP(I20*G20+D20*$I$2*H20)*C20)</f>
        <v>5.18189655172414</v>
      </c>
    </row>
    <row r="21" customFormat="false" ht="15.75" hidden="false" customHeight="false" outlineLevel="0" collapsed="false">
      <c r="B21" s="405" t="n">
        <f aca="false">'Revenues &amp; Expenses'!K21</f>
        <v>36951</v>
      </c>
      <c r="C21" s="377" t="n">
        <f aca="false">'Fuel Curve'!F21</f>
        <v>5.02620689655173</v>
      </c>
      <c r="D21" s="422" t="n">
        <f aca="false">'Fuel Curve'!D21</f>
        <v>0.27</v>
      </c>
      <c r="E21" s="407" t="n">
        <f aca="false">VLOOKUP(B21,'PJM Curve Simulation'!$B$9:$F$258,4)</f>
        <v>0.067425631572931</v>
      </c>
      <c r="F21" s="376" t="n">
        <f aca="false">VLOOKUP(B21,'PJM Curve Simulation'!$B$9:$F$258,5)</f>
        <v>0.928938749434895</v>
      </c>
      <c r="G21" s="376" t="n">
        <f aca="false">(B21-$B$1)/365.25</f>
        <v>0.991101984941821</v>
      </c>
      <c r="H21" s="376" t="n">
        <f aca="false">SQRT(G21)</f>
        <v>0.995541051359421</v>
      </c>
      <c r="I21" s="376" t="n">
        <f aca="false">IF($I$2=0,0,-(D21^2)/2)</f>
        <v>0</v>
      </c>
      <c r="J21" s="421" t="n">
        <f aca="false">IF(K10=1,C21,EXP(I21*G21+D21*$I$2*H21)*C21)</f>
        <v>5.02620689655173</v>
      </c>
    </row>
    <row r="22" customFormat="false" ht="15.75" hidden="false" customHeight="false" outlineLevel="0" collapsed="false">
      <c r="B22" s="405" t="n">
        <f aca="false">'Revenues &amp; Expenses'!K22</f>
        <v>36982</v>
      </c>
      <c r="C22" s="377" t="n">
        <f aca="false">'Fuel Curve'!F22</f>
        <v>4.87775862068966</v>
      </c>
      <c r="D22" s="422" t="n">
        <f aca="false">'Fuel Curve'!D22</f>
        <v>0.266</v>
      </c>
      <c r="E22" s="407" t="n">
        <f aca="false">VLOOKUP(B22,'PJM Curve Simulation'!$B$9:$F$258,4)</f>
        <v>0.067843658533167</v>
      </c>
      <c r="F22" s="376" t="n">
        <f aca="false">VLOOKUP(B22,'PJM Curve Simulation'!$B$9:$F$258,5)</f>
        <v>0.923278320771271</v>
      </c>
      <c r="G22" s="376" t="n">
        <f aca="false">(B22-$B$1)/365.25</f>
        <v>1.07597535934292</v>
      </c>
      <c r="H22" s="376" t="n">
        <f aca="false">SQRT(G22)</f>
        <v>1.03729232106621</v>
      </c>
      <c r="I22" s="376" t="n">
        <f aca="false">IF($I$2=0,0,-(D22^2)/2)</f>
        <v>0</v>
      </c>
      <c r="J22" s="421" t="n">
        <f aca="false">IF(K11=1,C22,EXP(I22*G22+D22*$I$2*H22)*C22)</f>
        <v>4.87775862068966</v>
      </c>
    </row>
    <row r="23" customFormat="false" ht="15.75" hidden="false" customHeight="false" outlineLevel="0" collapsed="false">
      <c r="B23" s="405" t="n">
        <f aca="false">'Revenues &amp; Expenses'!K23</f>
        <v>37012</v>
      </c>
      <c r="C23" s="377" t="n">
        <f aca="false">'Fuel Curve'!F23</f>
        <v>4.76551724137931</v>
      </c>
      <c r="D23" s="422" t="n">
        <f aca="false">'Fuel Curve'!D23</f>
        <v>0.261</v>
      </c>
      <c r="E23" s="407" t="n">
        <f aca="false">VLOOKUP(B23,'PJM Curve Simulation'!$B$9:$F$258,4)</f>
        <v>0.068169636069557</v>
      </c>
      <c r="F23" s="376" t="n">
        <f aca="false">VLOOKUP(B23,'PJM Curve Simulation'!$B$9:$F$258,5)</f>
        <v>0.917862595226578</v>
      </c>
      <c r="G23" s="376" t="n">
        <f aca="false">(B23-$B$1)/365.25</f>
        <v>1.15811088295688</v>
      </c>
      <c r="H23" s="376" t="n">
        <f aca="false">SQRT(G23)</f>
        <v>1.07615560350578</v>
      </c>
      <c r="I23" s="376" t="n">
        <f aca="false">IF($I$2=0,0,-(D23^2)/2)</f>
        <v>0</v>
      </c>
      <c r="J23" s="421" t="n">
        <f aca="false">IF(K12=1,C23,EXP(I23*G23+D23*$I$2*H23)*C23)</f>
        <v>4.76551724137931</v>
      </c>
    </row>
    <row r="24" customFormat="false" ht="15.75" hidden="false" customHeight="false" outlineLevel="0" collapsed="false">
      <c r="B24" s="405" t="n">
        <f aca="false">'Revenues &amp; Expenses'!K24</f>
        <v>37043</v>
      </c>
      <c r="C24" s="377" t="n">
        <f aca="false">'Fuel Curve'!F24</f>
        <v>4.72206896551724</v>
      </c>
      <c r="D24" s="422" t="n">
        <f aca="false">'Fuel Curve'!D24</f>
        <v>0.258</v>
      </c>
      <c r="E24" s="407" t="n">
        <f aca="false">VLOOKUP(B24,'PJM Curve Simulation'!$B$9:$F$258,4)</f>
        <v>0.068506479560772</v>
      </c>
      <c r="F24" s="376" t="n">
        <f aca="false">VLOOKUP(B24,'PJM Curve Simulation'!$B$9:$F$258,5)</f>
        <v>0.912250148425762</v>
      </c>
      <c r="G24" s="376" t="n">
        <f aca="false">(B24-$B$1)/365.25</f>
        <v>1.24298425735797</v>
      </c>
      <c r="H24" s="376" t="n">
        <f aca="false">SQRT(G24)</f>
        <v>1.11489203843151</v>
      </c>
      <c r="I24" s="376" t="n">
        <f aca="false">IF($I$2=0,0,-(D24^2)/2)</f>
        <v>0</v>
      </c>
      <c r="J24" s="421" t="n">
        <f aca="false">IF(K13=1,C24,EXP(I24*G24+D24*$I$2*H24)*C24)</f>
        <v>4.72206896551724</v>
      </c>
    </row>
    <row r="25" customFormat="false" ht="15.75" hidden="false" customHeight="false" outlineLevel="0" collapsed="false">
      <c r="B25" s="405" t="n">
        <f aca="false">'Revenues &amp; Expenses'!K25</f>
        <v>37073</v>
      </c>
      <c r="C25" s="377" t="n">
        <f aca="false">'Fuel Curve'!F25</f>
        <v>4.74672413793104</v>
      </c>
      <c r="D25" s="422" t="n">
        <f aca="false">'Fuel Curve'!D25</f>
        <v>0.254</v>
      </c>
      <c r="E25" s="407" t="n">
        <f aca="false">VLOOKUP(B25,'PJM Curve Simulation'!$B$9:$F$258,4)</f>
        <v>0.068813575700041</v>
      </c>
      <c r="F25" s="376" t="n">
        <f aca="false">VLOOKUP(B25,'PJM Curve Simulation'!$B$9:$F$258,5)</f>
        <v>0.906827682607942</v>
      </c>
      <c r="G25" s="376" t="n">
        <f aca="false">(B25-$B$1)/365.25</f>
        <v>1.32511978097194</v>
      </c>
      <c r="H25" s="376" t="n">
        <f aca="false">SQRT(G25)</f>
        <v>1.15113847167573</v>
      </c>
      <c r="I25" s="376" t="n">
        <f aca="false">IF($I$2=0,0,-(D25^2)/2)</f>
        <v>0</v>
      </c>
      <c r="J25" s="421" t="n">
        <f aca="false">IF(K14=1,C25,EXP(I25*G25+D25*$I$2*H25)*C25)</f>
        <v>4.74672413793104</v>
      </c>
    </row>
    <row r="26" customFormat="false" ht="15.75" hidden="false" customHeight="false" outlineLevel="0" collapsed="false">
      <c r="B26" s="405" t="n">
        <f aca="false">'Revenues &amp; Expenses'!K26</f>
        <v>37104</v>
      </c>
      <c r="C26" s="377" t="n">
        <f aca="false">'Fuel Curve'!F26</f>
        <v>4.80758620689655</v>
      </c>
      <c r="D26" s="422" t="n">
        <f aca="false">'Fuel Curve'!D26</f>
        <v>0.25</v>
      </c>
      <c r="E26" s="407" t="n">
        <f aca="false">VLOOKUP(B26,'PJM Curve Simulation'!$B$9:$F$258,4)</f>
        <v>0.069095201423199</v>
      </c>
      <c r="F26" s="376" t="n">
        <f aca="false">VLOOKUP(B26,'PJM Curve Simulation'!$B$9:$F$258,5)</f>
        <v>0.901259818314328</v>
      </c>
      <c r="G26" s="376" t="n">
        <f aca="false">(B26-$B$1)/365.25</f>
        <v>1.40999315537303</v>
      </c>
      <c r="H26" s="376" t="n">
        <f aca="false">SQRT(G26)</f>
        <v>1.18743132659242</v>
      </c>
      <c r="I26" s="376" t="n">
        <f aca="false">IF($I$2=0,0,-(D26^2)/2)</f>
        <v>0</v>
      </c>
      <c r="J26" s="421" t="n">
        <f aca="false">IF(K15=1,C26,EXP(I26*G26+D26*$I$2*H26)*C26)</f>
        <v>4.80758620689655</v>
      </c>
    </row>
    <row r="27" customFormat="false" ht="15.75" hidden="false" customHeight="false" outlineLevel="0" collapsed="false">
      <c r="B27" s="405" t="n">
        <f aca="false">'Revenues &amp; Expenses'!K27</f>
        <v>37135</v>
      </c>
      <c r="C27" s="377" t="n">
        <f aca="false">'Fuel Curve'!F27</f>
        <v>4.87706896551724</v>
      </c>
      <c r="D27" s="422" t="n">
        <f aca="false">'Fuel Curve'!D27</f>
        <v>0.248</v>
      </c>
      <c r="E27" s="407" t="n">
        <f aca="false">VLOOKUP(B27,'PJM Curve Simulation'!$B$9:$F$258,4)</f>
        <v>0.069376827172596</v>
      </c>
      <c r="F27" s="376" t="n">
        <f aca="false">VLOOKUP(B27,'PJM Curve Simulation'!$B$9:$F$258,5)</f>
        <v>0.895684801765886</v>
      </c>
      <c r="G27" s="376" t="n">
        <f aca="false">(B27-$B$1)/365.25</f>
        <v>1.49486652977413</v>
      </c>
      <c r="H27" s="376" t="n">
        <f aca="false">SQRT(G27)</f>
        <v>1.2226473448113</v>
      </c>
      <c r="I27" s="376" t="n">
        <f aca="false">IF($I$2=0,0,-(D27^2)/2)</f>
        <v>0</v>
      </c>
      <c r="J27" s="421" t="n">
        <f aca="false">IF(K16=1,C27,EXP(I27*G27+D27*$I$2*H27)*C27)</f>
        <v>4.87706896551724</v>
      </c>
    </row>
    <row r="28" customFormat="false" ht="15.75" hidden="false" customHeight="false" outlineLevel="0" collapsed="false">
      <c r="B28" s="405" t="n">
        <f aca="false">'Revenues &amp; Expenses'!K28</f>
        <v>37165</v>
      </c>
      <c r="C28" s="377" t="n">
        <f aca="false">'Fuel Curve'!F28</f>
        <v>4.94362068965517</v>
      </c>
      <c r="D28" s="422" t="n">
        <f aca="false">'Fuel Curve'!D28</f>
        <v>0.246</v>
      </c>
      <c r="E28" s="407" t="n">
        <f aca="false">VLOOKUP(B28,'PJM Curve Simulation'!$B$9:$F$258,4)</f>
        <v>0.069627293262601</v>
      </c>
      <c r="F28" s="376" t="n">
        <f aca="false">VLOOKUP(B28,'PJM Curve Simulation'!$B$9:$F$258,5)</f>
        <v>0.890315585730075</v>
      </c>
      <c r="G28" s="376" t="n">
        <f aca="false">(B28-$B$1)/365.25</f>
        <v>1.57700205338809</v>
      </c>
      <c r="H28" s="376" t="n">
        <f aca="false">SQRT(G28)</f>
        <v>1.25578742364625</v>
      </c>
      <c r="I28" s="376" t="n">
        <f aca="false">IF($I$2=0,0,-(D28^2)/2)</f>
        <v>0</v>
      </c>
      <c r="J28" s="421" t="n">
        <f aca="false">IF(K17=1,C28,EXP(I28*G28+D28*$I$2*H28)*C28)</f>
        <v>4.94362068965517</v>
      </c>
    </row>
    <row r="29" customFormat="false" ht="15.75" hidden="false" customHeight="false" outlineLevel="0" collapsed="false">
      <c r="B29" s="405" t="n">
        <f aca="false">'Revenues &amp; Expenses'!K29</f>
        <v>37196</v>
      </c>
      <c r="C29" s="377" t="n">
        <f aca="false">'Fuel Curve'!F29</f>
        <v>5.00603448275862</v>
      </c>
      <c r="D29" s="422" t="n">
        <f aca="false">'Fuel Curve'!D29</f>
        <v>0.242</v>
      </c>
      <c r="E29" s="407" t="n">
        <f aca="false">VLOOKUP(B29,'PJM Curve Simulation'!$B$9:$F$258,4)</f>
        <v>0.069849822771288</v>
      </c>
      <c r="F29" s="376" t="n">
        <f aca="false">VLOOKUP(B29,'PJM Curve Simulation'!$B$9:$F$258,5)</f>
        <v>0.88481958609446</v>
      </c>
      <c r="G29" s="376" t="n">
        <f aca="false">(B29-$B$1)/365.25</f>
        <v>1.66187542778919</v>
      </c>
      <c r="H29" s="376" t="n">
        <f aca="false">SQRT(G29)</f>
        <v>1.28913747435608</v>
      </c>
      <c r="I29" s="376" t="n">
        <f aca="false">IF($I$2=0,0,-(D29^2)/2)</f>
        <v>0</v>
      </c>
      <c r="J29" s="421" t="n">
        <f aca="false">IF(K18=1,C29,EXP(I29*G29+D29*$I$2*H29)*C29)</f>
        <v>5.00603448275862</v>
      </c>
    </row>
    <row r="30" customFormat="false" ht="15.75" hidden="false" customHeight="false" outlineLevel="0" collapsed="false">
      <c r="B30" s="405" t="n">
        <f aca="false">'Revenues &amp; Expenses'!K30</f>
        <v>37226</v>
      </c>
      <c r="C30" s="377" t="n">
        <f aca="false">'Fuel Curve'!F30</f>
        <v>5.02844827586207</v>
      </c>
      <c r="D30" s="422" t="n">
        <f aca="false">'Fuel Curve'!D30</f>
        <v>0.24</v>
      </c>
      <c r="E30" s="407" t="n">
        <f aca="false">VLOOKUP(B30,'PJM Curve Simulation'!$B$9:$F$258,4)</f>
        <v>0.07006517392432</v>
      </c>
      <c r="F30" s="376" t="n">
        <f aca="false">VLOOKUP(B30,'PJM Curve Simulation'!$B$9:$F$258,5)</f>
        <v>0.879502651784524</v>
      </c>
      <c r="G30" s="376" t="n">
        <f aca="false">(B30-$B$1)/365.25</f>
        <v>1.74401095140315</v>
      </c>
      <c r="H30" s="376" t="n">
        <f aca="false">SQRT(G30)</f>
        <v>1.32061006788649</v>
      </c>
      <c r="I30" s="376" t="n">
        <f aca="false">IF($I$2=0,0,-(D30^2)/2)</f>
        <v>0</v>
      </c>
      <c r="J30" s="421" t="n">
        <f aca="false">IF(K19=1,C30,EXP(I30*G30+D30*$I$2*H30)*C30)</f>
        <v>5.02844827586207</v>
      </c>
    </row>
    <row r="31" customFormat="false" ht="15.75" hidden="false" customHeight="false" outlineLevel="0" collapsed="false">
      <c r="B31" s="405" t="n">
        <f aca="false">'Revenues &amp; Expenses'!K31</f>
        <v>37257</v>
      </c>
      <c r="C31" s="377" t="n">
        <f aca="false">'Fuel Curve'!F31</f>
        <v>4.9798275862069</v>
      </c>
      <c r="D31" s="422" t="n">
        <f aca="false">'Fuel Curve'!D31</f>
        <v>0.237</v>
      </c>
      <c r="E31" s="407" t="n">
        <f aca="false">VLOOKUP(B31,'PJM Curve Simulation'!$B$9:$F$258,4)</f>
        <v>0.070276460298628</v>
      </c>
      <c r="F31" s="376" t="n">
        <f aca="false">VLOOKUP(B31,'PJM Curve Simulation'!$B$9:$F$258,5)</f>
        <v>0.874029208424058</v>
      </c>
      <c r="G31" s="376" t="n">
        <f aca="false">(B31-$B$1)/365.25</f>
        <v>1.82888432580424</v>
      </c>
      <c r="H31" s="376" t="n">
        <f aca="false">SQRT(G31)</f>
        <v>1.35236249792881</v>
      </c>
      <c r="I31" s="376" t="n">
        <f aca="false">IF($I$2=0,0,-(D31^2)/2)</f>
        <v>0</v>
      </c>
      <c r="J31" s="421" t="n">
        <f aca="false">IF(K20=1,C31,EXP(I31*G31+D31*$I$2*H31)*C31)</f>
        <v>4.9798275862069</v>
      </c>
    </row>
    <row r="32" customFormat="false" ht="15.75" hidden="false" customHeight="false" outlineLevel="0" collapsed="false">
      <c r="B32" s="405" t="n">
        <f aca="false">'Revenues &amp; Expenses'!K32</f>
        <v>37288</v>
      </c>
      <c r="C32" s="377" t="n">
        <f aca="false">'Fuel Curve'!F32</f>
        <v>4.86258620689655</v>
      </c>
      <c r="D32" s="422" t="n">
        <f aca="false">'Fuel Curve'!D32</f>
        <v>0.234</v>
      </c>
      <c r="E32" s="407" t="n">
        <f aca="false">VLOOKUP(B32,'PJM Curve Simulation'!$B$9:$F$258,4)</f>
        <v>0.07047217922523</v>
      </c>
      <c r="F32" s="376" t="n">
        <f aca="false">VLOOKUP(B32,'PJM Curve Simulation'!$B$9:$F$258,5)</f>
        <v>0.868586338670144</v>
      </c>
      <c r="G32" s="376" t="n">
        <f aca="false">(B32-$B$1)/365.25</f>
        <v>1.91375770020534</v>
      </c>
      <c r="H32" s="376" t="n">
        <f aca="false">SQRT(G32)</f>
        <v>1.38338631632865</v>
      </c>
      <c r="I32" s="376" t="n">
        <f aca="false">IF($I$2=0,0,-(D32^2)/2)</f>
        <v>0</v>
      </c>
      <c r="J32" s="421" t="n">
        <f aca="false">IF(K21=1,C32,EXP(I32*G32+D32*$I$2*H32)*C32)</f>
        <v>4.86258620689655</v>
      </c>
    </row>
    <row r="33" customFormat="false" ht="15.75" hidden="false" customHeight="false" outlineLevel="0" collapsed="false">
      <c r="B33" s="405" t="n">
        <f aca="false">'Revenues &amp; Expenses'!K33</f>
        <v>37316</v>
      </c>
      <c r="C33" s="377" t="n">
        <f aca="false">'Fuel Curve'!F33</f>
        <v>4.74810344827586</v>
      </c>
      <c r="D33" s="422" t="n">
        <f aca="false">'Fuel Curve'!D33</f>
        <v>0.233</v>
      </c>
      <c r="E33" s="407" t="n">
        <f aca="false">VLOOKUP(B33,'PJM Curve Simulation'!$B$9:$F$258,4)</f>
        <v>0.070648957621433</v>
      </c>
      <c r="F33" s="376" t="n">
        <f aca="false">VLOOKUP(B33,'PJM Curve Simulation'!$B$9:$F$258,5)</f>
        <v>0.863675540420815</v>
      </c>
      <c r="G33" s="376" t="n">
        <f aca="false">(B33-$B$1)/365.25</f>
        <v>1.99041752224504</v>
      </c>
      <c r="H33" s="376" t="n">
        <f aca="false">SQRT(G33)</f>
        <v>1.41082157704121</v>
      </c>
      <c r="I33" s="376" t="n">
        <f aca="false">IF($I$2=0,0,-(D33^2)/2)</f>
        <v>0</v>
      </c>
      <c r="J33" s="421" t="n">
        <f aca="false">IF(K22=1,C33,EXP(I33*G33+D33*$I$2*H33)*C33)</f>
        <v>4.74810344827586</v>
      </c>
    </row>
    <row r="34" customFormat="false" ht="15.75" hidden="false" customHeight="false" outlineLevel="0" collapsed="false">
      <c r="B34" s="405" t="n">
        <f aca="false">'Revenues &amp; Expenses'!K34</f>
        <v>37347</v>
      </c>
      <c r="C34" s="377" t="n">
        <f aca="false">'Fuel Curve'!F34</f>
        <v>4.6351724137931</v>
      </c>
      <c r="D34" s="422" t="n">
        <f aca="false">'Fuel Curve'!D34</f>
        <v>0.231</v>
      </c>
      <c r="E34" s="407" t="n">
        <f aca="false">VLOOKUP(B34,'PJM Curve Simulation'!$B$9:$F$258,4)</f>
        <v>0.070820178359482</v>
      </c>
      <c r="F34" s="376" t="n">
        <f aca="false">VLOOKUP(B34,'PJM Curve Simulation'!$B$9:$F$258,5)</f>
        <v>0.85828937638612</v>
      </c>
      <c r="G34" s="376" t="n">
        <f aca="false">(B34-$B$1)/365.25</f>
        <v>2.07529089664613</v>
      </c>
      <c r="H34" s="376" t="n">
        <f aca="false">SQRT(G34)</f>
        <v>1.44058699725013</v>
      </c>
      <c r="I34" s="376" t="n">
        <f aca="false">IF($I$2=0,0,-(D34^2)/2)</f>
        <v>0</v>
      </c>
      <c r="J34" s="421" t="n">
        <f aca="false">IF(K23=1,C34,EXP(I34*G34+D34*$I$2*H34)*C34)</f>
        <v>4.6351724137931</v>
      </c>
    </row>
    <row r="35" customFormat="false" ht="15.75" hidden="false" customHeight="false" outlineLevel="0" collapsed="false">
      <c r="B35" s="405" t="n">
        <f aca="false">'Revenues &amp; Expenses'!K35</f>
        <v>37377</v>
      </c>
      <c r="C35" s="377" t="n">
        <f aca="false">'Fuel Curve'!F35</f>
        <v>4.55258620689655</v>
      </c>
      <c r="D35" s="422" t="n">
        <f aca="false">'Fuel Curve'!D35</f>
        <v>0.23</v>
      </c>
      <c r="E35" s="407" t="n">
        <f aca="false">VLOOKUP(B35,'PJM Curve Simulation'!$B$9:$F$258,4)</f>
        <v>0.070949708337774</v>
      </c>
      <c r="F35" s="376" t="n">
        <f aca="false">VLOOKUP(B35,'PJM Curve Simulation'!$B$9:$F$258,5)</f>
        <v>0.853154044119824</v>
      </c>
      <c r="G35" s="376" t="n">
        <f aca="false">(B35-$B$1)/365.25</f>
        <v>2.1574264202601</v>
      </c>
      <c r="H35" s="376" t="n">
        <f aca="false">SQRT(G35)</f>
        <v>1.46881803510853</v>
      </c>
      <c r="I35" s="376" t="n">
        <f aca="false">IF($I$2=0,0,-(D35^2)/2)</f>
        <v>0</v>
      </c>
      <c r="J35" s="421" t="n">
        <f aca="false">IF(K24=1,C35,EXP(I35*G35+D35*$I$2*H35)*C35)</f>
        <v>4.55258620689655</v>
      </c>
    </row>
    <row r="36" customFormat="false" ht="15.75" hidden="false" customHeight="false" outlineLevel="0" collapsed="false">
      <c r="B36" s="405" t="n">
        <f aca="false">'Revenues &amp; Expenses'!K36</f>
        <v>37408</v>
      </c>
      <c r="C36" s="377" t="n">
        <f aca="false">'Fuel Curve'!F36</f>
        <v>4.53172413793104</v>
      </c>
      <c r="D36" s="422" t="n">
        <f aca="false">'Fuel Curve'!D36</f>
        <v>0.227</v>
      </c>
      <c r="E36" s="407" t="n">
        <f aca="false">VLOOKUP(B36,'PJM Curve Simulation'!$B$9:$F$258,4)</f>
        <v>0.071083555987836</v>
      </c>
      <c r="F36" s="376" t="n">
        <f aca="false">VLOOKUP(B36,'PJM Curve Simulation'!$B$9:$F$258,5)</f>
        <v>0.847861523253344</v>
      </c>
      <c r="G36" s="376" t="n">
        <f aca="false">(B36-$B$1)/365.25</f>
        <v>2.24229979466119</v>
      </c>
      <c r="H36" s="376" t="n">
        <f aca="false">SQRT(G36)</f>
        <v>1.49743106507819</v>
      </c>
      <c r="I36" s="376" t="n">
        <f aca="false">IF($I$2=0,0,-(D36^2)/2)</f>
        <v>0</v>
      </c>
      <c r="J36" s="421" t="n">
        <f aca="false">IF(K25=1,C36,EXP(I36*G36+D36*$I$2*H36)*C36)</f>
        <v>4.53172413793104</v>
      </c>
    </row>
    <row r="37" customFormat="false" ht="15.75" hidden="false" customHeight="false" outlineLevel="0" collapsed="false">
      <c r="B37" s="405" t="n">
        <f aca="false">'Revenues &amp; Expenses'!K37</f>
        <v>37438</v>
      </c>
      <c r="C37" s="377" t="n">
        <f aca="false">'Fuel Curve'!F37</f>
        <v>4.57293103448276</v>
      </c>
      <c r="D37" s="422" t="n">
        <f aca="false">'Fuel Curve'!D37</f>
        <v>0.225</v>
      </c>
      <c r="E37" s="407" t="n">
        <f aca="false">VLOOKUP(B37,'PJM Curve Simulation'!$B$9:$F$258,4)</f>
        <v>0.071203412357002</v>
      </c>
      <c r="F37" s="376" t="n">
        <f aca="false">VLOOKUP(B37,'PJM Curve Simulation'!$B$9:$F$258,5)</f>
        <v>0.84277264871996</v>
      </c>
      <c r="G37" s="376" t="n">
        <f aca="false">(B37-$B$1)/365.25</f>
        <v>2.32443531827515</v>
      </c>
      <c r="H37" s="376" t="n">
        <f aca="false">SQRT(G37)</f>
        <v>1.52460989052123</v>
      </c>
      <c r="I37" s="376" t="n">
        <f aca="false">IF($I$2=0,0,-(D37^2)/2)</f>
        <v>0</v>
      </c>
      <c r="J37" s="421" t="n">
        <f aca="false">IF(K26=1,C37,EXP(I37*G37+D37*$I$2*H37)*C37)</f>
        <v>4.57293103448276</v>
      </c>
    </row>
    <row r="38" customFormat="false" ht="15.75" hidden="false" customHeight="false" outlineLevel="0" collapsed="false">
      <c r="B38" s="405" t="n">
        <f aca="false">'Revenues &amp; Expenses'!K38</f>
        <v>37469</v>
      </c>
      <c r="C38" s="377" t="n">
        <f aca="false">'Fuel Curve'!F38</f>
        <v>4.64672413793103</v>
      </c>
      <c r="D38" s="422" t="n">
        <f aca="false">'Fuel Curve'!D38</f>
        <v>0.222</v>
      </c>
      <c r="E38" s="407" t="n">
        <f aca="false">VLOOKUP(B38,'PJM Curve Simulation'!$B$9:$F$258,4)</f>
        <v>0.071311312147306</v>
      </c>
      <c r="F38" s="376" t="n">
        <f aca="false">VLOOKUP(B38,'PJM Curve Simulation'!$B$9:$F$258,5)</f>
        <v>0.837562151534639</v>
      </c>
      <c r="G38" s="376" t="n">
        <f aca="false">(B38-$B$1)/365.25</f>
        <v>2.40930869267625</v>
      </c>
      <c r="H38" s="376" t="n">
        <f aca="false">SQRT(G38)</f>
        <v>1.55219479855985</v>
      </c>
      <c r="I38" s="376" t="n">
        <f aca="false">IF($I$2=0,0,-(D38^2)/2)</f>
        <v>0</v>
      </c>
      <c r="J38" s="421" t="n">
        <f aca="false">IF(K27=1,C38,EXP(I38*G38+D38*$I$2*H38)*C38)</f>
        <v>4.64672413793103</v>
      </c>
    </row>
    <row r="39" customFormat="false" ht="15.75" hidden="false" customHeight="false" outlineLevel="0" collapsed="false">
      <c r="B39" s="405" t="n">
        <f aca="false">'Revenues &amp; Expenses'!K39</f>
        <v>37500</v>
      </c>
      <c r="C39" s="377" t="n">
        <f aca="false">'Fuel Curve'!F39</f>
        <v>4.72724137931035</v>
      </c>
      <c r="D39" s="422" t="n">
        <f aca="false">'Fuel Curve'!D39</f>
        <v>0.221</v>
      </c>
      <c r="E39" s="407" t="n">
        <f aca="false">VLOOKUP(B39,'PJM Curve Simulation'!$B$9:$F$258,4)</f>
        <v>0.071419211941457</v>
      </c>
      <c r="F39" s="376" t="n">
        <f aca="false">VLOOKUP(B39,'PJM Curve Simulation'!$B$9:$F$258,5)</f>
        <v>0.832369159376618</v>
      </c>
      <c r="G39" s="376" t="n">
        <f aca="false">(B39-$B$1)/365.25</f>
        <v>2.49418206707734</v>
      </c>
      <c r="H39" s="376" t="n">
        <f aca="false">SQRT(G39)</f>
        <v>1.57929796652733</v>
      </c>
      <c r="I39" s="376" t="n">
        <f aca="false">IF($I$2=0,0,-(D39^2)/2)</f>
        <v>0</v>
      </c>
      <c r="J39" s="421" t="n">
        <f aca="false">IF(K28=1,C39,EXP(I39*G39+D39*$I$2*H39)*C39)</f>
        <v>4.72724137931035</v>
      </c>
    </row>
    <row r="40" customFormat="false" ht="15.75" hidden="false" customHeight="false" outlineLevel="0" collapsed="false">
      <c r="B40" s="405" t="n">
        <f aca="false">'Revenues &amp; Expenses'!K40</f>
        <v>37530</v>
      </c>
      <c r="C40" s="377" t="n">
        <f aca="false">'Fuel Curve'!F40</f>
        <v>4.80396551724138</v>
      </c>
      <c r="D40" s="422" t="n">
        <f aca="false">'Fuel Curve'!D40</f>
        <v>0.219</v>
      </c>
      <c r="E40" s="407" t="n">
        <f aca="false">VLOOKUP(B40,'PJM Curve Simulation'!$B$9:$F$258,4)</f>
        <v>0.071515306365121</v>
      </c>
      <c r="F40" s="376" t="n">
        <f aca="false">VLOOKUP(B40,'PJM Curve Simulation'!$B$9:$F$258,5)</f>
        <v>0.82737835456572</v>
      </c>
      <c r="G40" s="376" t="n">
        <f aca="false">(B40-$B$1)/365.25</f>
        <v>2.57631759069131</v>
      </c>
      <c r="H40" s="376" t="n">
        <f aca="false">SQRT(G40)</f>
        <v>1.60509114715997</v>
      </c>
      <c r="I40" s="376" t="n">
        <f aca="false">IF($I$2=0,0,-(D40^2)/2)</f>
        <v>0</v>
      </c>
      <c r="J40" s="421" t="n">
        <f aca="false">IF(K29=1,C40,EXP(I40*G40+D40*$I$2*H40)*C40)</f>
        <v>4.80396551724138</v>
      </c>
    </row>
    <row r="41" customFormat="false" ht="15.75" hidden="false" customHeight="false" outlineLevel="0" collapsed="false">
      <c r="B41" s="405" t="n">
        <f aca="false">'Revenues &amp; Expenses'!K41</f>
        <v>37561</v>
      </c>
      <c r="C41" s="377" t="n">
        <f aca="false">'Fuel Curve'!F41</f>
        <v>4.87844827586207</v>
      </c>
      <c r="D41" s="422" t="n">
        <f aca="false">'Fuel Curve'!D41</f>
        <v>0.218</v>
      </c>
      <c r="E41" s="407" t="n">
        <f aca="false">VLOOKUP(B41,'PJM Curve Simulation'!$B$9:$F$258,4)</f>
        <v>0.071602640768726</v>
      </c>
      <c r="F41" s="376" t="n">
        <f aca="false">VLOOKUP(B41,'PJM Curve Simulation'!$B$9:$F$258,5)</f>
        <v>0.822265886347907</v>
      </c>
      <c r="G41" s="376" t="n">
        <f aca="false">(B41-$B$1)/365.25</f>
        <v>2.6611909650924</v>
      </c>
      <c r="H41" s="376" t="n">
        <f aca="false">SQRT(G41)</f>
        <v>1.631315715946</v>
      </c>
      <c r="I41" s="376" t="n">
        <f aca="false">IF($I$2=0,0,-(D41^2)/2)</f>
        <v>0</v>
      </c>
      <c r="J41" s="421" t="n">
        <f aca="false">IF(K30=1,C41,EXP(I41*G41+D41*$I$2*H41)*C41)</f>
        <v>4.87844827586207</v>
      </c>
    </row>
    <row r="42" customFormat="false" ht="15.75" hidden="false" customHeight="false" outlineLevel="0" collapsed="false">
      <c r="B42" s="405" t="n">
        <f aca="false">'Revenues &amp; Expenses'!K42</f>
        <v>37591</v>
      </c>
      <c r="C42" s="377" t="n">
        <f aca="false">'Fuel Curve'!F42</f>
        <v>4.90965517241379</v>
      </c>
      <c r="D42" s="422" t="n">
        <f aca="false">'Fuel Curve'!D42</f>
        <v>0.216</v>
      </c>
      <c r="E42" s="407" t="n">
        <f aca="false">VLOOKUP(B42,'PJM Curve Simulation'!$B$9:$F$258,4)</f>
        <v>0.071687157935905</v>
      </c>
      <c r="F42" s="376" t="n">
        <f aca="false">VLOOKUP(B42,'PJM Curve Simulation'!$B$9:$F$258,5)</f>
        <v>0.817337286416049</v>
      </c>
      <c r="G42" s="376" t="n">
        <f aca="false">(B42-$B$1)/365.25</f>
        <v>2.74332648870637</v>
      </c>
      <c r="H42" s="376" t="n">
        <f aca="false">SQRT(G42)</f>
        <v>1.65629903360063</v>
      </c>
      <c r="I42" s="376" t="n">
        <f aca="false">IF($I$2=0,0,-(D42^2)/2)</f>
        <v>0</v>
      </c>
      <c r="J42" s="421" t="n">
        <f aca="false">IF(K31=1,C42,EXP(I42*G42+D42*$I$2*H42)*C42)</f>
        <v>4.90965517241379</v>
      </c>
    </row>
    <row r="43" customFormat="false" ht="15.75" hidden="false" customHeight="false" outlineLevel="0" collapsed="false">
      <c r="B43" s="405" t="n">
        <f aca="false">'Revenues &amp; Expenses'!K43</f>
        <v>37622</v>
      </c>
      <c r="C43" s="377" t="n">
        <f aca="false">'Fuel Curve'!F43</f>
        <v>4.84155172413793</v>
      </c>
      <c r="D43" s="422" t="n">
        <f aca="false">'Fuel Curve'!D43</f>
        <v>0.215</v>
      </c>
      <c r="E43" s="407" t="n">
        <f aca="false">VLOOKUP(B43,'PJM Curve Simulation'!$B$9:$F$258,4)</f>
        <v>0.071774577695173</v>
      </c>
      <c r="F43" s="376" t="n">
        <f aca="false">VLOOKUP(B43,'PJM Curve Simulation'!$B$9:$F$258,5)</f>
        <v>0.812263806199084</v>
      </c>
      <c r="G43" s="376" t="n">
        <f aca="false">(B43-$B$1)/365.25</f>
        <v>2.82819986310746</v>
      </c>
      <c r="H43" s="376" t="n">
        <f aca="false">SQRT(G43)</f>
        <v>1.68172526386074</v>
      </c>
      <c r="I43" s="376" t="n">
        <f aca="false">IF($I$2=0,0,-(D43^2)/2)</f>
        <v>0</v>
      </c>
      <c r="J43" s="421" t="n">
        <f aca="false">IF(K32=1,C43,EXP(I43*G43+D43*$I$2*H43)*C43)</f>
        <v>4.84155172413793</v>
      </c>
    </row>
    <row r="44" customFormat="false" ht="15.75" hidden="false" customHeight="false" outlineLevel="0" collapsed="false">
      <c r="B44" s="405" t="n">
        <f aca="false">'Revenues &amp; Expenses'!K44</f>
        <v>37653</v>
      </c>
      <c r="C44" s="377" t="n">
        <f aca="false">'Fuel Curve'!F44</f>
        <v>4.73155172413793</v>
      </c>
      <c r="D44" s="422" t="n">
        <f aca="false">'Fuel Curve'!D44</f>
        <v>0.213</v>
      </c>
      <c r="E44" s="407" t="n">
        <f aca="false">VLOOKUP(B44,'PJM Curve Simulation'!$B$9:$F$258,4)</f>
        <v>0.07186210109711</v>
      </c>
      <c r="F44" s="376" t="n">
        <f aca="false">VLOOKUP(B44,'PJM Curve Simulation'!$B$9:$F$258,5)</f>
        <v>0.807210018749089</v>
      </c>
      <c r="G44" s="376" t="n">
        <f aca="false">(B44-$B$1)/365.25</f>
        <v>2.91307323750856</v>
      </c>
      <c r="H44" s="376" t="n">
        <f aca="false">SQRT(G44)</f>
        <v>1.70677275508738</v>
      </c>
      <c r="I44" s="376" t="n">
        <f aca="false">IF($I$2=0,0,-(D44^2)/2)</f>
        <v>0</v>
      </c>
      <c r="J44" s="421" t="n">
        <f aca="false">IF(K33=1,C44,EXP(I44*G44+D44*$I$2*H44)*C44)</f>
        <v>4.73155172413793</v>
      </c>
    </row>
    <row r="45" customFormat="false" ht="15.75" hidden="false" customHeight="false" outlineLevel="0" collapsed="false">
      <c r="B45" s="405" t="n">
        <f aca="false">'Revenues &amp; Expenses'!K45</f>
        <v>37681</v>
      </c>
      <c r="C45" s="377" t="n">
        <f aca="false">'Fuel Curve'!F45</f>
        <v>4.62224137931035</v>
      </c>
      <c r="D45" s="422" t="n">
        <f aca="false">'Fuel Curve'!D45</f>
        <v>0.214</v>
      </c>
      <c r="E45" s="407" t="n">
        <f aca="false">VLOOKUP(B45,'PJM Curve Simulation'!$B$9:$F$258,4)</f>
        <v>0.071941154494584</v>
      </c>
      <c r="F45" s="376" t="n">
        <f aca="false">VLOOKUP(B45,'PJM Curve Simulation'!$B$9:$F$258,5)</f>
        <v>0.802662452765934</v>
      </c>
      <c r="G45" s="376" t="n">
        <f aca="false">(B45-$B$1)/365.25</f>
        <v>2.98973305954825</v>
      </c>
      <c r="H45" s="376" t="n">
        <f aca="false">SQRT(G45)</f>
        <v>1.7290844570316</v>
      </c>
      <c r="I45" s="376" t="n">
        <f aca="false">IF($I$2=0,0,-(D45^2)/2)</f>
        <v>0</v>
      </c>
      <c r="J45" s="421" t="n">
        <f aca="false">IF(K34=1,C45,EXP(I45*G45+D45*$I$2*H45)*C45)</f>
        <v>4.62224137931035</v>
      </c>
    </row>
    <row r="46" customFormat="false" ht="15.75" hidden="false" customHeight="false" outlineLevel="0" collapsed="false">
      <c r="B46" s="405" t="n">
        <f aca="false">'Revenues &amp; Expenses'!K46</f>
        <v>37712</v>
      </c>
      <c r="C46" s="377" t="n">
        <f aca="false">'Fuel Curve'!F46</f>
        <v>4.51137931034483</v>
      </c>
      <c r="D46" s="422" t="n">
        <f aca="false">'Fuel Curve'!D46</f>
        <v>0.212</v>
      </c>
      <c r="E46" s="407" t="n">
        <f aca="false">VLOOKUP(B46,'PJM Curve Simulation'!$B$9:$F$258,4)</f>
        <v>0.072017864961397</v>
      </c>
      <c r="F46" s="376" t="n">
        <f aca="false">VLOOKUP(B46,'PJM Curve Simulation'!$B$9:$F$258,5)</f>
        <v>0.797673248177405</v>
      </c>
      <c r="G46" s="376" t="n">
        <f aca="false">(B46-$B$1)/365.25</f>
        <v>3.07460643394935</v>
      </c>
      <c r="H46" s="376" t="n">
        <f aca="false">SQRT(G46)</f>
        <v>1.75345556942551</v>
      </c>
      <c r="I46" s="376" t="n">
        <f aca="false">IF($I$2=0,0,-(D46^2)/2)</f>
        <v>0</v>
      </c>
      <c r="J46" s="421" t="n">
        <f aca="false">IF(K35=1,C46,EXP(I46*G46+D46*$I$2*H46)*C46)</f>
        <v>4.51137931034483</v>
      </c>
    </row>
    <row r="47" customFormat="false" ht="15.75" hidden="false" customHeight="false" outlineLevel="0" collapsed="false">
      <c r="B47" s="405" t="n">
        <f aca="false">'Revenues &amp; Expenses'!K47</f>
        <v>37742</v>
      </c>
      <c r="C47" s="377" t="n">
        <f aca="false">'Fuel Curve'!F47</f>
        <v>4.43172413793104</v>
      </c>
      <c r="D47" s="422" t="n">
        <f aca="false">'Fuel Curve'!D47</f>
        <v>0.211</v>
      </c>
      <c r="E47" s="407" t="n">
        <f aca="false">VLOOKUP(B47,'PJM Curve Simulation'!$B$9:$F$258,4)</f>
        <v>0.072077719331942</v>
      </c>
      <c r="F47" s="376" t="n">
        <f aca="false">VLOOKUP(B47,'PJM Curve Simulation'!$B$9:$F$258,5)</f>
        <v>0.792901103049877</v>
      </c>
      <c r="G47" s="376" t="n">
        <f aca="false">(B47-$B$1)/365.25</f>
        <v>3.15674195756331</v>
      </c>
      <c r="H47" s="376" t="n">
        <f aca="false">SQRT(G47)</f>
        <v>1.77672225110266</v>
      </c>
      <c r="I47" s="376" t="n">
        <f aca="false">IF($I$2=0,0,-(D47^2)/2)</f>
        <v>0</v>
      </c>
      <c r="J47" s="421" t="n">
        <f aca="false">IF(K36=1,C47,EXP(I47*G47+D47*$I$2*H47)*C47)</f>
        <v>4.43172413793104</v>
      </c>
    </row>
    <row r="48" customFormat="false" ht="15.75" hidden="false" customHeight="false" outlineLevel="0" collapsed="false">
      <c r="B48" s="405" t="n">
        <f aca="false">'Revenues &amp; Expenses'!K48</f>
        <v>37773</v>
      </c>
      <c r="C48" s="377" t="n">
        <f aca="false">'Fuel Curve'!F48</f>
        <v>4.415</v>
      </c>
      <c r="D48" s="422" t="n">
        <f aca="false">'Fuel Curve'!D48</f>
        <v>0.21</v>
      </c>
      <c r="E48" s="407" t="n">
        <f aca="false">VLOOKUP(B48,'PJM Curve Simulation'!$B$9:$F$258,4)</f>
        <v>0.072139568849415</v>
      </c>
      <c r="F48" s="376" t="n">
        <f aca="false">VLOOKUP(B48,'PJM Curve Simulation'!$B$9:$F$258,5)</f>
        <v>0.78799202563956</v>
      </c>
      <c r="G48" s="376" t="n">
        <f aca="false">(B48-$B$1)/365.25</f>
        <v>3.24161533196441</v>
      </c>
      <c r="H48" s="376" t="n">
        <f aca="false">SQRT(G48)</f>
        <v>1.80044864741109</v>
      </c>
      <c r="I48" s="376" t="n">
        <f aca="false">IF($I$2=0,0,-(D48^2)/2)</f>
        <v>0</v>
      </c>
      <c r="J48" s="421" t="n">
        <f aca="false">IF(K37=1,C48,EXP(I48*G48+D48*$I$2*H48)*C48)</f>
        <v>4.415</v>
      </c>
    </row>
    <row r="49" customFormat="false" ht="15.75" hidden="false" customHeight="false" outlineLevel="0" collapsed="false">
      <c r="B49" s="405" t="n">
        <f aca="false">'Revenues &amp; Expenses'!K49</f>
        <v>37803</v>
      </c>
      <c r="C49" s="377" t="n">
        <f aca="false">'Fuel Curve'!F49</f>
        <v>4.46068965517241</v>
      </c>
      <c r="D49" s="422" t="n">
        <f aca="false">'Fuel Curve'!D49</f>
        <v>0.209</v>
      </c>
      <c r="E49" s="407" t="n">
        <f aca="false">VLOOKUP(B49,'PJM Curve Simulation'!$B$9:$F$258,4)</f>
        <v>0.072196593496435</v>
      </c>
      <c r="F49" s="376" t="n">
        <f aca="false">VLOOKUP(B49,'PJM Curve Simulation'!$B$9:$F$258,5)</f>
        <v>0.783270061390786</v>
      </c>
      <c r="G49" s="376" t="n">
        <f aca="false">(B49-$B$1)/365.25</f>
        <v>3.32375085557837</v>
      </c>
      <c r="H49" s="376" t="n">
        <f aca="false">SQRT(G49)</f>
        <v>1.82311569999777</v>
      </c>
      <c r="I49" s="376" t="n">
        <f aca="false">IF($I$2=0,0,-(D49^2)/2)</f>
        <v>0</v>
      </c>
      <c r="J49" s="421" t="n">
        <f aca="false">IF(K38=1,C49,EXP(I49*G49+D49*$I$2*H49)*C49)</f>
        <v>4.46068965517241</v>
      </c>
    </row>
    <row r="50" customFormat="false" ht="15.75" hidden="false" customHeight="false" outlineLevel="0" collapsed="false">
      <c r="B50" s="405" t="n">
        <f aca="false">'Revenues &amp; Expenses'!K50</f>
        <v>37834</v>
      </c>
      <c r="C50" s="377" t="n">
        <f aca="false">'Fuel Curve'!F50</f>
        <v>4.53896551724138</v>
      </c>
      <c r="D50" s="422" t="n">
        <f aca="false">'Fuel Curve'!D50</f>
        <v>0.209</v>
      </c>
      <c r="E50" s="407" t="n">
        <f aca="false">VLOOKUP(B50,'PJM Curve Simulation'!$B$9:$F$258,4)</f>
        <v>0.072251448163748</v>
      </c>
      <c r="F50" s="376" t="n">
        <f aca="false">VLOOKUP(B50,'PJM Curve Simulation'!$B$9:$F$258,5)</f>
        <v>0.778423826491303</v>
      </c>
      <c r="G50" s="376" t="n">
        <f aca="false">(B50-$B$1)/365.25</f>
        <v>3.40862422997947</v>
      </c>
      <c r="H50" s="376" t="n">
        <f aca="false">SQRT(G50)</f>
        <v>1.84624598306387</v>
      </c>
      <c r="I50" s="376" t="n">
        <f aca="false">IF($I$2=0,0,-(D50^2)/2)</f>
        <v>0</v>
      </c>
      <c r="J50" s="421" t="n">
        <f aca="false">IF(K39=1,C50,EXP(I50*G50+D50*$I$2*H50)*C50)</f>
        <v>4.53896551724138</v>
      </c>
    </row>
    <row r="51" customFormat="false" ht="15.75" hidden="false" customHeight="false" outlineLevel="0" collapsed="false">
      <c r="B51" s="405" t="n">
        <f aca="false">'Revenues &amp; Expenses'!K51</f>
        <v>37865</v>
      </c>
      <c r="C51" s="377" t="n">
        <f aca="false">'Fuel Curve'!F51</f>
        <v>4.62362068965517</v>
      </c>
      <c r="D51" s="422" t="n">
        <f aca="false">'Fuel Curve'!D51</f>
        <v>0.208</v>
      </c>
      <c r="E51" s="407" t="n">
        <f aca="false">VLOOKUP(B51,'PJM Curve Simulation'!$B$9:$F$258,4)</f>
        <v>0.072306302832056</v>
      </c>
      <c r="F51" s="376" t="n">
        <f aca="false">VLOOKUP(B51,'PJM Curve Simulation'!$B$9:$F$258,5)</f>
        <v>0.773600627769881</v>
      </c>
      <c r="G51" s="376" t="n">
        <f aca="false">(B51-$B$1)/365.25</f>
        <v>3.49349760438056</v>
      </c>
      <c r="H51" s="376" t="n">
        <f aca="false">SQRT(G51)</f>
        <v>1.86909004715679</v>
      </c>
      <c r="I51" s="376" t="n">
        <f aca="false">IF($I$2=0,0,-(D51^2)/2)</f>
        <v>0</v>
      </c>
      <c r="J51" s="421" t="n">
        <f aca="false">IF(K40=1,C51,EXP(I51*G51+D51*$I$2*H51)*C51)</f>
        <v>4.62362068965517</v>
      </c>
    </row>
    <row r="52" customFormat="false" ht="15.75" hidden="false" customHeight="false" outlineLevel="0" collapsed="false">
      <c r="B52" s="405" t="n">
        <f aca="false">'Revenues &amp; Expenses'!K52</f>
        <v>37895</v>
      </c>
      <c r="C52" s="377" t="n">
        <f aca="false">'Fuel Curve'!F52</f>
        <v>4.70396551724138</v>
      </c>
      <c r="D52" s="422" t="n">
        <f aca="false">'Fuel Curve'!D52</f>
        <v>0.207</v>
      </c>
      <c r="E52" s="407" t="n">
        <f aca="false">VLOOKUP(B52,'PJM Curve Simulation'!$B$9:$F$258,4)</f>
        <v>0.072356619918754</v>
      </c>
      <c r="F52" s="376" t="n">
        <f aca="false">VLOOKUP(B52,'PJM Curve Simulation'!$B$9:$F$258,5)</f>
        <v>0.768962489377476</v>
      </c>
      <c r="G52" s="376" t="n">
        <f aca="false">(B52-$B$1)/365.25</f>
        <v>3.57563312799452</v>
      </c>
      <c r="H52" s="376" t="n">
        <f aca="false">SQRT(G52)</f>
        <v>1.89093445893678</v>
      </c>
      <c r="I52" s="376" t="n">
        <f aca="false">IF($I$2=0,0,-(D52^2)/2)</f>
        <v>0</v>
      </c>
      <c r="J52" s="421" t="n">
        <f aca="false">IF(K41=1,C52,EXP(I52*G52+D52*$I$2*H52)*C52)</f>
        <v>4.70396551724138</v>
      </c>
    </row>
    <row r="53" customFormat="false" ht="15.75" hidden="false" customHeight="false" outlineLevel="0" collapsed="false">
      <c r="B53" s="405" t="n">
        <f aca="false">'Revenues &amp; Expenses'!K53</f>
        <v>37926</v>
      </c>
      <c r="C53" s="377" t="n">
        <f aca="false">'Fuel Curve'!F53</f>
        <v>4.78362068965517</v>
      </c>
      <c r="D53" s="422" t="n">
        <f aca="false">'Fuel Curve'!D53</f>
        <v>0.207</v>
      </c>
      <c r="E53" s="407" t="n">
        <f aca="false">VLOOKUP(B53,'PJM Curve Simulation'!$B$9:$F$258,4)</f>
        <v>0.072405134672305</v>
      </c>
      <c r="F53" s="376" t="n">
        <f aca="false">VLOOKUP(B53,'PJM Curve Simulation'!$B$9:$F$258,5)</f>
        <v>0.76420226024837</v>
      </c>
      <c r="G53" s="376" t="n">
        <f aca="false">(B53-$B$1)/365.25</f>
        <v>3.66050650239562</v>
      </c>
      <c r="H53" s="376" t="n">
        <f aca="false">SQRT(G53)</f>
        <v>1.91324501891306</v>
      </c>
      <c r="I53" s="376" t="n">
        <f aca="false">IF($I$2=0,0,-(D53^2)/2)</f>
        <v>0</v>
      </c>
      <c r="J53" s="421" t="n">
        <f aca="false">IF(K42=1,C53,EXP(I53*G53+D53*$I$2*H53)*C53)</f>
        <v>4.78362068965517</v>
      </c>
    </row>
    <row r="54" customFormat="false" ht="15.75" hidden="false" customHeight="false" outlineLevel="0" collapsed="false">
      <c r="B54" s="405" t="n">
        <f aca="false">'Revenues &amp; Expenses'!K54</f>
        <v>37956</v>
      </c>
      <c r="C54" s="377" t="n">
        <f aca="false">'Fuel Curve'!F54</f>
        <v>4.82051724137931</v>
      </c>
      <c r="D54" s="422" t="n">
        <f aca="false">'Fuel Curve'!D54</f>
        <v>0.205</v>
      </c>
      <c r="E54" s="407" t="n">
        <f aca="false">VLOOKUP(B54,'PJM Curve Simulation'!$B$9:$F$258,4)</f>
        <v>0.072452084434547</v>
      </c>
      <c r="F54" s="376" t="n">
        <f aca="false">VLOOKUP(B54,'PJM Curve Simulation'!$B$9:$F$258,5)</f>
        <v>0.759617901104366</v>
      </c>
      <c r="G54" s="376" t="n">
        <f aca="false">(B54-$B$1)/365.25</f>
        <v>3.74264202600958</v>
      </c>
      <c r="H54" s="376" t="n">
        <f aca="false">SQRT(G54)</f>
        <v>1.9345909195511</v>
      </c>
      <c r="I54" s="376" t="n">
        <f aca="false">IF($I$2=0,0,-(D54^2)/2)</f>
        <v>0</v>
      </c>
      <c r="J54" s="421" t="n">
        <f aca="false">IF(K43=1,C54,EXP(I54*G54+D54*$I$2*H54)*C54)</f>
        <v>4.82051724137931</v>
      </c>
    </row>
    <row r="55" customFormat="false" ht="15.75" hidden="false" customHeight="false" outlineLevel="0" collapsed="false">
      <c r="B55" s="405" t="n">
        <f aca="false">'Revenues &amp; Expenses'!K55</f>
        <v>37987</v>
      </c>
      <c r="C55" s="377" t="n">
        <f aca="false">'Fuel Curve'!F55</f>
        <v>4.75827586206897</v>
      </c>
      <c r="D55" s="422" t="n">
        <f aca="false">'Fuel Curve'!D55</f>
        <v>0.205</v>
      </c>
      <c r="E55" s="407" t="n">
        <f aca="false">VLOOKUP(B55,'PJM Curve Simulation'!$B$9:$F$258,4)</f>
        <v>0.072504748875384</v>
      </c>
      <c r="F55" s="376" t="n">
        <f aca="false">VLOOKUP(B55,'PJM Curve Simulation'!$B$9:$F$258,5)</f>
        <v>0.754891785095307</v>
      </c>
      <c r="G55" s="376" t="n">
        <f aca="false">(B55-$B$1)/365.25</f>
        <v>3.82751540041068</v>
      </c>
      <c r="H55" s="376" t="n">
        <f aca="false">SQRT(G55)</f>
        <v>1.95640369055333</v>
      </c>
      <c r="I55" s="376" t="n">
        <f aca="false">IF($I$2=0,0,-(D55^2)/2)</f>
        <v>0</v>
      </c>
      <c r="J55" s="421" t="n">
        <f aca="false">IF(K44=1,C55,EXP(I55*G55+D55*$I$2*H55)*C55)</f>
        <v>4.75827586206897</v>
      </c>
    </row>
    <row r="56" customFormat="false" ht="15.75" hidden="false" customHeight="false" outlineLevel="0" collapsed="false">
      <c r="B56" s="405" t="n">
        <f aca="false">'Revenues &amp; Expenses'!K56</f>
        <v>38018</v>
      </c>
      <c r="C56" s="377" t="n">
        <f aca="false">'Fuel Curve'!F56</f>
        <v>4.65396551724138</v>
      </c>
      <c r="D56" s="422" t="n">
        <f aca="false">'Fuel Curve'!D56</f>
        <v>0.204</v>
      </c>
      <c r="E56" s="407" t="n">
        <f aca="false">VLOOKUP(B56,'PJM Curve Simulation'!$B$9:$F$258,4)</f>
        <v>0.072561839648691</v>
      </c>
      <c r="F56" s="376" t="n">
        <f aca="false">VLOOKUP(B56,'PJM Curve Simulation'!$B$9:$F$258,5)</f>
        <v>0.750175683094589</v>
      </c>
      <c r="G56" s="376" t="n">
        <f aca="false">(B56-$B$1)/365.25</f>
        <v>3.91238877481177</v>
      </c>
      <c r="H56" s="376" t="n">
        <f aca="false">SQRT(G56)</f>
        <v>1.97797592877461</v>
      </c>
      <c r="I56" s="376" t="n">
        <f aca="false">IF($I$2=0,0,-(D56^2)/2)</f>
        <v>0</v>
      </c>
      <c r="J56" s="421" t="n">
        <f aca="false">IF(K45=1,C56,EXP(I56*G56+D56*$I$2*H56)*C56)</f>
        <v>4.65396551724138</v>
      </c>
    </row>
    <row r="57" customFormat="false" ht="15.75" hidden="false" customHeight="false" outlineLevel="0" collapsed="false">
      <c r="B57" s="405" t="n">
        <f aca="false">'Revenues &amp; Expenses'!K57</f>
        <v>38047</v>
      </c>
      <c r="C57" s="377" t="n">
        <f aca="false">'Fuel Curve'!F57</f>
        <v>4.55051724137931</v>
      </c>
      <c r="D57" s="422" t="n">
        <f aca="false">'Fuel Curve'!D57</f>
        <v>0.203</v>
      </c>
      <c r="E57" s="407" t="n">
        <f aca="false">VLOOKUP(B57,'PJM Curve Simulation'!$B$9:$F$258,4)</f>
        <v>0.072615247147275</v>
      </c>
      <c r="F57" s="376" t="n">
        <f aca="false">VLOOKUP(B57,'PJM Curve Simulation'!$B$9:$F$258,5)</f>
        <v>0.745784212856381</v>
      </c>
      <c r="G57" s="376" t="n">
        <f aca="false">(B57-$B$1)/365.25</f>
        <v>3.9917864476386</v>
      </c>
      <c r="H57" s="376" t="n">
        <f aca="false">SQRT(G57)</f>
        <v>1.99794555672536</v>
      </c>
      <c r="I57" s="376" t="n">
        <f aca="false">IF($I$2=0,0,-(D57^2)/2)</f>
        <v>0</v>
      </c>
      <c r="J57" s="421" t="n">
        <f aca="false">IF(K46=1,C57,EXP(I57*G57+D57*$I$2*H57)*C57)</f>
        <v>4.55051724137931</v>
      </c>
    </row>
    <row r="58" customFormat="false" ht="15.75" hidden="false" customHeight="false" outlineLevel="0" collapsed="false">
      <c r="B58" s="405" t="n">
        <f aca="false">'Revenues &amp; Expenses'!K58</f>
        <v>38078</v>
      </c>
      <c r="C58" s="377" t="n">
        <f aca="false">'Fuel Curve'!F58</f>
        <v>4.4448275862069</v>
      </c>
      <c r="D58" s="422" t="n">
        <f aca="false">'Fuel Curve'!D58</f>
        <v>0.202</v>
      </c>
      <c r="E58" s="407" t="n">
        <f aca="false">VLOOKUP(B58,'PJM Curve Simulation'!$B$9:$F$258,4)</f>
        <v>0.072673184464531</v>
      </c>
      <c r="F58" s="376" t="n">
        <f aca="false">VLOOKUP(B58,'PJM Curve Simulation'!$B$9:$F$258,5)</f>
        <v>0.74110906328764</v>
      </c>
      <c r="G58" s="376" t="n">
        <f aca="false">(B58-$B$1)/365.25</f>
        <v>4.0766598220397</v>
      </c>
      <c r="H58" s="376" t="n">
        <f aca="false">SQRT(G58)</f>
        <v>2.01907400113015</v>
      </c>
      <c r="I58" s="376" t="n">
        <f aca="false">IF($I$2=0,0,-(D58^2)/2)</f>
        <v>0</v>
      </c>
      <c r="J58" s="421" t="n">
        <f aca="false">IF(K47=1,C58,EXP(I58*G58+D58*$I$2*H58)*C58)</f>
        <v>4.4448275862069</v>
      </c>
    </row>
    <row r="59" customFormat="false" ht="15.75" hidden="false" customHeight="false" outlineLevel="0" collapsed="false">
      <c r="B59" s="405" t="n">
        <f aca="false">'Revenues &amp; Expenses'!K59</f>
        <v>38108</v>
      </c>
      <c r="C59" s="377" t="n">
        <f aca="false">'Fuel Curve'!F59</f>
        <v>4.37155172413793</v>
      </c>
      <c r="D59" s="422" t="n">
        <f aca="false">'Fuel Curve'!D59</f>
        <v>0.202</v>
      </c>
      <c r="E59" s="407" t="n">
        <f aca="false">VLOOKUP(B59,'PJM Curve Simulation'!$B$9:$F$258,4)</f>
        <v>0.072730126686808</v>
      </c>
      <c r="F59" s="376" t="n">
        <f aca="false">VLOOKUP(B59,'PJM Curve Simulation'!$B$9:$F$258,5)</f>
        <v>0.736603322523177</v>
      </c>
      <c r="G59" s="376" t="n">
        <f aca="false">(B59-$B$1)/365.25</f>
        <v>4.15879534565366</v>
      </c>
      <c r="H59" s="376" t="n">
        <f aca="false">SQRT(G59)</f>
        <v>2.03931246886142</v>
      </c>
      <c r="I59" s="376" t="n">
        <f aca="false">IF($I$2=0,0,-(D59^2)/2)</f>
        <v>0</v>
      </c>
      <c r="J59" s="421" t="n">
        <f aca="false">IF(K48=1,C59,EXP(I59*G59+D59*$I$2*H59)*C59)</f>
        <v>4.37155172413793</v>
      </c>
    </row>
    <row r="60" customFormat="false" ht="15.75" hidden="false" customHeight="false" outlineLevel="0" collapsed="false">
      <c r="B60" s="405" t="n">
        <f aca="false">'Revenues &amp; Expenses'!K60</f>
        <v>38139</v>
      </c>
      <c r="C60" s="377" t="n">
        <f aca="false">'Fuel Curve'!F60</f>
        <v>4.36068965517242</v>
      </c>
      <c r="D60" s="422" t="n">
        <f aca="false">'Fuel Curve'!D60</f>
        <v>0.2</v>
      </c>
      <c r="E60" s="407" t="n">
        <f aca="false">VLOOKUP(B60,'PJM Curve Simulation'!$B$9:$F$258,4)</f>
        <v>0.072788966984285</v>
      </c>
      <c r="F60" s="376" t="n">
        <f aca="false">VLOOKUP(B60,'PJM Curve Simulation'!$B$9:$F$258,5)</f>
        <v>0.731969231402715</v>
      </c>
      <c r="G60" s="376" t="n">
        <f aca="false">(B60-$B$1)/365.25</f>
        <v>4.24366872005476</v>
      </c>
      <c r="H60" s="376" t="n">
        <f aca="false">SQRT(G60)</f>
        <v>2.06001667955742</v>
      </c>
      <c r="I60" s="376" t="n">
        <f aca="false">IF($I$2=0,0,-(D60^2)/2)</f>
        <v>0</v>
      </c>
      <c r="J60" s="421" t="n">
        <f aca="false">IF(K49=1,C60,EXP(I60*G60+D60*$I$2*H60)*C60)</f>
        <v>4.36068965517242</v>
      </c>
    </row>
    <row r="61" customFormat="false" ht="15.75" hidden="false" customHeight="false" outlineLevel="0" collapsed="false">
      <c r="B61" s="405" t="n">
        <f aca="false">'Revenues &amp; Expenses'!K61</f>
        <v>38169</v>
      </c>
      <c r="C61" s="377" t="n">
        <f aca="false">'Fuel Curve'!F61</f>
        <v>4.41137931034483</v>
      </c>
      <c r="D61" s="422" t="n">
        <f aca="false">'Fuel Curve'!D61</f>
        <v>0.199</v>
      </c>
      <c r="E61" s="407" t="n">
        <f aca="false">VLOOKUP(B61,'PJM Curve Simulation'!$B$9:$F$258,4)</f>
        <v>0.072845909208739</v>
      </c>
      <c r="F61" s="376" t="n">
        <f aca="false">VLOOKUP(B61,'PJM Curve Simulation'!$B$9:$F$258,5)</f>
        <v>0.727505716604073</v>
      </c>
      <c r="G61" s="376" t="n">
        <f aca="false">(B61-$B$1)/365.25</f>
        <v>4.32580424366872</v>
      </c>
      <c r="H61" s="376" t="n">
        <f aca="false">SQRT(G61)</f>
        <v>2.07985678441298</v>
      </c>
      <c r="I61" s="376" t="n">
        <f aca="false">IF($I$2=0,0,-(D61^2)/2)</f>
        <v>0</v>
      </c>
      <c r="J61" s="421" t="n">
        <f aca="false">IF(K50=1,C61,EXP(I61*G61+D61*$I$2*H61)*C61)</f>
        <v>4.41137931034483</v>
      </c>
    </row>
    <row r="62" customFormat="false" ht="15.75" hidden="false" customHeight="false" outlineLevel="0" collapsed="false">
      <c r="B62" s="405" t="n">
        <f aca="false">'Revenues &amp; Expenses'!K62</f>
        <v>38200</v>
      </c>
      <c r="C62" s="377" t="n">
        <f aca="false">'Fuel Curve'!F62</f>
        <v>4.49620689655172</v>
      </c>
      <c r="D62" s="422" t="n">
        <f aca="false">'Fuel Curve'!D62</f>
        <v>0.199</v>
      </c>
      <c r="E62" s="407" t="n">
        <f aca="false">VLOOKUP(B62,'PJM Curve Simulation'!$B$9:$F$258,4)</f>
        <v>0.072904749508467</v>
      </c>
      <c r="F62" s="376" t="n">
        <f aca="false">VLOOKUP(B62,'PJM Curve Simulation'!$B$9:$F$258,5)</f>
        <v>0.722915161120814</v>
      </c>
      <c r="G62" s="376" t="n">
        <f aca="false">(B62-$B$1)/365.25</f>
        <v>4.41067761806982</v>
      </c>
      <c r="H62" s="376" t="n">
        <f aca="false">SQRT(G62)</f>
        <v>2.10016133143857</v>
      </c>
      <c r="I62" s="376" t="n">
        <f aca="false">IF($I$2=0,0,-(D62^2)/2)</f>
        <v>0</v>
      </c>
      <c r="J62" s="421" t="n">
        <f aca="false">IF(K51=1,C62,EXP(I62*G62+D62*$I$2*H62)*C62)</f>
        <v>4.49620689655172</v>
      </c>
    </row>
    <row r="63" customFormat="false" ht="15.75" hidden="false" customHeight="false" outlineLevel="0" collapsed="false">
      <c r="B63" s="405" t="n">
        <f aca="false">'Revenues &amp; Expenses'!K63</f>
        <v>38231</v>
      </c>
      <c r="C63" s="377" t="n">
        <f aca="false">'Fuel Curve'!F63</f>
        <v>4.58603448275862</v>
      </c>
      <c r="D63" s="422" t="n">
        <f aca="false">'Fuel Curve'!D63</f>
        <v>0.198</v>
      </c>
      <c r="E63" s="407" t="n">
        <f aca="false">VLOOKUP(B63,'PJM Curve Simulation'!$B$9:$F$258,4)</f>
        <v>0.072963589809337</v>
      </c>
      <c r="F63" s="376" t="n">
        <f aca="false">VLOOKUP(B63,'PJM Curve Simulation'!$B$9:$F$258,5)</f>
        <v>0.718346654745936</v>
      </c>
      <c r="G63" s="376" t="n">
        <f aca="false">(B63-$B$1)/365.25</f>
        <v>4.49555099247091</v>
      </c>
      <c r="H63" s="376" t="n">
        <f aca="false">SQRT(G63)</f>
        <v>2.12027144311074</v>
      </c>
      <c r="I63" s="376" t="n">
        <f aca="false">IF($I$2=0,0,-(D63^2)/2)</f>
        <v>0</v>
      </c>
      <c r="J63" s="421" t="n">
        <f aca="false">IF(K52=1,C63,EXP(I63*G63+D63*$I$2*H63)*C63)</f>
        <v>4.58603448275862</v>
      </c>
    </row>
    <row r="64" customFormat="false" ht="15.75" hidden="false" customHeight="false" outlineLevel="0" collapsed="false">
      <c r="B64" s="405" t="n">
        <f aca="false">'Revenues &amp; Expenses'!K64</f>
        <v>38261</v>
      </c>
      <c r="C64" s="377" t="n">
        <f aca="false">'Fuel Curve'!F64</f>
        <v>4.67293103448276</v>
      </c>
      <c r="D64" s="422" t="n">
        <f aca="false">'Fuel Curve'!D64</f>
        <v>0.197</v>
      </c>
      <c r="E64" s="407" t="n">
        <f aca="false">VLOOKUP(B64,'PJM Curve Simulation'!$B$9:$F$258,4)</f>
        <v>0.073020532037075</v>
      </c>
      <c r="F64" s="376" t="n">
        <f aca="false">VLOOKUP(B64,'PJM Curve Simulation'!$B$9:$F$258,5)</f>
        <v>0.713946464875069</v>
      </c>
      <c r="G64" s="376" t="n">
        <f aca="false">(B64-$B$1)/365.25</f>
        <v>4.57768651608487</v>
      </c>
      <c r="H64" s="376" t="n">
        <f aca="false">SQRT(G64)</f>
        <v>2.13955287760898</v>
      </c>
      <c r="I64" s="376" t="n">
        <f aca="false">IF($I$2=0,0,-(D64^2)/2)</f>
        <v>0</v>
      </c>
      <c r="J64" s="421" t="n">
        <f aca="false">IF(K53=1,C64,EXP(I64*G64+D64*$I$2*H64)*C64)</f>
        <v>4.67293103448276</v>
      </c>
    </row>
    <row r="65" customFormat="false" ht="15.75" hidden="false" customHeight="false" outlineLevel="0" collapsed="false">
      <c r="B65" s="405" t="n">
        <f aca="false">'Revenues &amp; Expenses'!K65</f>
        <v>38292</v>
      </c>
      <c r="C65" s="377" t="n">
        <f aca="false">'Fuel Curve'!F65</f>
        <v>4.75689655172414</v>
      </c>
      <c r="D65" s="422" t="n">
        <f aca="false">'Fuel Curve'!D65</f>
        <v>0.197</v>
      </c>
      <c r="E65" s="407" t="n">
        <f aca="false">VLOOKUP(B65,'PJM Curve Simulation'!$B$9:$F$258,4)</f>
        <v>0.073079372340195</v>
      </c>
      <c r="F65" s="376" t="n">
        <f aca="false">VLOOKUP(B65,'PJM Curve Simulation'!$B$9:$F$258,5)</f>
        <v>0.70942119524404</v>
      </c>
      <c r="G65" s="376" t="n">
        <f aca="false">(B65-$B$1)/365.25</f>
        <v>4.66255989048597</v>
      </c>
      <c r="H65" s="376" t="n">
        <f aca="false">SQRT(G65)</f>
        <v>2.15929615627083</v>
      </c>
      <c r="I65" s="376" t="n">
        <f aca="false">IF($I$2=0,0,-(D65^2)/2)</f>
        <v>0</v>
      </c>
      <c r="J65" s="421" t="n">
        <f aca="false">IF(K54=1,C65,EXP(I65*G65+D65*$I$2*H65)*C65)</f>
        <v>4.75689655172414</v>
      </c>
    </row>
    <row r="66" customFormat="false" ht="15.75" hidden="false" customHeight="false" outlineLevel="0" collapsed="false">
      <c r="B66" s="405" t="n">
        <f aca="false">'Revenues &amp; Expenses'!K66</f>
        <v>38322</v>
      </c>
      <c r="C66" s="377" t="n">
        <f aca="false">'Fuel Curve'!F66</f>
        <v>4.79517241379311</v>
      </c>
      <c r="D66" s="422" t="n">
        <f aca="false">'Fuel Curve'!D66</f>
        <v>0.197</v>
      </c>
      <c r="E66" s="407" t="n">
        <f aca="false">VLOOKUP(B66,'PJM Curve Simulation'!$B$9:$F$258,4)</f>
        <v>0.073136314570109</v>
      </c>
      <c r="F66" s="376" t="n">
        <f aca="false">VLOOKUP(B66,'PJM Curve Simulation'!$B$9:$F$258,5)</f>
        <v>0.705062750325475</v>
      </c>
      <c r="G66" s="376" t="n">
        <f aca="false">(B66-$B$1)/365.25</f>
        <v>4.74469541409993</v>
      </c>
      <c r="H66" s="376" t="n">
        <f aca="false">SQRT(G66)</f>
        <v>2.17823217635309</v>
      </c>
      <c r="I66" s="376" t="n">
        <f aca="false">IF($I$2=0,0,-(D66^2)/2)</f>
        <v>0</v>
      </c>
      <c r="J66" s="421" t="n">
        <f aca="false">IF(K55=1,C66,EXP(I66*G66+D66*$I$2*H66)*C66)</f>
        <v>4.79517241379311</v>
      </c>
    </row>
    <row r="67" customFormat="false" ht="15.75" hidden="false" customHeight="false" outlineLevel="0" collapsed="false">
      <c r="B67" s="405" t="n">
        <f aca="false">'Revenues &amp; Expenses'!K67</f>
        <v>38353</v>
      </c>
      <c r="C67" s="377" t="n">
        <f aca="false">'Fuel Curve'!F67</f>
        <v>4.73448275862069</v>
      </c>
      <c r="D67" s="422" t="n">
        <f aca="false">'Fuel Curve'!D67</f>
        <v>0.197</v>
      </c>
      <c r="E67" s="407" t="n">
        <f aca="false">VLOOKUP(B67,'PJM Curve Simulation'!$B$9:$F$258,4)</f>
        <v>0.073195154875478</v>
      </c>
      <c r="F67" s="376" t="n">
        <f aca="false">VLOOKUP(B67,'PJM Curve Simulation'!$B$9:$F$258,5)</f>
        <v>0.700580516261328</v>
      </c>
      <c r="G67" s="376" t="n">
        <f aca="false">(B67-$B$1)/365.25</f>
        <v>4.82956878850103</v>
      </c>
      <c r="H67" s="376" t="n">
        <f aca="false">SQRT(G67)</f>
        <v>2.19762799138094</v>
      </c>
      <c r="I67" s="376" t="n">
        <f aca="false">IF($I$2=0,0,-(D67^2)/2)</f>
        <v>0</v>
      </c>
      <c r="J67" s="421" t="n">
        <f aca="false">IF(K56=1,C67,EXP(I67*G67+D67*$I$2*H67)*C67)</f>
        <v>4.73448275862069</v>
      </c>
    </row>
    <row r="68" customFormat="false" ht="15.75" hidden="false" customHeight="false" outlineLevel="0" collapsed="false">
      <c r="B68" s="405" t="n">
        <f aca="false">'Revenues &amp; Expenses'!K68</f>
        <v>38384</v>
      </c>
      <c r="C68" s="377" t="n">
        <f aca="false">'Fuel Curve'!F68</f>
        <v>4.63155172413793</v>
      </c>
      <c r="D68" s="422" t="n">
        <f aca="false">'Fuel Curve'!D68</f>
        <v>0.197</v>
      </c>
      <c r="E68" s="407" t="n">
        <f aca="false">VLOOKUP(B68,'PJM Curve Simulation'!$B$9:$F$258,4)</f>
        <v>0.073253995182</v>
      </c>
      <c r="F68" s="376" t="n">
        <f aca="false">VLOOKUP(B68,'PJM Curve Simulation'!$B$9:$F$258,5)</f>
        <v>0.696120074888368</v>
      </c>
      <c r="G68" s="376" t="n">
        <f aca="false">(B68-$B$1)/365.25</f>
        <v>4.91444216290212</v>
      </c>
      <c r="H68" s="376" t="n">
        <f aca="false">SQRT(G68)</f>
        <v>2.21685411403234</v>
      </c>
      <c r="I68" s="376" t="n">
        <f aca="false">IF($I$2=0,0,-(D68^2)/2)</f>
        <v>0</v>
      </c>
      <c r="J68" s="421" t="n">
        <f aca="false">IF(K57=1,C68,EXP(I68*G68+D68*$I$2*H68)*C68)</f>
        <v>4.63155172413793</v>
      </c>
    </row>
    <row r="69" customFormat="false" ht="15.75" hidden="false" customHeight="false" outlineLevel="0" collapsed="false">
      <c r="B69" s="405" t="n">
        <f aca="false">'Revenues &amp; Expenses'!K69</f>
        <v>38412</v>
      </c>
      <c r="C69" s="377" t="n">
        <f aca="false">'Fuel Curve'!F69</f>
        <v>4.5301724137931</v>
      </c>
      <c r="D69" s="422" t="n">
        <f aca="false">'Fuel Curve'!D69</f>
        <v>0.197</v>
      </c>
      <c r="E69" s="407" t="n">
        <f aca="false">VLOOKUP(B69,'PJM Curve Simulation'!$B$9:$F$258,4)</f>
        <v>0.073307141266274</v>
      </c>
      <c r="F69" s="376" t="n">
        <f aca="false">VLOOKUP(B69,'PJM Curve Simulation'!$B$9:$F$258,5)</f>
        <v>0.692109976456308</v>
      </c>
      <c r="G69" s="376" t="n">
        <f aca="false">(B69-$B$1)/365.25</f>
        <v>4.99110198494182</v>
      </c>
      <c r="H69" s="376" t="n">
        <f aca="false">SQRT(G69)</f>
        <v>2.23407743485803</v>
      </c>
      <c r="I69" s="376" t="n">
        <f aca="false">IF($I$2=0,0,-(D69^2)/2)</f>
        <v>0</v>
      </c>
      <c r="J69" s="421" t="n">
        <f aca="false">IF(K58=1,C69,EXP(I69*G69+D69*$I$2*H69)*C69)</f>
        <v>4.5301724137931</v>
      </c>
    </row>
    <row r="70" customFormat="false" ht="15.75" hidden="false" customHeight="false" outlineLevel="0" collapsed="false">
      <c r="B70" s="405" t="n">
        <f aca="false">'Revenues &amp; Expenses'!K70</f>
        <v>38443</v>
      </c>
      <c r="C70" s="377" t="n">
        <f aca="false">'Fuel Curve'!F70</f>
        <v>4.42586206896552</v>
      </c>
      <c r="D70" s="422" t="n">
        <f aca="false">'Fuel Curve'!D70</f>
        <v>0.196</v>
      </c>
      <c r="E70" s="407" t="n">
        <f aca="false">VLOOKUP(B70,'PJM Curve Simulation'!$B$9:$F$258,4)</f>
        <v>0.073338081657494</v>
      </c>
      <c r="F70" s="376" t="n">
        <f aca="false">VLOOKUP(B70,'PJM Curve Simulation'!$B$9:$F$258,5)</f>
        <v>0.687787046266005</v>
      </c>
      <c r="G70" s="376" t="n">
        <f aca="false">(B70-$B$1)/365.25</f>
        <v>5.07597535934292</v>
      </c>
      <c r="H70" s="376" t="n">
        <f aca="false">SQRT(G70)</f>
        <v>2.25299253424039</v>
      </c>
      <c r="I70" s="376" t="n">
        <f aca="false">IF($I$2=0,0,-(D70^2)/2)</f>
        <v>0</v>
      </c>
      <c r="J70" s="421" t="n">
        <f aca="false">IF(K59=1,C70,EXP(I70*G70+D70*$I$2*H70)*C70)</f>
        <v>4.42586206896552</v>
      </c>
    </row>
    <row r="71" customFormat="false" ht="15.75" hidden="false" customHeight="false" outlineLevel="0" collapsed="false">
      <c r="B71" s="405" t="n">
        <f aca="false">'Revenues &amp; Expenses'!K71</f>
        <v>38473</v>
      </c>
      <c r="C71" s="377" t="n">
        <f aca="false">'Fuel Curve'!F71</f>
        <v>4.35431034482759</v>
      </c>
      <c r="D71" s="422" t="n">
        <f aca="false">'Fuel Curve'!D71</f>
        <v>0.196</v>
      </c>
      <c r="E71" s="407" t="n">
        <f aca="false">VLOOKUP(B71,'PJM Curve Simulation'!$B$9:$F$258,4)</f>
        <v>0.073361543991021</v>
      </c>
      <c r="F71" s="376" t="n">
        <f aca="false">VLOOKUP(B71,'PJM Curve Simulation'!$B$9:$F$258,5)</f>
        <v>0.683648536096482</v>
      </c>
      <c r="G71" s="376" t="n">
        <f aca="false">(B71-$B$1)/365.25</f>
        <v>5.15811088295688</v>
      </c>
      <c r="H71" s="376" t="n">
        <f aca="false">SQRT(G71)</f>
        <v>2.27114748155131</v>
      </c>
      <c r="I71" s="376" t="n">
        <f aca="false">IF($I$2=0,0,-(D71^2)/2)</f>
        <v>0</v>
      </c>
      <c r="J71" s="421" t="n">
        <f aca="false">IF(K60=1,C71,EXP(I71*G71+D71*$I$2*H71)*C71)</f>
        <v>4.35431034482759</v>
      </c>
    </row>
    <row r="72" customFormat="false" ht="15.75" hidden="false" customHeight="false" outlineLevel="0" collapsed="false">
      <c r="B72" s="405" t="n">
        <f aca="false">'Revenues &amp; Expenses'!K72</f>
        <v>38504</v>
      </c>
      <c r="C72" s="377" t="n">
        <f aca="false">'Fuel Curve'!F72</f>
        <v>4.34413793103448</v>
      </c>
      <c r="D72" s="422" t="n">
        <f aca="false">'Fuel Curve'!D72</f>
        <v>0.195</v>
      </c>
      <c r="E72" s="407" t="n">
        <f aca="false">VLOOKUP(B72,'PJM Curve Simulation'!$B$9:$F$258,4)</f>
        <v>0.073385788402523</v>
      </c>
      <c r="F72" s="376" t="n">
        <f aca="false">VLOOKUP(B72,'PJM Curve Simulation'!$B$9:$F$258,5)</f>
        <v>0.679395582160185</v>
      </c>
      <c r="G72" s="376" t="n">
        <f aca="false">(B72-$B$1)/365.25</f>
        <v>5.24298425735797</v>
      </c>
      <c r="H72" s="376" t="n">
        <f aca="false">SQRT(G72)</f>
        <v>2.28975637511024</v>
      </c>
      <c r="I72" s="376" t="n">
        <f aca="false">IF($I$2=0,0,-(D72^2)/2)</f>
        <v>0</v>
      </c>
      <c r="J72" s="421" t="n">
        <f aca="false">IF(K61=1,C72,EXP(I72*G72+D72*$I$2*H72)*C72)</f>
        <v>4.34413793103448</v>
      </c>
    </row>
    <row r="73" customFormat="false" ht="15.75" hidden="false" customHeight="false" outlineLevel="0" collapsed="false">
      <c r="B73" s="405" t="n">
        <f aca="false">'Revenues &amp; Expenses'!K73</f>
        <v>38534</v>
      </c>
      <c r="C73" s="377" t="n">
        <f aca="false">'Fuel Curve'!F73</f>
        <v>4.39689655172414</v>
      </c>
      <c r="D73" s="422" t="n">
        <f aca="false">'Fuel Curve'!D73</f>
        <v>0.195</v>
      </c>
      <c r="E73" s="407" t="n">
        <f aca="false">VLOOKUP(B73,'PJM Curve Simulation'!$B$9:$F$258,4)</f>
        <v>0.073409250736419</v>
      </c>
      <c r="F73" s="376" t="n">
        <f aca="false">VLOOKUP(B73,'PJM Curve Simulation'!$B$9:$F$258,5)</f>
        <v>0.675302461495294</v>
      </c>
      <c r="G73" s="376" t="n">
        <f aca="false">(B73-$B$1)/365.25</f>
        <v>5.32511978097194</v>
      </c>
      <c r="H73" s="376" t="n">
        <f aca="false">SQRT(G73)</f>
        <v>2.30762210532226</v>
      </c>
      <c r="I73" s="376" t="n">
        <f aca="false">IF($I$2=0,0,-(D73^2)/2)</f>
        <v>0</v>
      </c>
      <c r="J73" s="421" t="n">
        <f aca="false">IF(K62=1,C73,EXP(I73*G73+D73*$I$2*H73)*C73)</f>
        <v>4.39689655172414</v>
      </c>
    </row>
    <row r="74" customFormat="false" ht="15.75" hidden="false" customHeight="false" outlineLevel="0" collapsed="false">
      <c r="B74" s="405" t="n">
        <f aca="false">'Revenues &amp; Expenses'!K74</f>
        <v>38565</v>
      </c>
      <c r="C74" s="377" t="n">
        <f aca="false">'Fuel Curve'!F74</f>
        <v>4.48379310344828</v>
      </c>
      <c r="D74" s="422" t="n">
        <f aca="false">'Fuel Curve'!D74</f>
        <v>0.195</v>
      </c>
      <c r="E74" s="407" t="n">
        <f aca="false">VLOOKUP(B74,'PJM Curve Simulation'!$B$9:$F$258,4)</f>
        <v>0.073433495148302</v>
      </c>
      <c r="F74" s="376" t="n">
        <f aca="false">VLOOKUP(B74,'PJM Curve Simulation'!$B$9:$F$258,5)</f>
        <v>0.67109618793239</v>
      </c>
      <c r="G74" s="376" t="n">
        <f aca="false">(B74-$B$1)/365.25</f>
        <v>5.40999315537303</v>
      </c>
      <c r="H74" s="376" t="n">
        <f aca="false">SQRT(G74)</f>
        <v>2.32593919855465</v>
      </c>
      <c r="I74" s="376" t="n">
        <f aca="false">IF($I$2=0,0,-(D74^2)/2)</f>
        <v>0</v>
      </c>
      <c r="J74" s="421" t="n">
        <f aca="false">IF(K63=1,C74,EXP(I74*G74+D74*$I$2*H74)*C74)</f>
        <v>4.48379310344828</v>
      </c>
    </row>
    <row r="75" customFormat="false" ht="15.75" hidden="false" customHeight="false" outlineLevel="0" collapsed="false">
      <c r="B75" s="405" t="n">
        <f aca="false">'Revenues &amp; Expenses'!K75</f>
        <v>38596</v>
      </c>
      <c r="C75" s="377" t="n">
        <f aca="false">'Fuel Curve'!F75</f>
        <v>4.57431034482759</v>
      </c>
      <c r="D75" s="422" t="n">
        <f aca="false">'Fuel Curve'!D75</f>
        <v>0.194</v>
      </c>
      <c r="E75" s="407" t="n">
        <f aca="false">VLOOKUP(B75,'PJM Curve Simulation'!$B$9:$F$258,4)</f>
        <v>0.07345773956038</v>
      </c>
      <c r="F75" s="376" t="n">
        <f aca="false">VLOOKUP(B75,'PJM Curve Simulation'!$B$9:$F$258,5)</f>
        <v>0.666913467677035</v>
      </c>
      <c r="G75" s="376" t="n">
        <f aca="false">(B75-$B$1)/365.25</f>
        <v>5.49486652977413</v>
      </c>
      <c r="H75" s="376" t="n">
        <f aca="false">SQRT(G75)</f>
        <v>2.34411316488222</v>
      </c>
      <c r="I75" s="376" t="n">
        <f aca="false">IF($I$2=0,0,-(D75^2)/2)</f>
        <v>0</v>
      </c>
      <c r="J75" s="421" t="n">
        <f aca="false">IF(K64=1,C75,EXP(I75*G75+D75*$I$2*H75)*C75)</f>
        <v>4.57431034482759</v>
      </c>
    </row>
    <row r="76" customFormat="false" ht="15.75" hidden="false" customHeight="false" outlineLevel="0" collapsed="false">
      <c r="B76" s="405" t="n">
        <f aca="false">'Revenues &amp; Expenses'!K76</f>
        <v>38626</v>
      </c>
      <c r="C76" s="377" t="n">
        <f aca="false">'Fuel Curve'!F76</f>
        <v>4.66344827586207</v>
      </c>
      <c r="D76" s="422" t="n">
        <f aca="false">'Fuel Curve'!D76</f>
        <v>0.194</v>
      </c>
      <c r="E76" s="407" t="n">
        <f aca="false">VLOOKUP(B76,'PJM Curve Simulation'!$B$9:$F$258,4)</f>
        <v>0.073481201894833</v>
      </c>
      <c r="F76" s="376" t="n">
        <f aca="false">VLOOKUP(B76,'PJM Curve Simulation'!$B$9:$F$258,5)</f>
        <v>0.662887992706444</v>
      </c>
      <c r="G76" s="376" t="n">
        <f aca="false">(B76-$B$1)/365.25</f>
        <v>5.57700205338809</v>
      </c>
      <c r="H76" s="376" t="n">
        <f aca="false">SQRT(G76)</f>
        <v>2.36156771094714</v>
      </c>
      <c r="I76" s="376" t="n">
        <f aca="false">IF($I$2=0,0,-(D76^2)/2)</f>
        <v>0</v>
      </c>
      <c r="J76" s="421" t="n">
        <f aca="false">IF(K65=1,C76,EXP(I76*G76+D76*$I$2*H76)*C76)</f>
        <v>4.66344827586207</v>
      </c>
    </row>
    <row r="77" customFormat="false" ht="15.75" hidden="false" customHeight="false" outlineLevel="0" collapsed="false">
      <c r="B77" s="405" t="n">
        <f aca="false">'Revenues &amp; Expenses'!K77</f>
        <v>38657</v>
      </c>
      <c r="C77" s="377" t="n">
        <f aca="false">'Fuel Curve'!F77</f>
        <v>4.74896551724138</v>
      </c>
      <c r="D77" s="422" t="n">
        <f aca="false">'Fuel Curve'!D77</f>
        <v>0.193</v>
      </c>
      <c r="E77" s="407" t="n">
        <f aca="false">VLOOKUP(B77,'PJM Curve Simulation'!$B$9:$F$258,4)</f>
        <v>0.073505446307292</v>
      </c>
      <c r="F77" s="376" t="n">
        <f aca="false">VLOOKUP(B77,'PJM Curve Simulation'!$B$9:$F$258,5)</f>
        <v>0.658751287807599</v>
      </c>
      <c r="G77" s="376" t="n">
        <f aca="false">(B77-$B$1)/365.25</f>
        <v>5.66187542778919</v>
      </c>
      <c r="H77" s="376" t="n">
        <f aca="false">SQRT(G77)</f>
        <v>2.37946956857809</v>
      </c>
      <c r="I77" s="376" t="n">
        <f aca="false">IF($I$2=0,0,-(D77^2)/2)</f>
        <v>0</v>
      </c>
      <c r="J77" s="421" t="n">
        <f aca="false">IF(K66=1,C77,EXP(I77*G77+D77*$I$2*H77)*C77)</f>
        <v>4.74896551724138</v>
      </c>
    </row>
    <row r="78" customFormat="false" ht="15.75" hidden="false" customHeight="false" outlineLevel="0" collapsed="false">
      <c r="B78" s="405" t="n">
        <f aca="false">'Revenues &amp; Expenses'!K78</f>
        <v>38687</v>
      </c>
      <c r="C78" s="377" t="n">
        <f aca="false">'Fuel Curve'!F78</f>
        <v>4.78948275862069</v>
      </c>
      <c r="D78" s="422" t="n">
        <f aca="false">'Fuel Curve'!D78</f>
        <v>0.193</v>
      </c>
      <c r="E78" s="407" t="n">
        <f aca="false">VLOOKUP(B78,'PJM Curve Simulation'!$B$9:$F$258,4)</f>
        <v>0.073528908642115</v>
      </c>
      <c r="F78" s="376" t="n">
        <f aca="false">VLOOKUP(B78,'PJM Curve Simulation'!$B$9:$F$258,5)</f>
        <v>0.654770132060224</v>
      </c>
      <c r="G78" s="376" t="n">
        <f aca="false">(B78-$B$1)/365.25</f>
        <v>5.74401095140315</v>
      </c>
      <c r="H78" s="376" t="n">
        <f aca="false">SQRT(G78)</f>
        <v>2.3966666333479</v>
      </c>
      <c r="I78" s="376" t="n">
        <f aca="false">IF($I$2=0,0,-(D78^2)/2)</f>
        <v>0</v>
      </c>
      <c r="J78" s="421" t="n">
        <f aca="false">IF(K67=1,C78,EXP(I78*G78+D78*$I$2*H78)*C78)</f>
        <v>4.78948275862069</v>
      </c>
    </row>
    <row r="79" customFormat="false" ht="15.75" hidden="false" customHeight="false" outlineLevel="0" collapsed="false">
      <c r="B79" s="405" t="n">
        <f aca="false">'Revenues &amp; Expenses'!K79</f>
        <v>38718</v>
      </c>
      <c r="C79" s="377" t="n">
        <f aca="false">'Fuel Curve'!F79</f>
        <v>4.73086206896552</v>
      </c>
      <c r="D79" s="422" t="n">
        <f aca="false">'Fuel Curve'!D79</f>
        <v>0.19</v>
      </c>
      <c r="E79" s="407" t="n">
        <f aca="false">VLOOKUP(B79,'PJM Curve Simulation'!$B$9:$F$258,4)</f>
        <v>0.073553153054956</v>
      </c>
      <c r="F79" s="376" t="n">
        <f aca="false">VLOOKUP(B79,'PJM Curve Simulation'!$B$9:$F$258,5)</f>
        <v>0.650679005686506</v>
      </c>
      <c r="G79" s="376" t="n">
        <f aca="false">(B79-$B$1)/365.25</f>
        <v>5.82888432580424</v>
      </c>
      <c r="H79" s="376" t="n">
        <f aca="false">SQRT(G79)</f>
        <v>2.41430824995572</v>
      </c>
      <c r="I79" s="376" t="n">
        <f aca="false">IF($I$2=0,0,-(D79^2)/2)</f>
        <v>0</v>
      </c>
      <c r="J79" s="421" t="n">
        <f aca="false">IF(K68=1,C79,EXP(I79*G79+D79*$I$2*H79)*C79)</f>
        <v>4.73086206896552</v>
      </c>
    </row>
    <row r="80" customFormat="false" ht="15.75" hidden="false" customHeight="false" outlineLevel="0" collapsed="false">
      <c r="B80" s="405" t="n">
        <f aca="false">'Revenues &amp; Expenses'!K80</f>
        <v>38749</v>
      </c>
      <c r="C80" s="377" t="n">
        <f aca="false">'Fuel Curve'!F80</f>
        <v>4.62948275862069</v>
      </c>
      <c r="D80" s="422" t="n">
        <f aca="false">'Fuel Curve'!D80</f>
        <v>0.19</v>
      </c>
      <c r="E80" s="407" t="n">
        <f aca="false">VLOOKUP(B80,'PJM Curve Simulation'!$B$9:$F$258,4)</f>
        <v>0.073577397468</v>
      </c>
      <c r="F80" s="376" t="n">
        <f aca="false">VLOOKUP(B80,'PJM Curve Simulation'!$B$9:$F$258,5)</f>
        <v>0.646610875806786</v>
      </c>
      <c r="G80" s="376" t="n">
        <f aca="false">(B80-$B$1)/365.25</f>
        <v>5.91375770020534</v>
      </c>
      <c r="H80" s="376" t="n">
        <f aca="false">SQRT(G80)</f>
        <v>2.43182188907933</v>
      </c>
      <c r="I80" s="376" t="n">
        <f aca="false">IF($I$2=0,0,-(D80^2)/2)</f>
        <v>0</v>
      </c>
      <c r="J80" s="421" t="n">
        <f aca="false">IF(K69=1,C80,EXP(I80*G80+D80*$I$2*H80)*C80)</f>
        <v>4.62948275862069</v>
      </c>
    </row>
    <row r="81" customFormat="false" ht="15.75" hidden="false" customHeight="false" outlineLevel="0" collapsed="false">
      <c r="B81" s="405" t="n">
        <f aca="false">'Revenues &amp; Expenses'!K81</f>
        <v>38777</v>
      </c>
      <c r="C81" s="377" t="n">
        <f aca="false">'Fuel Curve'!F81</f>
        <v>4.53086206896552</v>
      </c>
      <c r="D81" s="422" t="n">
        <f aca="false">'Fuel Curve'!D81</f>
        <v>0.188</v>
      </c>
      <c r="E81" s="407" t="n">
        <f aca="false">VLOOKUP(B81,'PJM Curve Simulation'!$B$9:$F$258,4)</f>
        <v>0.073599295647674</v>
      </c>
      <c r="F81" s="376" t="n">
        <f aca="false">VLOOKUP(B81,'PJM Curve Simulation'!$B$9:$F$258,5)</f>
        <v>0.642956109097138</v>
      </c>
      <c r="G81" s="376" t="n">
        <f aca="false">(B81-$B$1)/365.25</f>
        <v>5.99041752224504</v>
      </c>
      <c r="H81" s="376" t="n">
        <f aca="false">SQRT(G81)</f>
        <v>2.44753294610002</v>
      </c>
      <c r="I81" s="376" t="n">
        <f aca="false">IF($I$2=0,0,-(D81^2)/2)</f>
        <v>0</v>
      </c>
      <c r="J81" s="421" t="n">
        <f aca="false">IF(K70=1,C81,EXP(I81*G81+D81*$I$2*H81)*C81)</f>
        <v>4.53086206896552</v>
      </c>
    </row>
    <row r="82" customFormat="false" ht="15.75" hidden="false" customHeight="false" outlineLevel="0" collapsed="false">
      <c r="B82" s="405" t="n">
        <f aca="false">'Revenues &amp; Expenses'!K82</f>
        <v>38808</v>
      </c>
      <c r="C82" s="377" t="n">
        <f aca="false">'Fuel Curve'!F82</f>
        <v>4.42879310344828</v>
      </c>
      <c r="D82" s="422" t="n">
        <f aca="false">'Fuel Curve'!D82</f>
        <v>0.187</v>
      </c>
      <c r="E82" s="407" t="n">
        <f aca="false">VLOOKUP(B82,'PJM Curve Simulation'!$B$9:$F$258,4)</f>
        <v>0.073623540061079</v>
      </c>
      <c r="F82" s="376" t="n">
        <f aca="false">VLOOKUP(B82,'PJM Curve Simulation'!$B$9:$F$258,5)</f>
        <v>0.6389314389068</v>
      </c>
      <c r="G82" s="376" t="n">
        <f aca="false">(B82-$B$1)/365.25</f>
        <v>6.07529089664613</v>
      </c>
      <c r="H82" s="376" t="n">
        <f aca="false">SQRT(G82)</f>
        <v>2.46481051942054</v>
      </c>
      <c r="I82" s="376" t="n">
        <f aca="false">IF($I$2=0,0,-(D82^2)/2)</f>
        <v>0</v>
      </c>
      <c r="J82" s="421" t="n">
        <f aca="false">IF(K71=1,C82,EXP(I82*G82+D82*$I$2*H82)*C82)</f>
        <v>4.42879310344828</v>
      </c>
    </row>
    <row r="83" customFormat="false" ht="15.75" hidden="false" customHeight="false" outlineLevel="0" collapsed="false">
      <c r="B83" s="405" t="n">
        <f aca="false">'Revenues &amp; Expenses'!K83</f>
        <v>38838</v>
      </c>
      <c r="C83" s="377" t="n">
        <f aca="false">'Fuel Curve'!F83</f>
        <v>4.35931034482759</v>
      </c>
      <c r="D83" s="422" t="n">
        <f aca="false">'Fuel Curve'!D83</f>
        <v>0.187</v>
      </c>
      <c r="E83" s="407" t="n">
        <f aca="false">VLOOKUP(B83,'PJM Curve Simulation'!$B$9:$F$258,4)</f>
        <v>0.073647002396816</v>
      </c>
      <c r="F83" s="376" t="n">
        <f aca="false">VLOOKUP(B83,'PJM Curve Simulation'!$B$9:$F$258,5)</f>
        <v>0.635058186407129</v>
      </c>
      <c r="G83" s="376" t="n">
        <f aca="false">(B83-$B$1)/365.25</f>
        <v>6.1574264202601</v>
      </c>
      <c r="H83" s="376" t="n">
        <f aca="false">SQRT(G83)</f>
        <v>2.48141621262135</v>
      </c>
      <c r="I83" s="376" t="n">
        <f aca="false">IF($I$2=0,0,-(D83^2)/2)</f>
        <v>0</v>
      </c>
      <c r="J83" s="421" t="n">
        <f aca="false">IF(K72=1,C83,EXP(I83*G83+D83*$I$2*H83)*C83)</f>
        <v>4.35931034482759</v>
      </c>
    </row>
    <row r="84" customFormat="false" ht="15.75" hidden="false" customHeight="false" outlineLevel="0" collapsed="false">
      <c r="B84" s="405" t="n">
        <f aca="false">'Revenues &amp; Expenses'!K84</f>
        <v>38869</v>
      </c>
      <c r="C84" s="377" t="n">
        <f aca="false">'Fuel Curve'!F84</f>
        <v>4.35137931034483</v>
      </c>
      <c r="D84" s="422" t="n">
        <f aca="false">'Fuel Curve'!D84</f>
        <v>0.186</v>
      </c>
      <c r="E84" s="407" t="n">
        <f aca="false">VLOOKUP(B84,'PJM Curve Simulation'!$B$9:$F$258,4)</f>
        <v>0.073671246810602</v>
      </c>
      <c r="F84" s="376" t="n">
        <f aca="false">VLOOKUP(B84,'PJM Curve Simulation'!$B$9:$F$258,5)</f>
        <v>0.631078027386403</v>
      </c>
      <c r="G84" s="376" t="n">
        <f aca="false">(B84-$B$1)/365.25</f>
        <v>6.24229979466119</v>
      </c>
      <c r="H84" s="376" t="n">
        <f aca="false">SQRT(G84)</f>
        <v>2.49845948429451</v>
      </c>
      <c r="I84" s="376" t="n">
        <f aca="false">IF($I$2=0,0,-(D84^2)/2)</f>
        <v>0</v>
      </c>
      <c r="J84" s="421" t="n">
        <f aca="false">IF(K73=1,C84,EXP(I84*G84+D84*$I$2*H84)*C84)</f>
        <v>4.35137931034483</v>
      </c>
    </row>
    <row r="85" customFormat="false" ht="15.75" hidden="false" customHeight="false" outlineLevel="0" collapsed="false">
      <c r="B85" s="405" t="n">
        <f aca="false">'Revenues &amp; Expenses'!K85</f>
        <v>38899</v>
      </c>
      <c r="C85" s="377" t="n">
        <f aca="false">'Fuel Curve'!F85</f>
        <v>4.40637931034483</v>
      </c>
      <c r="D85" s="422" t="n">
        <f aca="false">'Fuel Curve'!D85</f>
        <v>0.186</v>
      </c>
      <c r="E85" s="407" t="n">
        <f aca="false">VLOOKUP(B85,'PJM Curve Simulation'!$B$9:$F$258,4)</f>
        <v>0.073694709146709</v>
      </c>
      <c r="F85" s="376" t="n">
        <f aca="false">VLOOKUP(B85,'PJM Curve Simulation'!$B$9:$F$258,5)</f>
        <v>0.627247643899929</v>
      </c>
      <c r="G85" s="376" t="n">
        <f aca="false">(B85-$B$1)/365.25</f>
        <v>6.32443531827515</v>
      </c>
      <c r="H85" s="376" t="n">
        <f aca="false">SQRT(G85)</f>
        <v>2.51484300072095</v>
      </c>
      <c r="I85" s="376" t="n">
        <f aca="false">IF($I$2=0,0,-(D85^2)/2)</f>
        <v>0</v>
      </c>
      <c r="J85" s="421" t="n">
        <f aca="false">IF(K74=1,C85,EXP(I85*G85+D85*$I$2*H85)*C85)</f>
        <v>4.40637931034483</v>
      </c>
    </row>
    <row r="86" customFormat="false" ht="15.75" hidden="false" customHeight="false" outlineLevel="0" collapsed="false">
      <c r="B86" s="405" t="n">
        <f aca="false">'Revenues &amp; Expenses'!K86</f>
        <v>38930</v>
      </c>
      <c r="C86" s="377" t="n">
        <f aca="false">'Fuel Curve'!F86</f>
        <v>4.49465517241379</v>
      </c>
      <c r="D86" s="422" t="n">
        <f aca="false">'Fuel Curve'!D86</f>
        <v>0.185</v>
      </c>
      <c r="E86" s="407" t="n">
        <f aca="false">VLOOKUP(B86,'PJM Curve Simulation'!$B$9:$F$258,4)</f>
        <v>0.073718953560877</v>
      </c>
      <c r="F86" s="376" t="n">
        <f aca="false">VLOOKUP(B86,'PJM Curve Simulation'!$B$9:$F$258,5)</f>
        <v>0.623311570478852</v>
      </c>
      <c r="G86" s="376" t="n">
        <f aca="false">(B86-$B$1)/365.25</f>
        <v>6.40930869267625</v>
      </c>
      <c r="H86" s="376" t="n">
        <f aca="false">SQRT(G86)</f>
        <v>2.53166125156512</v>
      </c>
      <c r="I86" s="376" t="n">
        <f aca="false">IF($I$2=0,0,-(D86^2)/2)</f>
        <v>0</v>
      </c>
      <c r="J86" s="421" t="n">
        <f aca="false">IF(K75=1,C86,EXP(I86*G86+D86*$I$2*H86)*C86)</f>
        <v>4.49465517241379</v>
      </c>
    </row>
    <row r="87" customFormat="false" ht="15.75" hidden="false" customHeight="false" outlineLevel="0" collapsed="false">
      <c r="B87" s="405" t="n">
        <f aca="false">'Revenues &amp; Expenses'!K87</f>
        <v>38961</v>
      </c>
      <c r="C87" s="377" t="n">
        <f aca="false">'Fuel Curve'!F87</f>
        <v>4.58810344827586</v>
      </c>
      <c r="D87" s="422" t="n">
        <f aca="false">'Fuel Curve'!D87</f>
        <v>0.185</v>
      </c>
      <c r="E87" s="407" t="n">
        <f aca="false">VLOOKUP(B87,'PJM Curve Simulation'!$B$9:$F$258,4)</f>
        <v>0.073743197975239</v>
      </c>
      <c r="F87" s="376" t="n">
        <f aca="false">VLOOKUP(B87,'PJM Curve Simulation'!$B$9:$F$258,5)</f>
        <v>0.619397739152776</v>
      </c>
      <c r="G87" s="376" t="n">
        <f aca="false">(B87-$B$1)/365.25</f>
        <v>6.49418206707734</v>
      </c>
      <c r="H87" s="376" t="n">
        <f aca="false">SQRT(G87)</f>
        <v>2.54836851084715</v>
      </c>
      <c r="I87" s="376" t="n">
        <f aca="false">IF($I$2=0,0,-(D87^2)/2)</f>
        <v>0</v>
      </c>
      <c r="J87" s="421" t="n">
        <f aca="false">IF(K76=1,C87,EXP(I87*G87+D87*$I$2*H87)*C87)</f>
        <v>4.58810344827586</v>
      </c>
    </row>
    <row r="88" customFormat="false" ht="15.75" hidden="false" customHeight="false" outlineLevel="0" collapsed="false">
      <c r="B88" s="405" t="n">
        <f aca="false">'Revenues &amp; Expenses'!K88</f>
        <v>38991</v>
      </c>
      <c r="C88" s="377" t="n">
        <f aca="false">'Fuel Curve'!F88</f>
        <v>4.67862068965517</v>
      </c>
      <c r="D88" s="422" t="n">
        <f aca="false">'Fuel Curve'!D88</f>
        <v>0.184</v>
      </c>
      <c r="E88" s="407" t="n">
        <f aca="false">VLOOKUP(B88,'PJM Curve Simulation'!$B$9:$F$258,4)</f>
        <v>0.073766660311903</v>
      </c>
      <c r="F88" s="376" t="n">
        <f aca="false">VLOOKUP(B88,'PJM Curve Simulation'!$B$9:$F$258,5)</f>
        <v>0.615631235537524</v>
      </c>
      <c r="G88" s="376" t="n">
        <f aca="false">(B88-$B$1)/365.25</f>
        <v>6.57631759069131</v>
      </c>
      <c r="H88" s="376" t="n">
        <f aca="false">SQRT(G88)</f>
        <v>2.56443319091984</v>
      </c>
      <c r="I88" s="376" t="n">
        <f aca="false">IF($I$2=0,0,-(D88^2)/2)</f>
        <v>0</v>
      </c>
      <c r="J88" s="421" t="n">
        <f aca="false">IF(K77=1,C88,EXP(I88*G88+D88*$I$2*H88)*C88)</f>
        <v>4.67862068965517</v>
      </c>
    </row>
    <row r="89" customFormat="false" ht="15.75" hidden="false" customHeight="false" outlineLevel="0" collapsed="false">
      <c r="B89" s="405" t="n">
        <f aca="false">'Revenues &amp; Expenses'!K89</f>
        <v>39022</v>
      </c>
      <c r="C89" s="377" t="n">
        <f aca="false">'Fuel Curve'!F89</f>
        <v>4.76706896551724</v>
      </c>
      <c r="D89" s="422" t="n">
        <f aca="false">'Fuel Curve'!D89</f>
        <v>0.184</v>
      </c>
      <c r="E89" s="407" t="n">
        <f aca="false">VLOOKUP(B89,'PJM Curve Simulation'!$B$9:$F$258,4)</f>
        <v>0.073790904726647</v>
      </c>
      <c r="F89" s="376" t="n">
        <f aca="false">VLOOKUP(B89,'PJM Curve Simulation'!$B$9:$F$258,5)</f>
        <v>0.611760854035467</v>
      </c>
      <c r="G89" s="376" t="n">
        <f aca="false">(B89-$B$1)/365.25</f>
        <v>6.6611909650924</v>
      </c>
      <c r="H89" s="376" t="n">
        <f aca="false">SQRT(G89)</f>
        <v>2.58092831459775</v>
      </c>
      <c r="I89" s="376" t="n">
        <f aca="false">IF($I$2=0,0,-(D89^2)/2)</f>
        <v>0</v>
      </c>
      <c r="J89" s="421" t="n">
        <f aca="false">IF(K78=1,C89,EXP(I89*G89+D89*$I$2*H89)*C89)</f>
        <v>4.76706896551724</v>
      </c>
    </row>
    <row r="90" customFormat="false" ht="15.75" hidden="false" customHeight="false" outlineLevel="0" collapsed="false">
      <c r="B90" s="405" t="n">
        <f aca="false">'Revenues &amp; Expenses'!K90</f>
        <v>39052</v>
      </c>
      <c r="C90" s="377" t="n">
        <f aca="false">'Fuel Curve'!F90</f>
        <v>4.80896551724138</v>
      </c>
      <c r="D90" s="422" t="n">
        <f aca="false">'Fuel Curve'!D90</f>
        <v>0.183</v>
      </c>
      <c r="E90" s="407" t="n">
        <f aca="false">VLOOKUP(B90,'PJM Curve Simulation'!$B$9:$F$258,4)</f>
        <v>0.07381436706368</v>
      </c>
      <c r="F90" s="376" t="n">
        <f aca="false">VLOOKUP(B90,'PJM Curve Simulation'!$B$9:$F$258,5)</f>
        <v>0.608036196212576</v>
      </c>
      <c r="G90" s="376" t="n">
        <f aca="false">(B90-$B$1)/365.25</f>
        <v>6.74332648870637</v>
      </c>
      <c r="H90" s="376" t="n">
        <f aca="false">SQRT(G90)</f>
        <v>2.59679157590793</v>
      </c>
      <c r="I90" s="376" t="n">
        <f aca="false">IF($I$2=0,0,-(D90^2)/2)</f>
        <v>0</v>
      </c>
      <c r="J90" s="421" t="n">
        <f aca="false">IF(K79=1,C90,EXP(I90*G90+D90*$I$2*H90)*C90)</f>
        <v>4.80896551724138</v>
      </c>
    </row>
    <row r="91" customFormat="false" ht="15.75" hidden="false" customHeight="false" outlineLevel="0" collapsed="false">
      <c r="B91" s="405" t="n">
        <f aca="false">'Revenues &amp; Expenses'!K91</f>
        <v>39083</v>
      </c>
      <c r="C91" s="377" t="n">
        <f aca="false">'Fuel Curve'!F91</f>
        <v>4.75258620689655</v>
      </c>
      <c r="D91" s="422" t="n">
        <f aca="false">'Fuel Curve'!D91</f>
        <v>0.183</v>
      </c>
      <c r="E91" s="407" t="n">
        <f aca="false">VLOOKUP(B91,'PJM Curve Simulation'!$B$9:$F$258,4)</f>
        <v>0.073838611478806</v>
      </c>
      <c r="F91" s="376" t="n">
        <f aca="false">VLOOKUP(B91,'PJM Curve Simulation'!$B$9:$F$258,5)</f>
        <v>0.604208846990776</v>
      </c>
      <c r="G91" s="376" t="n">
        <f aca="false">(B91-$B$1)/365.25</f>
        <v>6.82819986310746</v>
      </c>
      <c r="H91" s="376" t="n">
        <f aca="false">SQRT(G91)</f>
        <v>2.61308244475896</v>
      </c>
      <c r="I91" s="376" t="n">
        <f aca="false">IF($I$2=0,0,-(D91^2)/2)</f>
        <v>0</v>
      </c>
      <c r="J91" s="421" t="n">
        <f aca="false">IF(K80=1,C91,EXP(I91*G91+D91*$I$2*H91)*C91)</f>
        <v>4.75258620689655</v>
      </c>
    </row>
    <row r="92" customFormat="false" ht="15.75" hidden="false" customHeight="false" outlineLevel="0" collapsed="false">
      <c r="B92" s="405" t="n">
        <f aca="false">'Revenues &amp; Expenses'!K92</f>
        <v>39114</v>
      </c>
      <c r="C92" s="377" t="n">
        <f aca="false">'Fuel Curve'!F92</f>
        <v>4.65258620689655</v>
      </c>
      <c r="D92" s="422" t="n">
        <f aca="false">'Fuel Curve'!D92</f>
        <v>0.182</v>
      </c>
      <c r="E92" s="407" t="n">
        <f aca="false">VLOOKUP(B92,'PJM Curve Simulation'!$B$9:$F$258,4)</f>
        <v>0.073862855894125</v>
      </c>
      <c r="F92" s="376" t="n">
        <f aca="false">VLOOKUP(B92,'PJM Curve Simulation'!$B$9:$F$258,5)</f>
        <v>0.600403207635447</v>
      </c>
      <c r="G92" s="376" t="n">
        <f aca="false">(B92-$B$1)/365.25</f>
        <v>6.91307323750856</v>
      </c>
      <c r="H92" s="376" t="n">
        <f aca="false">SQRT(G92)</f>
        <v>2.62927237796097</v>
      </c>
      <c r="I92" s="376" t="n">
        <f aca="false">IF($I$2=0,0,-(D92^2)/2)</f>
        <v>0</v>
      </c>
      <c r="J92" s="421" t="n">
        <f aca="false">IF(K81=1,C92,EXP(I92*G92+D92*$I$2*H92)*C92)</f>
        <v>4.65258620689655</v>
      </c>
    </row>
    <row r="93" customFormat="false" ht="15.75" hidden="false" customHeight="false" outlineLevel="0" collapsed="false">
      <c r="B93" s="405" t="n">
        <f aca="false">'Revenues &amp; Expenses'!K93</f>
        <v>39142</v>
      </c>
      <c r="C93" s="377" t="n">
        <f aca="false">'Fuel Curve'!F93</f>
        <v>4.55551724137931</v>
      </c>
      <c r="D93" s="422" t="n">
        <f aca="false">'Fuel Curve'!D93</f>
        <v>0.182</v>
      </c>
      <c r="E93" s="407" t="n">
        <f aca="false">VLOOKUP(B93,'PJM Curve Simulation'!$B$9:$F$258,4)</f>
        <v>0.073884754075871</v>
      </c>
      <c r="F93" s="376" t="n">
        <f aca="false">VLOOKUP(B93,'PJM Curve Simulation'!$B$9:$F$258,5)</f>
        <v>0.596984427374887</v>
      </c>
      <c r="G93" s="376" t="n">
        <f aca="false">(B93-$B$1)/365.25</f>
        <v>6.98973305954825</v>
      </c>
      <c r="H93" s="376" t="n">
        <f aca="false">SQRT(G93)</f>
        <v>2.64381032972266</v>
      </c>
      <c r="I93" s="376" t="n">
        <f aca="false">IF($I$2=0,0,-(D93^2)/2)</f>
        <v>0</v>
      </c>
      <c r="J93" s="421" t="n">
        <f aca="false">IF(K82=1,C93,EXP(I93*G93+D93*$I$2*H93)*C93)</f>
        <v>4.55551724137931</v>
      </c>
    </row>
    <row r="94" customFormat="false" ht="15.75" hidden="false" customHeight="false" outlineLevel="0" collapsed="false">
      <c r="B94" s="405" t="n">
        <f aca="false">'Revenues &amp; Expenses'!K94</f>
        <v>39173</v>
      </c>
      <c r="C94" s="377" t="n">
        <f aca="false">'Fuel Curve'!F94</f>
        <v>4.4548275862069</v>
      </c>
      <c r="D94" s="422" t="n">
        <f aca="false">'Fuel Curve'!D94</f>
        <v>0.181</v>
      </c>
      <c r="E94" s="407" t="n">
        <f aca="false">VLOOKUP(B94,'PJM Curve Simulation'!$B$9:$F$258,4)</f>
        <v>0.073901230464944</v>
      </c>
      <c r="F94" s="376" t="n">
        <f aca="false">VLOOKUP(B94,'PJM Curve Simulation'!$B$9:$F$258,5)</f>
        <v>0.593251787908512</v>
      </c>
      <c r="G94" s="376" t="n">
        <f aca="false">(B94-$B$1)/365.25</f>
        <v>7.07460643394935</v>
      </c>
      <c r="H94" s="376" t="n">
        <f aca="false">SQRT(G94)</f>
        <v>2.65981323290741</v>
      </c>
      <c r="I94" s="376" t="n">
        <f aca="false">IF($I$2=0,0,-(D94^2)/2)</f>
        <v>0</v>
      </c>
      <c r="J94" s="421" t="n">
        <f aca="false">IF(K83=1,C94,EXP(I94*G94+D94*$I$2*H94)*C94)</f>
        <v>4.4548275862069</v>
      </c>
    </row>
    <row r="95" customFormat="false" ht="15.75" hidden="false" customHeight="false" outlineLevel="0" collapsed="false">
      <c r="B95" s="405" t="n">
        <f aca="false">'Revenues &amp; Expenses'!K95</f>
        <v>39203</v>
      </c>
      <c r="C95" s="377" t="n">
        <f aca="false">'Fuel Curve'!F95</f>
        <v>4.38758620689655</v>
      </c>
      <c r="D95" s="422" t="n">
        <f aca="false">'Fuel Curve'!D95</f>
        <v>0.181</v>
      </c>
      <c r="E95" s="407" t="n">
        <f aca="false">VLOOKUP(B95,'PJM Curve Simulation'!$B$9:$F$258,4)</f>
        <v>0.073915729695154</v>
      </c>
      <c r="F95" s="376" t="n">
        <f aca="false">VLOOKUP(B95,'PJM Curve Simulation'!$B$9:$F$258,5)</f>
        <v>0.589666247444806</v>
      </c>
      <c r="G95" s="376" t="n">
        <f aca="false">(B95-$B$1)/365.25</f>
        <v>7.15674195756331</v>
      </c>
      <c r="H95" s="376" t="n">
        <f aca="false">SQRT(G95)</f>
        <v>2.67520876896801</v>
      </c>
      <c r="I95" s="376" t="n">
        <f aca="false">IF($I$2=0,0,-(D95^2)/2)</f>
        <v>0</v>
      </c>
      <c r="J95" s="421" t="n">
        <f aca="false">IF(K84=1,C95,EXP(I95*G95+D95*$I$2*H95)*C95)</f>
        <v>4.38758620689655</v>
      </c>
    </row>
    <row r="96" customFormat="false" ht="15.75" hidden="false" customHeight="false" outlineLevel="0" collapsed="false">
      <c r="B96" s="405" t="n">
        <f aca="false">'Revenues &amp; Expenses'!K96</f>
        <v>39234</v>
      </c>
      <c r="C96" s="377" t="n">
        <f aca="false">'Fuel Curve'!F96</f>
        <v>4.38172413793104</v>
      </c>
      <c r="D96" s="422" t="n">
        <f aca="false">'Fuel Curve'!D96</f>
        <v>0.181</v>
      </c>
      <c r="E96" s="407" t="n">
        <f aca="false">VLOOKUP(B96,'PJM Curve Simulation'!$B$9:$F$258,4)</f>
        <v>0.07393071223311</v>
      </c>
      <c r="F96" s="376" t="n">
        <f aca="false">VLOOKUP(B96,'PJM Curve Simulation'!$B$9:$F$258,5)</f>
        <v>0.585982540004072</v>
      </c>
      <c r="G96" s="376" t="n">
        <f aca="false">(B96-$B$1)/365.25</f>
        <v>7.24161533196441</v>
      </c>
      <c r="H96" s="376" t="n">
        <f aca="false">SQRT(G96)</f>
        <v>2.69102495937225</v>
      </c>
      <c r="I96" s="376" t="n">
        <f aca="false">IF($I$2=0,0,-(D96^2)/2)</f>
        <v>0</v>
      </c>
      <c r="J96" s="421" t="n">
        <f aca="false">IF(K85=1,C96,EXP(I96*G96+D96*$I$2*H96)*C96)</f>
        <v>4.38172413793104</v>
      </c>
    </row>
    <row r="97" customFormat="false" ht="15.75" hidden="false" customHeight="false" outlineLevel="0" collapsed="false">
      <c r="B97" s="405" t="n">
        <f aca="false">'Revenues &amp; Expenses'!K97</f>
        <v>39264</v>
      </c>
      <c r="C97" s="377" t="n">
        <f aca="false">'Fuel Curve'!F97</f>
        <v>4.43827586206897</v>
      </c>
      <c r="D97" s="422" t="n">
        <f aca="false">'Fuel Curve'!D97</f>
        <v>0.18</v>
      </c>
      <c r="E97" s="407" t="n">
        <f aca="false">VLOOKUP(B97,'PJM Curve Simulation'!$B$9:$F$258,4)</f>
        <v>0.07394521146346</v>
      </c>
      <c r="F97" s="376" t="n">
        <f aca="false">VLOOKUP(B97,'PJM Curve Simulation'!$B$9:$F$258,5)</f>
        <v>0.582438214610842</v>
      </c>
      <c r="G97" s="376" t="n">
        <f aca="false">(B97-$B$1)/365.25</f>
        <v>7.32375085557837</v>
      </c>
      <c r="H97" s="376" t="n">
        <f aca="false">SQRT(G97)</f>
        <v>2.70624294097525</v>
      </c>
      <c r="I97" s="376" t="n">
        <f aca="false">IF($I$2=0,0,-(D97^2)/2)</f>
        <v>0</v>
      </c>
      <c r="J97" s="421" t="n">
        <f aca="false">IF(K86=1,C97,EXP(I97*G97+D97*$I$2*H97)*C97)</f>
        <v>4.43827586206897</v>
      </c>
    </row>
    <row r="98" customFormat="false" ht="15.75" hidden="false" customHeight="false" outlineLevel="0" collapsed="false">
      <c r="B98" s="405" t="n">
        <f aca="false">'Revenues &amp; Expenses'!K98</f>
        <v>39295</v>
      </c>
      <c r="C98" s="377" t="n">
        <f aca="false">'Fuel Curve'!F98</f>
        <v>4.52810344827586</v>
      </c>
      <c r="D98" s="422" t="n">
        <f aca="false">'Fuel Curve'!D98</f>
        <v>0.18</v>
      </c>
      <c r="E98" s="407" t="n">
        <f aca="false">VLOOKUP(B98,'PJM Curve Simulation'!$B$9:$F$258,4)</f>
        <v>0.073960194001562</v>
      </c>
      <c r="F98" s="376" t="n">
        <f aca="false">VLOOKUP(B98,'PJM Curve Simulation'!$B$9:$F$258,5)</f>
        <v>0.578796869042775</v>
      </c>
      <c r="G98" s="376" t="n">
        <f aca="false">(B98-$B$1)/365.25</f>
        <v>7.40862422997947</v>
      </c>
      <c r="H98" s="376" t="n">
        <f aca="false">SQRT(G98)</f>
        <v>2.72187880516004</v>
      </c>
      <c r="I98" s="376" t="n">
        <f aca="false">IF($I$2=0,0,-(D98^2)/2)</f>
        <v>0</v>
      </c>
      <c r="J98" s="421" t="n">
        <f aca="false">IF(K87=1,C98,EXP(I98*G98+D98*$I$2*H98)*C98)</f>
        <v>4.52810344827586</v>
      </c>
    </row>
    <row r="99" customFormat="false" ht="15.75" hidden="false" customHeight="false" outlineLevel="0" collapsed="false">
      <c r="B99" s="405" t="n">
        <f aca="false">'Revenues &amp; Expenses'!K99</f>
        <v>39326</v>
      </c>
      <c r="C99" s="377" t="n">
        <f aca="false">'Fuel Curve'!F99</f>
        <v>4.62362068965517</v>
      </c>
      <c r="D99" s="422" t="n">
        <f aca="false">'Fuel Curve'!D99</f>
        <v>0.18</v>
      </c>
      <c r="E99" s="407" t="n">
        <f aca="false">VLOOKUP(B99,'PJM Curve Simulation'!$B$9:$F$258,4)</f>
        <v>0.073975176539738</v>
      </c>
      <c r="F99" s="376" t="n">
        <f aca="false">VLOOKUP(B99,'PJM Curve Simulation'!$B$9:$F$258,5)</f>
        <v>0.575176878608227</v>
      </c>
      <c r="G99" s="376" t="n">
        <f aca="false">(B99-$B$1)/365.25</f>
        <v>7.49349760438056</v>
      </c>
      <c r="H99" s="376" t="n">
        <f aca="false">SQRT(G99)</f>
        <v>2.73742536051315</v>
      </c>
      <c r="I99" s="376" t="n">
        <f aca="false">IF($I$2=0,0,-(D99^2)/2)</f>
        <v>0</v>
      </c>
      <c r="J99" s="421" t="n">
        <f aca="false">IF(K88=1,C99,EXP(I99*G99+D99*$I$2*H99)*C99)</f>
        <v>4.62362068965517</v>
      </c>
    </row>
    <row r="100" customFormat="false" ht="15.75" hidden="false" customHeight="false" outlineLevel="0" collapsed="false">
      <c r="B100" s="405" t="n">
        <f aca="false">'Revenues &amp; Expenses'!K100</f>
        <v>39356</v>
      </c>
      <c r="C100" s="377" t="n">
        <f aca="false">'Fuel Curve'!F100</f>
        <v>4.71551724137931</v>
      </c>
      <c r="D100" s="422" t="n">
        <f aca="false">'Fuel Curve'!D100</f>
        <v>0.179</v>
      </c>
      <c r="E100" s="407" t="n">
        <f aca="false">VLOOKUP(B100,'PJM Curve Simulation'!$B$9:$F$258,4)</f>
        <v>0.073989675770301</v>
      </c>
      <c r="F100" s="376" t="n">
        <f aca="false">VLOOKUP(B100,'PJM Curve Simulation'!$B$9:$F$258,5)</f>
        <v>0.571693885865508</v>
      </c>
      <c r="G100" s="376" t="n">
        <f aca="false">(B100-$B$1)/365.25</f>
        <v>7.57563312799452</v>
      </c>
      <c r="H100" s="376" t="n">
        <f aca="false">SQRT(G100)</f>
        <v>2.75238680566423</v>
      </c>
      <c r="I100" s="376" t="n">
        <f aca="false">IF($I$2=0,0,-(D100^2)/2)</f>
        <v>0</v>
      </c>
      <c r="J100" s="421" t="n">
        <f aca="false">IF(K89=1,C100,EXP(I100*G100+D100*$I$2*H100)*C100)</f>
        <v>4.71551724137931</v>
      </c>
    </row>
    <row r="101" customFormat="false" ht="15.75" hidden="false" customHeight="false" outlineLevel="0" collapsed="false">
      <c r="B101" s="405" t="n">
        <f aca="false">'Revenues &amp; Expenses'!K101</f>
        <v>39387</v>
      </c>
      <c r="C101" s="377" t="n">
        <f aca="false">'Fuel Curve'!F101</f>
        <v>4.80465517241379</v>
      </c>
      <c r="D101" s="422" t="n">
        <f aca="false">'Fuel Curve'!D101</f>
        <v>0.179</v>
      </c>
      <c r="E101" s="407" t="n">
        <f aca="false">VLOOKUP(B101,'PJM Curve Simulation'!$B$9:$F$258,4)</f>
        <v>0.074004658308623</v>
      </c>
      <c r="F101" s="376" t="n">
        <f aca="false">VLOOKUP(B101,'PJM Curve Simulation'!$B$9:$F$258,5)</f>
        <v>0.568115579085372</v>
      </c>
      <c r="G101" s="376" t="n">
        <f aca="false">(B101-$B$1)/365.25</f>
        <v>7.66050650239562</v>
      </c>
      <c r="H101" s="376" t="n">
        <f aca="false">SQRT(G101)</f>
        <v>2.76776200248425</v>
      </c>
      <c r="I101" s="376" t="n">
        <f aca="false">IF($I$2=0,0,-(D101^2)/2)</f>
        <v>0</v>
      </c>
      <c r="J101" s="421" t="n">
        <f aca="false">IF(K90=1,C101,EXP(I101*G101+D101*$I$2*H101)*C101)</f>
        <v>4.80465517241379</v>
      </c>
    </row>
    <row r="102" customFormat="false" ht="15.75" hidden="false" customHeight="false" outlineLevel="0" collapsed="false">
      <c r="B102" s="405" t="n">
        <f aca="false">'Revenues &amp; Expenses'!K102</f>
        <v>39417</v>
      </c>
      <c r="C102" s="377" t="n">
        <f aca="false">'Fuel Curve'!F102</f>
        <v>4.84741379310345</v>
      </c>
      <c r="D102" s="422" t="n">
        <f aca="false">'Fuel Curve'!D102</f>
        <v>0.179</v>
      </c>
      <c r="E102" s="407" t="n">
        <f aca="false">VLOOKUP(B102,'PJM Curve Simulation'!$B$9:$F$258,4)</f>
        <v>0.074019157539328</v>
      </c>
      <c r="F102" s="376" t="n">
        <f aca="false">VLOOKUP(B102,'PJM Curve Simulation'!$B$9:$F$258,5)</f>
        <v>0.564672709875958</v>
      </c>
      <c r="G102" s="376" t="n">
        <f aca="false">(B102-$B$1)/365.25</f>
        <v>7.74264202600958</v>
      </c>
      <c r="H102" s="376" t="n">
        <f aca="false">SQRT(G102)</f>
        <v>2.78256033645446</v>
      </c>
      <c r="I102" s="376" t="n">
        <f aca="false">IF($I$2=0,0,-(D102^2)/2)</f>
        <v>0</v>
      </c>
      <c r="J102" s="421" t="n">
        <f aca="false">IF(K91=1,C102,EXP(I102*G102+D102*$I$2*H102)*C102)</f>
        <v>4.84741379310345</v>
      </c>
    </row>
    <row r="103" customFormat="false" ht="15.75" hidden="false" customHeight="false" outlineLevel="0" collapsed="false">
      <c r="B103" s="405" t="n">
        <f aca="false">'Revenues &amp; Expenses'!K103</f>
        <v>39448</v>
      </c>
      <c r="C103" s="377" t="n">
        <f aca="false">'Fuel Curve'!F103</f>
        <v>4.79017241379311</v>
      </c>
      <c r="D103" s="422" t="n">
        <f aca="false">'Fuel Curve'!D103</f>
        <v>0.176</v>
      </c>
      <c r="E103" s="407" t="n">
        <f aca="false">VLOOKUP(B103,'PJM Curve Simulation'!$B$9:$F$258,4)</f>
        <v>0.074034140077795</v>
      </c>
      <c r="F103" s="376" t="n">
        <f aca="false">VLOOKUP(B103,'PJM Curve Simulation'!$B$9:$F$258,5)</f>
        <v>0.5611356424926</v>
      </c>
      <c r="G103" s="376" t="n">
        <f aca="false">(B103-$B$1)/365.25</f>
        <v>7.82751540041068</v>
      </c>
      <c r="H103" s="376" t="n">
        <f aca="false">SQRT(G103)</f>
        <v>2.7977697189745</v>
      </c>
      <c r="I103" s="376" t="n">
        <f aca="false">IF($I$2=0,0,-(D103^2)/2)</f>
        <v>0</v>
      </c>
      <c r="J103" s="421" t="n">
        <f aca="false">IF(K92=1,C103,EXP(I103*G103+D103*$I$2*H103)*C103)</f>
        <v>4.79017241379311</v>
      </c>
    </row>
    <row r="104" customFormat="false" ht="15.75" hidden="false" customHeight="false" outlineLevel="0" collapsed="false">
      <c r="B104" s="405" t="n">
        <f aca="false">'Revenues &amp; Expenses'!K104</f>
        <v>39479</v>
      </c>
      <c r="C104" s="377" t="n">
        <f aca="false">'Fuel Curve'!F104</f>
        <v>4.69103448275862</v>
      </c>
      <c r="D104" s="422" t="n">
        <f aca="false">'Fuel Curve'!D104</f>
        <v>0.176</v>
      </c>
      <c r="E104" s="407" t="n">
        <f aca="false">VLOOKUP(B104,'PJM Curve Simulation'!$B$9:$F$258,4)</f>
        <v>0.074049122616337</v>
      </c>
      <c r="F104" s="376" t="n">
        <f aca="false">VLOOKUP(B104,'PJM Curve Simulation'!$B$9:$F$258,5)</f>
        <v>0.557619363957722</v>
      </c>
      <c r="G104" s="376" t="n">
        <f aca="false">(B104-$B$1)/365.25</f>
        <v>7.91238877481177</v>
      </c>
      <c r="H104" s="376" t="n">
        <f aca="false">SQRT(G104)</f>
        <v>2.8128968652995</v>
      </c>
      <c r="I104" s="376" t="n">
        <f aca="false">IF($I$2=0,0,-(D104^2)/2)</f>
        <v>0</v>
      </c>
      <c r="J104" s="421" t="n">
        <f aca="false">IF(K93=1,C104,EXP(I104*G104+D104*$I$2*H104)*C104)</f>
        <v>4.69103448275862</v>
      </c>
    </row>
    <row r="105" customFormat="false" ht="15.75" hidden="false" customHeight="false" outlineLevel="0" collapsed="false">
      <c r="B105" s="405" t="n">
        <f aca="false">'Revenues &amp; Expenses'!K105</f>
        <v>39508</v>
      </c>
      <c r="C105" s="377" t="n">
        <f aca="false">'Fuel Curve'!F105</f>
        <v>4.59396551724138</v>
      </c>
      <c r="D105" s="422" t="n">
        <f aca="false">'Fuel Curve'!D105</f>
        <v>0.176</v>
      </c>
      <c r="E105" s="407" t="n">
        <f aca="false">VLOOKUP(B105,'PJM Curve Simulation'!$B$9:$F$258,4)</f>
        <v>0.074063138539555</v>
      </c>
      <c r="F105" s="376" t="n">
        <f aca="false">VLOOKUP(B105,'PJM Curve Simulation'!$B$9:$F$258,5)</f>
        <v>0.554348662223597</v>
      </c>
      <c r="G105" s="376" t="n">
        <f aca="false">(B105-$B$1)/365.25</f>
        <v>7.9917864476386</v>
      </c>
      <c r="H105" s="376" t="n">
        <f aca="false">SQRT(G105)</f>
        <v>2.8269747872308</v>
      </c>
      <c r="I105" s="376" t="n">
        <f aca="false">IF($I$2=0,0,-(D105^2)/2)</f>
        <v>0</v>
      </c>
      <c r="J105" s="421" t="n">
        <f aca="false">IF(K94=1,C105,EXP(I105*G105+D105*$I$2*H105)*C105)</f>
        <v>4.59396551724138</v>
      </c>
    </row>
    <row r="106" customFormat="false" ht="15.75" hidden="false" customHeight="false" outlineLevel="0" collapsed="false">
      <c r="B106" s="405" t="n">
        <f aca="false">'Revenues &amp; Expenses'!K106</f>
        <v>39539</v>
      </c>
      <c r="C106" s="377" t="n">
        <f aca="false">'Fuel Curve'!F106</f>
        <v>4.49396551724138</v>
      </c>
      <c r="D106" s="422" t="n">
        <f aca="false">'Fuel Curve'!D106</f>
        <v>0.176</v>
      </c>
      <c r="E106" s="407" t="n">
        <f aca="false">VLOOKUP(B106,'PJM Curve Simulation'!$B$9:$F$258,4)</f>
        <v>0.074078121078241</v>
      </c>
      <c r="F106" s="376" t="n">
        <f aca="false">VLOOKUP(B106,'PJM Curve Simulation'!$B$9:$F$258,5)</f>
        <v>0.55087229945878</v>
      </c>
      <c r="G106" s="376" t="n">
        <f aca="false">(B106-$B$1)/365.25</f>
        <v>8.0766598220397</v>
      </c>
      <c r="H106" s="376" t="n">
        <f aca="false">SQRT(G106)</f>
        <v>2.84194648472481</v>
      </c>
      <c r="I106" s="376" t="n">
        <f aca="false">IF($I$2=0,0,-(D106^2)/2)</f>
        <v>0</v>
      </c>
      <c r="J106" s="421" t="n">
        <f aca="false">IF(K95=1,C106,EXP(I106*G106+D106*$I$2*H106)*C106)</f>
        <v>4.49396551724138</v>
      </c>
    </row>
    <row r="107" customFormat="false" ht="15.75" hidden="false" customHeight="false" outlineLevel="0" collapsed="false">
      <c r="B107" s="405" t="n">
        <f aca="false">'Revenues &amp; Expenses'!K107</f>
        <v>39569</v>
      </c>
      <c r="C107" s="377" t="n">
        <f aca="false">'Fuel Curve'!F107</f>
        <v>4.42672413793104</v>
      </c>
      <c r="D107" s="422" t="n">
        <f aca="false">'Fuel Curve'!D107</f>
        <v>0.176</v>
      </c>
      <c r="E107" s="407" t="n">
        <f aca="false">VLOOKUP(B107,'PJM Curve Simulation'!$B$9:$F$258,4)</f>
        <v>0.074092620309297</v>
      </c>
      <c r="F107" s="376" t="n">
        <f aca="false">VLOOKUP(B107,'PJM Curve Simulation'!$B$9:$F$258,5)</f>
        <v>0.547527557804006</v>
      </c>
      <c r="G107" s="376" t="n">
        <f aca="false">(B107-$B$1)/365.25</f>
        <v>8.15879534565366</v>
      </c>
      <c r="H107" s="376" t="n">
        <f aca="false">SQRT(G107)</f>
        <v>2.85636050694825</v>
      </c>
      <c r="I107" s="376" t="n">
        <f aca="false">IF($I$2=0,0,-(D107^2)/2)</f>
        <v>0</v>
      </c>
      <c r="J107" s="421" t="n">
        <f aca="false">IF(K96=1,C107,EXP(I107*G107+D107*$I$2*H107)*C107)</f>
        <v>4.42672413793104</v>
      </c>
    </row>
    <row r="108" customFormat="false" ht="15.75" hidden="false" customHeight="false" outlineLevel="0" collapsed="false">
      <c r="B108" s="405" t="n">
        <f aca="false">'Revenues &amp; Expenses'!K108</f>
        <v>39600</v>
      </c>
      <c r="C108" s="377" t="n">
        <f aca="false">'Fuel Curve'!F108</f>
        <v>4.42017241379311</v>
      </c>
      <c r="D108" s="422" t="n">
        <f aca="false">'Fuel Curve'!D108</f>
        <v>0.176</v>
      </c>
      <c r="E108" s="407" t="n">
        <f aca="false">VLOOKUP(B108,'PJM Curve Simulation'!$B$9:$F$258,4)</f>
        <v>0.074107602848128</v>
      </c>
      <c r="F108" s="376" t="n">
        <f aca="false">VLOOKUP(B108,'PJM Curve Simulation'!$B$9:$F$258,5)</f>
        <v>0.544091346009173</v>
      </c>
      <c r="G108" s="376" t="n">
        <f aca="false">(B108-$B$1)/365.25</f>
        <v>8.24366872005476</v>
      </c>
      <c r="H108" s="376" t="n">
        <f aca="false">SQRT(G108)</f>
        <v>2.87117897736361</v>
      </c>
      <c r="I108" s="376" t="n">
        <f aca="false">IF($I$2=0,0,-(D108^2)/2)</f>
        <v>0</v>
      </c>
      <c r="J108" s="421" t="n">
        <f aca="false">IF(K97=1,C108,EXP(I108*G108+D108*$I$2*H108)*C108)</f>
        <v>4.42017241379311</v>
      </c>
    </row>
    <row r="109" customFormat="false" ht="15.75" hidden="false" customHeight="false" outlineLevel="0" collapsed="false">
      <c r="B109" s="405" t="n">
        <f aca="false">'Revenues &amp; Expenses'!K109</f>
        <v>39630</v>
      </c>
      <c r="C109" s="377" t="n">
        <f aca="false">'Fuel Curve'!F109</f>
        <v>4.47741379310345</v>
      </c>
      <c r="D109" s="422" t="n">
        <f aca="false">'Fuel Curve'!D109</f>
        <v>0.176</v>
      </c>
      <c r="E109" s="407" t="n">
        <f aca="false">VLOOKUP(B109,'PJM Curve Simulation'!$B$9:$F$258,4)</f>
        <v>0.074122102079324</v>
      </c>
      <c r="F109" s="376" t="n">
        <f aca="false">VLOOKUP(B109,'PJM Curve Simulation'!$B$9:$F$258,5)</f>
        <v>0.540785251828893</v>
      </c>
      <c r="G109" s="376" t="n">
        <f aca="false">(B109-$B$1)/365.25</f>
        <v>8.32580424366872</v>
      </c>
      <c r="H109" s="376" t="n">
        <f aca="false">SQRT(G109)</f>
        <v>2.88544697467632</v>
      </c>
      <c r="I109" s="376" t="n">
        <f aca="false">IF($I$2=0,0,-(D109^2)/2)</f>
        <v>0</v>
      </c>
      <c r="J109" s="421" t="n">
        <f aca="false">IF(K98=1,C109,EXP(I109*G109+D109*$I$2*H109)*C109)</f>
        <v>4.47741379310345</v>
      </c>
    </row>
    <row r="110" customFormat="false" ht="15.75" hidden="false" customHeight="false" outlineLevel="0" collapsed="false">
      <c r="B110" s="405" t="n">
        <f aca="false">'Revenues &amp; Expenses'!K110</f>
        <v>39661</v>
      </c>
      <c r="C110" s="377" t="n">
        <f aca="false">'Fuel Curve'!F110</f>
        <v>4.56793103448276</v>
      </c>
      <c r="D110" s="422" t="n">
        <f aca="false">'Fuel Curve'!D110</f>
        <v>0.176</v>
      </c>
      <c r="E110" s="407" t="n">
        <f aca="false">VLOOKUP(B110,'PJM Curve Simulation'!$B$9:$F$258,4)</f>
        <v>0.074137084618301</v>
      </c>
      <c r="F110" s="376" t="n">
        <f aca="false">VLOOKUP(B110,'PJM Curve Simulation'!$B$9:$F$258,5)</f>
        <v>0.537388761562232</v>
      </c>
      <c r="G110" s="376" t="n">
        <f aca="false">(B110-$B$1)/365.25</f>
        <v>8.41067761806982</v>
      </c>
      <c r="H110" s="376" t="n">
        <f aca="false">SQRT(G110)</f>
        <v>2.90011682834844</v>
      </c>
      <c r="I110" s="376" t="n">
        <f aca="false">IF($I$2=0,0,-(D110^2)/2)</f>
        <v>0</v>
      </c>
      <c r="J110" s="421" t="n">
        <f aca="false">IF(K99=1,C110,EXP(I110*G110+D110*$I$2*H110)*C110)</f>
        <v>4.56793103448276</v>
      </c>
    </row>
    <row r="111" customFormat="false" ht="15.75" hidden="false" customHeight="false" outlineLevel="0" collapsed="false">
      <c r="B111" s="405" t="n">
        <f aca="false">'Revenues &amp; Expenses'!K111</f>
        <v>39692</v>
      </c>
      <c r="C111" s="377" t="n">
        <f aca="false">'Fuel Curve'!F111</f>
        <v>4.66275862068966</v>
      </c>
      <c r="D111" s="422" t="n">
        <f aca="false">'Fuel Curve'!D111</f>
        <v>0.176</v>
      </c>
      <c r="E111" s="407" t="n">
        <f aca="false">VLOOKUP(B111,'PJM Curve Simulation'!$B$9:$F$258,4)</f>
        <v>0.074152067157352</v>
      </c>
      <c r="F111" s="376" t="n">
        <f aca="false">VLOOKUP(B111,'PJM Curve Simulation'!$B$9:$F$258,5)</f>
        <v>0.534012294406073</v>
      </c>
      <c r="G111" s="376" t="n">
        <f aca="false">(B111-$B$1)/365.25</f>
        <v>8.49555099247091</v>
      </c>
      <c r="H111" s="376" t="n">
        <f aca="false">SQRT(G111)</f>
        <v>2.91471284905922</v>
      </c>
      <c r="I111" s="376" t="n">
        <f aca="false">IF($I$2=0,0,-(D111^2)/2)</f>
        <v>0</v>
      </c>
      <c r="J111" s="421" t="n">
        <f aca="false">IF(K100=1,C111,EXP(I111*G111+D111*$I$2*H111)*C111)</f>
        <v>4.66275862068966</v>
      </c>
    </row>
    <row r="112" customFormat="false" ht="15.75" hidden="false" customHeight="false" outlineLevel="0" collapsed="false">
      <c r="B112" s="405" t="n">
        <f aca="false">'Revenues &amp; Expenses'!K112</f>
        <v>39722</v>
      </c>
      <c r="C112" s="377" t="n">
        <f aca="false">'Fuel Curve'!F112</f>
        <v>4.75534482758621</v>
      </c>
      <c r="D112" s="422" t="n">
        <f aca="false">'Fuel Curve'!D112</f>
        <v>0.176</v>
      </c>
      <c r="E112" s="407" t="n">
        <f aca="false">VLOOKUP(B112,'PJM Curve Simulation'!$B$9:$F$258,4)</f>
        <v>0.074166566388762</v>
      </c>
      <c r="F112" s="376" t="n">
        <f aca="false">VLOOKUP(B112,'PJM Curve Simulation'!$B$9:$F$258,5)</f>
        <v>0.530763707268937</v>
      </c>
      <c r="G112" s="376" t="n">
        <f aca="false">(B112-$B$1)/365.25</f>
        <v>8.57768651608487</v>
      </c>
      <c r="H112" s="376" t="n">
        <f aca="false">SQRT(G112)</f>
        <v>2.92876877135852</v>
      </c>
      <c r="I112" s="376" t="n">
        <f aca="false">IF($I$2=0,0,-(D112^2)/2)</f>
        <v>0</v>
      </c>
      <c r="J112" s="421" t="n">
        <f aca="false">IF(K101=1,C112,EXP(I112*G112+D112*$I$2*H112)*C112)</f>
        <v>4.75534482758621</v>
      </c>
    </row>
    <row r="113" customFormat="false" ht="15.75" hidden="false" customHeight="false" outlineLevel="0" collapsed="false">
      <c r="B113" s="405" t="n">
        <f aca="false">'Revenues &amp; Expenses'!K113</f>
        <v>39753</v>
      </c>
      <c r="C113" s="377" t="n">
        <f aca="false">'Fuel Curve'!F113</f>
        <v>4.80465517241379</v>
      </c>
      <c r="D113" s="422" t="n">
        <f aca="false">'Fuel Curve'!D113</f>
        <v>0.176</v>
      </c>
      <c r="E113" s="407" t="n">
        <f aca="false">VLOOKUP(B113,'PJM Curve Simulation'!$B$9:$F$258,4)</f>
        <v>0.074181548927958</v>
      </c>
      <c r="F113" s="376" t="n">
        <f aca="false">VLOOKUP(B113,'PJM Curve Simulation'!$B$9:$F$258,5)</f>
        <v>0.527426321820942</v>
      </c>
      <c r="G113" s="376" t="n">
        <f aca="false">(B113-$B$1)/365.25</f>
        <v>8.66255989048597</v>
      </c>
      <c r="H113" s="376" t="n">
        <f aca="false">SQRT(G113)</f>
        <v>2.94322270487402</v>
      </c>
      <c r="I113" s="376" t="n">
        <f aca="false">IF($I$2=0,0,-(D113^2)/2)</f>
        <v>0</v>
      </c>
      <c r="J113" s="421" t="n">
        <f aca="false">IF(K102=1,C113,EXP(I113*G113+D113*$I$2*H113)*C113)</f>
        <v>4.80465517241379</v>
      </c>
    </row>
    <row r="114" customFormat="false" ht="15.75" hidden="false" customHeight="false" outlineLevel="0" collapsed="false">
      <c r="B114" s="405" t="n">
        <f aca="false">'Revenues &amp; Expenses'!K114</f>
        <v>39783</v>
      </c>
      <c r="C114" s="377" t="n">
        <f aca="false">'Fuel Curve'!F114</f>
        <v>4.84741379310345</v>
      </c>
      <c r="D114" s="422" t="n">
        <f aca="false">'Fuel Curve'!D114</f>
        <v>0.176</v>
      </c>
      <c r="E114" s="407" t="n">
        <f aca="false">VLOOKUP(B114,'PJM Curve Simulation'!$B$9:$F$258,4)</f>
        <v>0.074196048159509</v>
      </c>
      <c r="F114" s="376" t="n">
        <f aca="false">VLOOKUP(B114,'PJM Curve Simulation'!$B$9:$F$258,5)</f>
        <v>0.524215352419727</v>
      </c>
      <c r="G114" s="376" t="n">
        <f aca="false">(B114-$B$1)/365.25</f>
        <v>8.74469541409993</v>
      </c>
      <c r="H114" s="376" t="n">
        <f aca="false">SQRT(G114)</f>
        <v>2.9571431169458</v>
      </c>
      <c r="I114" s="376" t="n">
        <f aca="false">IF($I$2=0,0,-(D114^2)/2)</f>
        <v>0</v>
      </c>
      <c r="J114" s="421" t="n">
        <f aca="false">IF(K103=1,C114,EXP(I114*G114+D114*$I$2*H114)*C114)</f>
        <v>4.84741379310345</v>
      </c>
    </row>
    <row r="115" customFormat="false" ht="15.75" hidden="false" customHeight="false" outlineLevel="0" collapsed="false">
      <c r="B115" s="405" t="n">
        <f aca="false">'Revenues &amp; Expenses'!K115</f>
        <v>39814</v>
      </c>
      <c r="C115" s="377" t="n">
        <f aca="false">'Fuel Curve'!F115</f>
        <v>4.79017241379311</v>
      </c>
      <c r="D115" s="422" t="n">
        <f aca="false">'Fuel Curve'!D115</f>
        <v>0.176</v>
      </c>
      <c r="E115" s="407" t="n">
        <f aca="false">VLOOKUP(B115,'PJM Curve Simulation'!$B$9:$F$258,4)</f>
        <v>0.074211030698851</v>
      </c>
      <c r="F115" s="376" t="n">
        <f aca="false">VLOOKUP(B115,'PJM Curve Simulation'!$B$9:$F$258,5)</f>
        <v>0.520916629613195</v>
      </c>
      <c r="G115" s="376" t="n">
        <f aca="false">(B115-$B$1)/365.25</f>
        <v>8.82956878850103</v>
      </c>
      <c r="H115" s="376" t="n">
        <f aca="false">SQRT(G115)</f>
        <v>2.97145903362322</v>
      </c>
      <c r="I115" s="376" t="n">
        <f aca="false">IF($I$2=0,0,-(D115^2)/2)</f>
        <v>0</v>
      </c>
      <c r="J115" s="421" t="n">
        <f aca="false">IF(K104=1,C115,EXP(I115*G115+D115*$I$2*H115)*C115)</f>
        <v>4.79017241379311</v>
      </c>
    </row>
    <row r="116" customFormat="false" ht="15.75" hidden="false" customHeight="false" outlineLevel="0" collapsed="false">
      <c r="B116" s="405" t="n">
        <f aca="false">'Revenues &amp; Expenses'!K116</f>
        <v>39845</v>
      </c>
      <c r="C116" s="377" t="n">
        <f aca="false">'Fuel Curve'!F116</f>
        <v>4.69103448275862</v>
      </c>
      <c r="D116" s="422" t="n">
        <f aca="false">'Fuel Curve'!D116</f>
        <v>0.176</v>
      </c>
      <c r="E116" s="407" t="n">
        <f aca="false">VLOOKUP(B116,'PJM Curve Simulation'!$B$9:$F$258,4)</f>
        <v>0.074226013238268</v>
      </c>
      <c r="F116" s="376" t="n">
        <f aca="false">VLOOKUP(B116,'PJM Curve Simulation'!$B$9:$F$258,5)</f>
        <v>0.517637395742299</v>
      </c>
      <c r="G116" s="376" t="n">
        <f aca="false">(B116-$B$1)/365.25</f>
        <v>8.91444216290212</v>
      </c>
      <c r="H116" s="376" t="n">
        <f aca="false">SQRT(G116)</f>
        <v>2.98570630888273</v>
      </c>
      <c r="I116" s="376" t="n">
        <f aca="false">IF($I$2=0,0,-(D116^2)/2)</f>
        <v>0</v>
      </c>
      <c r="J116" s="421" t="n">
        <f aca="false">IF(K105=1,C116,EXP(I116*G116+D116*$I$2*H116)*C116)</f>
        <v>4.69103448275862</v>
      </c>
    </row>
    <row r="117" customFormat="false" ht="15.75" hidden="false" customHeight="false" outlineLevel="0" collapsed="false">
      <c r="B117" s="405" t="n">
        <f aca="false">'Revenues &amp; Expenses'!K117</f>
        <v>39873</v>
      </c>
      <c r="C117" s="377" t="n">
        <f aca="false">'Fuel Curve'!F117</f>
        <v>4.59396551724138</v>
      </c>
      <c r="D117" s="422" t="n">
        <f aca="false">'Fuel Curve'!D117</f>
        <v>0.176</v>
      </c>
      <c r="E117" s="407" t="n">
        <f aca="false">VLOOKUP(B117,'PJM Curve Simulation'!$B$9:$F$258,4)</f>
        <v>0.074239545854578</v>
      </c>
      <c r="F117" s="376" t="n">
        <f aca="false">VLOOKUP(B117,'PJM Curve Simulation'!$B$9:$F$258,5)</f>
        <v>0.514692169522929</v>
      </c>
      <c r="G117" s="376" t="n">
        <f aca="false">(B117-$B$1)/365.25</f>
        <v>8.99110198494182</v>
      </c>
      <c r="H117" s="376" t="n">
        <f aca="false">SQRT(G117)</f>
        <v>2.99851663075959</v>
      </c>
      <c r="I117" s="376" t="n">
        <f aca="false">IF($I$2=0,0,-(D117^2)/2)</f>
        <v>0</v>
      </c>
      <c r="J117" s="421" t="n">
        <f aca="false">IF(K106=1,C117,EXP(I117*G117+D117*$I$2*H117)*C117)</f>
        <v>4.59396551724138</v>
      </c>
    </row>
    <row r="118" customFormat="false" ht="15.75" hidden="false" customHeight="false" outlineLevel="0" collapsed="false">
      <c r="B118" s="405" t="n">
        <f aca="false">'Revenues &amp; Expenses'!K118</f>
        <v>39904</v>
      </c>
      <c r="C118" s="377" t="n">
        <f aca="false">'Fuel Curve'!F118</f>
        <v>4.49396551724138</v>
      </c>
      <c r="D118" s="422" t="n">
        <f aca="false">'Fuel Curve'!D118</f>
        <v>0.176</v>
      </c>
      <c r="E118" s="407" t="n">
        <f aca="false">VLOOKUP(B118,'PJM Curve Simulation'!$B$9:$F$258,4)</f>
        <v>0.074254528394135</v>
      </c>
      <c r="F118" s="376" t="n">
        <f aca="false">VLOOKUP(B118,'PJM Curve Simulation'!$B$9:$F$258,5)</f>
        <v>0.511449733303317</v>
      </c>
      <c r="G118" s="376" t="n">
        <f aca="false">(B118-$B$1)/365.25</f>
        <v>9.07597535934292</v>
      </c>
      <c r="H118" s="376" t="n">
        <f aca="false">SQRT(G118)</f>
        <v>3.0126359486906</v>
      </c>
      <c r="I118" s="376" t="n">
        <f aca="false">IF($I$2=0,0,-(D118^2)/2)</f>
        <v>0</v>
      </c>
      <c r="J118" s="421" t="n">
        <f aca="false">IF(K107=1,C118,EXP(I118*G118+D118*$I$2*H118)*C118)</f>
        <v>4.49396551724138</v>
      </c>
    </row>
    <row r="119" customFormat="false" ht="15.75" hidden="false" customHeight="false" outlineLevel="0" collapsed="false">
      <c r="B119" s="405" t="n">
        <f aca="false">'Revenues &amp; Expenses'!K119</f>
        <v>39934</v>
      </c>
      <c r="C119" s="377" t="n">
        <f aca="false">'Fuel Curve'!F119</f>
        <v>4.42672413793104</v>
      </c>
      <c r="D119" s="422" t="n">
        <f aca="false">'Fuel Curve'!D119</f>
        <v>0.176</v>
      </c>
      <c r="E119" s="407" t="n">
        <f aca="false">VLOOKUP(B119,'PJM Curve Simulation'!$B$9:$F$258,4)</f>
        <v>0.074269027626035</v>
      </c>
      <c r="F119" s="376" t="n">
        <f aca="false">VLOOKUP(B119,'PJM Curve Simulation'!$B$9:$F$258,5)</f>
        <v>0.508330155535402</v>
      </c>
      <c r="G119" s="376" t="n">
        <f aca="false">(B119-$B$1)/365.25</f>
        <v>9.15811088295688</v>
      </c>
      <c r="H119" s="376" t="n">
        <f aca="false">SQRT(G119)</f>
        <v>3.02623708307146</v>
      </c>
      <c r="I119" s="376" t="n">
        <f aca="false">IF($I$2=0,0,-(D119^2)/2)</f>
        <v>0</v>
      </c>
      <c r="J119" s="421" t="n">
        <f aca="false">IF(K108=1,C119,EXP(I119*G119+D119*$I$2*H119)*C119)</f>
        <v>4.42672413793104</v>
      </c>
    </row>
    <row r="120" customFormat="false" ht="15.75" hidden="false" customHeight="false" outlineLevel="0" collapsed="false">
      <c r="B120" s="405" t="n">
        <f aca="false">'Revenues &amp; Expenses'!K120</f>
        <v>39965</v>
      </c>
      <c r="C120" s="377" t="n">
        <f aca="false">'Fuel Curve'!F120</f>
        <v>4.42017241379311</v>
      </c>
      <c r="D120" s="422" t="n">
        <f aca="false">'Fuel Curve'!D120</f>
        <v>0.176</v>
      </c>
      <c r="E120" s="407" t="n">
        <f aca="false">VLOOKUP(B120,'PJM Curve Simulation'!$B$9:$F$258,4)</f>
        <v>0.074284010165738</v>
      </c>
      <c r="F120" s="376" t="n">
        <f aca="false">VLOOKUP(B120,'PJM Curve Simulation'!$B$9:$F$258,5)</f>
        <v>0.505125362051734</v>
      </c>
      <c r="G120" s="376" t="n">
        <f aca="false">(B120-$B$1)/365.25</f>
        <v>9.24298425735798</v>
      </c>
      <c r="H120" s="376" t="n">
        <f aca="false">SQRT(G120)</f>
        <v>3.04022766538264</v>
      </c>
      <c r="I120" s="376" t="n">
        <f aca="false">IF($I$2=0,0,-(D120^2)/2)</f>
        <v>0</v>
      </c>
      <c r="J120" s="421" t="n">
        <f aca="false">IF(K109=1,C120,EXP(I120*G120+D120*$I$2*H120)*C120)</f>
        <v>4.42017241379311</v>
      </c>
    </row>
    <row r="121" customFormat="false" ht="15.75" hidden="false" customHeight="false" outlineLevel="0" collapsed="false">
      <c r="B121" s="405" t="n">
        <f aca="false">'Revenues &amp; Expenses'!K121</f>
        <v>39995</v>
      </c>
      <c r="C121" s="377" t="n">
        <f aca="false">'Fuel Curve'!F121</f>
        <v>4.47741379310345</v>
      </c>
      <c r="D121" s="422" t="n">
        <f aca="false">'Fuel Curve'!D121</f>
        <v>0.176</v>
      </c>
      <c r="E121" s="407" t="n">
        <f aca="false">VLOOKUP(B121,'PJM Curve Simulation'!$B$9:$F$258,4)</f>
        <v>0.074298509397779</v>
      </c>
      <c r="F121" s="376" t="n">
        <f aca="false">VLOOKUP(B121,'PJM Curve Simulation'!$B$9:$F$258,5)</f>
        <v>0.502042016261753</v>
      </c>
      <c r="G121" s="376" t="n">
        <f aca="false">(B121-$B$1)/365.25</f>
        <v>9.32511978097194</v>
      </c>
      <c r="H121" s="376" t="n">
        <f aca="false">SQRT(G121)</f>
        <v>3.0537059093783</v>
      </c>
      <c r="I121" s="376" t="n">
        <f aca="false">IF($I$2=0,0,-(D121^2)/2)</f>
        <v>0</v>
      </c>
      <c r="J121" s="421" t="n">
        <f aca="false">IF(K110=1,C121,EXP(I121*G121+D121*$I$2*H121)*C121)</f>
        <v>4.47741379310345</v>
      </c>
    </row>
    <row r="122" customFormat="false" ht="15.75" hidden="false" customHeight="false" outlineLevel="0" collapsed="false">
      <c r="B122" s="405" t="n">
        <f aca="false">'Revenues &amp; Expenses'!K122</f>
        <v>40026</v>
      </c>
      <c r="C122" s="377" t="n">
        <f aca="false">'Fuel Curve'!F122</f>
        <v>4.56793103448276</v>
      </c>
      <c r="D122" s="422" t="n">
        <f aca="false">'Fuel Curve'!D122</f>
        <v>0.176</v>
      </c>
      <c r="E122" s="407" t="n">
        <f aca="false">VLOOKUP(B122,'PJM Curve Simulation'!$B$9:$F$258,4)</f>
        <v>0.074313491937628</v>
      </c>
      <c r="F122" s="376" t="n">
        <f aca="false">VLOOKUP(B122,'PJM Curve Simulation'!$B$9:$F$258,5)</f>
        <v>0.49887446046185</v>
      </c>
      <c r="G122" s="376" t="n">
        <f aca="false">(B122-$B$1)/365.25</f>
        <v>9.40999315537303</v>
      </c>
      <c r="H122" s="376" t="n">
        <f aca="false">SQRT(G122)</f>
        <v>3.06757121439308</v>
      </c>
      <c r="I122" s="376" t="n">
        <f aca="false">IF($I$2=0,0,-(D122^2)/2)</f>
        <v>0</v>
      </c>
      <c r="J122" s="421" t="n">
        <f aca="false">IF(K111=1,C122,EXP(I122*G122+D122*$I$2*H122)*C122)</f>
        <v>4.56793103448276</v>
      </c>
    </row>
    <row r="123" customFormat="false" ht="15.75" hidden="false" customHeight="false" outlineLevel="0" collapsed="false">
      <c r="B123" s="405" t="n">
        <f aca="false">'Revenues &amp; Expenses'!K123</f>
        <v>40057</v>
      </c>
      <c r="C123" s="377" t="n">
        <f aca="false">'Fuel Curve'!F123</f>
        <v>4.66275862068966</v>
      </c>
      <c r="D123" s="422" t="n">
        <f aca="false">'Fuel Curve'!D123</f>
        <v>0.176</v>
      </c>
      <c r="E123" s="407" t="n">
        <f aca="false">VLOOKUP(B123,'PJM Curve Simulation'!$B$9:$F$258,4)</f>
        <v>0.074328474477551</v>
      </c>
      <c r="F123" s="376" t="n">
        <f aca="false">VLOOKUP(B123,'PJM Curve Simulation'!$B$9:$F$258,5)</f>
        <v>0.495725674771308</v>
      </c>
      <c r="G123" s="376" t="n">
        <f aca="false">(B123-$B$1)/365.25</f>
        <v>9.49486652977413</v>
      </c>
      <c r="H123" s="376" t="n">
        <f aca="false">SQRT(G123)</f>
        <v>3.08137413012022</v>
      </c>
      <c r="I123" s="376" t="n">
        <f aca="false">IF($I$2=0,0,-(D123^2)/2)</f>
        <v>0</v>
      </c>
      <c r="J123" s="421" t="n">
        <f aca="false">IF(K112=1,C123,EXP(I123*G123+D123*$I$2*H123)*C123)</f>
        <v>4.66275862068966</v>
      </c>
    </row>
    <row r="124" customFormat="false" ht="15.75" hidden="false" customHeight="false" outlineLevel="0" collapsed="false">
      <c r="B124" s="405" t="n">
        <f aca="false">'Revenues &amp; Expenses'!K124</f>
        <v>40087</v>
      </c>
      <c r="C124" s="377" t="n">
        <f aca="false">'Fuel Curve'!F124</f>
        <v>4.75534482758621</v>
      </c>
      <c r="D124" s="422" t="n">
        <f aca="false">'Fuel Curve'!D124</f>
        <v>0.176</v>
      </c>
      <c r="E124" s="407" t="n">
        <f aca="false">VLOOKUP(B124,'PJM Curve Simulation'!$B$9:$F$258,4)</f>
        <v>0.074342973709804</v>
      </c>
      <c r="F124" s="376" t="n">
        <f aca="false">VLOOKUP(B124,'PJM Curve Simulation'!$B$9:$F$258,5)</f>
        <v>0.492696237369712</v>
      </c>
      <c r="G124" s="376" t="n">
        <f aca="false">(B124-$B$1)/365.25</f>
        <v>9.57700205338809</v>
      </c>
      <c r="H124" s="376" t="n">
        <f aca="false">SQRT(G124)</f>
        <v>3.09467317392129</v>
      </c>
      <c r="I124" s="376" t="n">
        <f aca="false">IF($I$2=0,0,-(D124^2)/2)</f>
        <v>0</v>
      </c>
      <c r="J124" s="421" t="n">
        <f aca="false">IF(K113=1,C124,EXP(I124*G124+D124*$I$2*H124)*C124)</f>
        <v>4.75534482758621</v>
      </c>
    </row>
    <row r="125" customFormat="false" ht="15.75" hidden="false" customHeight="false" outlineLevel="0" collapsed="false">
      <c r="B125" s="405" t="n">
        <f aca="false">'Revenues &amp; Expenses'!K125</f>
        <v>40118</v>
      </c>
      <c r="C125" s="377" t="n">
        <f aca="false">'Fuel Curve'!F125</f>
        <v>4.80465517241379</v>
      </c>
      <c r="D125" s="422" t="n">
        <f aca="false">'Fuel Curve'!D125</f>
        <v>0.176</v>
      </c>
      <c r="E125" s="407" t="n">
        <f aca="false">VLOOKUP(B125,'PJM Curve Simulation'!$B$9:$F$258,4)</f>
        <v>0.074357956249873</v>
      </c>
      <c r="F125" s="376" t="n">
        <f aca="false">VLOOKUP(B125,'PJM Curve Simulation'!$B$9:$F$258,5)</f>
        <v>0.489584085936067</v>
      </c>
      <c r="G125" s="376" t="n">
        <f aca="false">(B125-$B$1)/365.25</f>
        <v>9.66187542778919</v>
      </c>
      <c r="H125" s="376" t="n">
        <f aca="false">SQRT(G125)</f>
        <v>3.10835574344205</v>
      </c>
      <c r="I125" s="376" t="n">
        <f aca="false">IF($I$2=0,0,-(D125^2)/2)</f>
        <v>0</v>
      </c>
      <c r="J125" s="421" t="n">
        <f aca="false">IF(K114=1,C125,EXP(I125*G125+D125*$I$2*H125)*C125)</f>
        <v>4.80465517241379</v>
      </c>
    </row>
    <row r="126" customFormat="false" ht="15.75" hidden="false" customHeight="false" outlineLevel="0" collapsed="false">
      <c r="B126" s="405" t="n">
        <f aca="false">'Revenues &amp; Expenses'!K126</f>
        <v>40148</v>
      </c>
      <c r="C126" s="377" t="n">
        <f aca="false">'Fuel Curve'!F126</f>
        <v>4.84741379310345</v>
      </c>
      <c r="D126" s="422" t="n">
        <f aca="false">'Fuel Curve'!D126</f>
        <v>0.176</v>
      </c>
      <c r="E126" s="407" t="n">
        <f aca="false">VLOOKUP(B126,'PJM Curve Simulation'!$B$9:$F$258,4)</f>
        <v>0.074372455482268</v>
      </c>
      <c r="F126" s="376" t="n">
        <f aca="false">VLOOKUP(B126,'PJM Curve Simulation'!$B$9:$F$258,5)</f>
        <v>0.486589909345415</v>
      </c>
      <c r="G126" s="376" t="n">
        <f aca="false">(B126-$B$1)/365.25</f>
        <v>9.74401095140315</v>
      </c>
      <c r="H126" s="376" t="n">
        <f aca="false">SQRT(G126)</f>
        <v>3.12153983658757</v>
      </c>
      <c r="I126" s="376" t="n">
        <f aca="false">IF($I$2=0,0,-(D126^2)/2)</f>
        <v>0</v>
      </c>
      <c r="J126" s="421" t="n">
        <f aca="false">IF(K115=1,C126,EXP(I126*G126+D126*$I$2*H126)*C126)</f>
        <v>4.84741379310345</v>
      </c>
    </row>
    <row r="127" customFormat="false" ht="15.75" hidden="false" customHeight="false" outlineLevel="0" collapsed="false">
      <c r="B127" s="405" t="n">
        <f aca="false">'Revenues &amp; Expenses'!K127</f>
        <v>40179</v>
      </c>
      <c r="C127" s="377" t="n">
        <f aca="false">'Fuel Curve'!F127</f>
        <v>4.79017241379311</v>
      </c>
      <c r="D127" s="422" t="n">
        <f aca="false">'Fuel Curve'!D127</f>
        <v>0.176</v>
      </c>
      <c r="E127" s="407" t="n">
        <f aca="false">VLOOKUP(B127,'PJM Curve Simulation'!$B$9:$F$258,4)</f>
        <v>0.074387438022482</v>
      </c>
      <c r="F127" s="376" t="n">
        <f aca="false">VLOOKUP(B127,'PJM Curve Simulation'!$B$9:$F$258,5)</f>
        <v>0.48351399697489</v>
      </c>
      <c r="G127" s="376" t="n">
        <f aca="false">(B127-$B$1)/365.25</f>
        <v>9.82888432580424</v>
      </c>
      <c r="H127" s="376" t="n">
        <f aca="false">SQRT(G127)</f>
        <v>3.13510515386713</v>
      </c>
      <c r="I127" s="376" t="n">
        <f aca="false">IF($I$2=0,0,-(D127^2)/2)</f>
        <v>0</v>
      </c>
      <c r="J127" s="421" t="n">
        <f aca="false">IF(K116=1,C127,EXP(I127*G127+D127*$I$2*H127)*C127)</f>
        <v>4.79017241379311</v>
      </c>
    </row>
    <row r="128" customFormat="false" ht="15.75" hidden="false" customHeight="false" outlineLevel="0" collapsed="false">
      <c r="B128" s="405" t="n">
        <f aca="false">'Revenues &amp; Expenses'!K128</f>
        <v>40210</v>
      </c>
      <c r="C128" s="377" t="n">
        <f aca="false">'Fuel Curve'!F128</f>
        <v>4.69103448275862</v>
      </c>
      <c r="D128" s="422" t="n">
        <f aca="false">'Fuel Curve'!D128</f>
        <v>0.176</v>
      </c>
      <c r="E128" s="407" t="n">
        <f aca="false">VLOOKUP(B128,'PJM Curve Simulation'!$B$9:$F$258,4)</f>
        <v>0.074402420562771</v>
      </c>
      <c r="F128" s="376" t="n">
        <f aca="false">VLOOKUP(B128,'PJM Curve Simulation'!$B$9:$F$258,5)</f>
        <v>0.48045635096898</v>
      </c>
      <c r="G128" s="376" t="n">
        <f aca="false">(B128-$B$1)/365.25</f>
        <v>9.91375770020534</v>
      </c>
      <c r="H128" s="376" t="n">
        <f aca="false">SQRT(G128)</f>
        <v>3.14861202757744</v>
      </c>
      <c r="I128" s="376" t="n">
        <f aca="false">IF($I$2=0,0,-(D128^2)/2)</f>
        <v>0</v>
      </c>
      <c r="J128" s="421" t="n">
        <f aca="false">IF(K117=1,C128,EXP(I128*G128+D128*$I$2*H128)*C128)</f>
        <v>4.69103448275862</v>
      </c>
    </row>
    <row r="129" customFormat="false" ht="15.75" hidden="false" customHeight="false" outlineLevel="0" collapsed="false">
      <c r="B129" s="405" t="n">
        <f aca="false">'Revenues &amp; Expenses'!K129</f>
        <v>40238</v>
      </c>
      <c r="C129" s="377" t="n">
        <f aca="false">'Fuel Curve'!F129</f>
        <v>4.59396551724138</v>
      </c>
      <c r="D129" s="422" t="n">
        <f aca="false">'Fuel Curve'!D129</f>
        <v>0.176</v>
      </c>
      <c r="E129" s="407" t="n">
        <f aca="false">VLOOKUP(B129,'PJM Curve Simulation'!$B$9:$F$258,4)</f>
        <v>0.074415953179869</v>
      </c>
      <c r="F129" s="376" t="n">
        <f aca="false">VLOOKUP(B129,'PJM Curve Simulation'!$B$9:$F$258,5)</f>
        <v>0.477710222864911</v>
      </c>
      <c r="G129" s="376" t="n">
        <f aca="false">(B129-$B$1)/365.25</f>
        <v>9.99041752224504</v>
      </c>
      <c r="H129" s="376" t="n">
        <f aca="false">SQRT(G129)</f>
        <v>3.16076217426194</v>
      </c>
      <c r="I129" s="376" t="n">
        <f aca="false">IF($I$2=0,0,-(D129^2)/2)</f>
        <v>0</v>
      </c>
      <c r="J129" s="421" t="n">
        <f aca="false">IF(K118=1,C129,EXP(I129*G129+D129*$I$2*H129)*C129)</f>
        <v>4.59396551724138</v>
      </c>
    </row>
    <row r="130" customFormat="false" ht="15.75" hidden="false" customHeight="false" outlineLevel="0" collapsed="false">
      <c r="B130" s="405" t="n">
        <f aca="false">'Revenues &amp; Expenses'!K130</f>
        <v>40269</v>
      </c>
      <c r="C130" s="377" t="n">
        <f aca="false">'Fuel Curve'!F130</f>
        <v>4.49396551724138</v>
      </c>
      <c r="D130" s="422" t="n">
        <f aca="false">'Fuel Curve'!D130</f>
        <v>0.176</v>
      </c>
      <c r="E130" s="407" t="n">
        <f aca="false">VLOOKUP(B130,'PJM Curve Simulation'!$B$9:$F$258,4)</f>
        <v>0.074415331083391</v>
      </c>
      <c r="F130" s="376" t="n">
        <f aca="false">VLOOKUP(B130,'PJM Curve Simulation'!$B$9:$F$258,5)</f>
        <v>0.474759883769681</v>
      </c>
      <c r="G130" s="376" t="n">
        <f aca="false">(B130-$B$1)/365.25</f>
        <v>10.0752908966461</v>
      </c>
      <c r="H130" s="376" t="n">
        <f aca="false">SQRT(G130)</f>
        <v>3.17415987257197</v>
      </c>
      <c r="I130" s="376" t="n">
        <f aca="false">IF($I$2=0,0,-(D130^2)/2)</f>
        <v>0</v>
      </c>
      <c r="J130" s="421" t="n">
        <f aca="false">IF(K119=1,C130,EXP(I130*G130+D130*$I$2*H130)*C130)</f>
        <v>4.49396551724138</v>
      </c>
    </row>
    <row r="131" customFormat="false" ht="15.75" hidden="false" customHeight="false" outlineLevel="0" collapsed="false">
      <c r="B131" s="405" t="n">
        <f aca="false">'Revenues &amp; Expenses'!K131</f>
        <v>40299</v>
      </c>
      <c r="C131" s="377" t="n">
        <f aca="false">'Fuel Curve'!F131</f>
        <v>4.42672413793104</v>
      </c>
      <c r="D131" s="422" t="n">
        <f aca="false">'Fuel Curve'!D131</f>
        <v>0.176</v>
      </c>
      <c r="E131" s="407" t="n">
        <f aca="false">VLOOKUP(B131,'PJM Curve Simulation'!$B$9:$F$258,4)</f>
        <v>0.074410324519944</v>
      </c>
      <c r="F131" s="376" t="n">
        <f aca="false">VLOOKUP(B131,'PJM Curve Simulation'!$B$9:$F$258,5)</f>
        <v>0.471942710609303</v>
      </c>
      <c r="G131" s="376" t="n">
        <f aca="false">(B131-$B$1)/365.25</f>
        <v>10.1574264202601</v>
      </c>
      <c r="H131" s="376" t="n">
        <f aca="false">SQRT(G131)</f>
        <v>3.18707176264672</v>
      </c>
      <c r="I131" s="376" t="n">
        <f aca="false">IF($I$2=0,0,-(D131^2)/2)</f>
        <v>0</v>
      </c>
      <c r="J131" s="421" t="n">
        <f aca="false">IF(K120=1,C131,EXP(I131*G131+D131*$I$2*H131)*C131)</f>
        <v>4.42672413793104</v>
      </c>
    </row>
    <row r="132" customFormat="false" ht="15.75" hidden="false" customHeight="false" outlineLevel="0" collapsed="false">
      <c r="B132" s="405" t="n">
        <f aca="false">'Revenues &amp; Expenses'!K132</f>
        <v>40330</v>
      </c>
      <c r="C132" s="377" t="n">
        <f aca="false">'Fuel Curve'!F132</f>
        <v>4.42017241379311</v>
      </c>
      <c r="D132" s="422" t="n">
        <f aca="false">'Fuel Curve'!D132</f>
        <v>0.176</v>
      </c>
      <c r="E132" s="407" t="n">
        <f aca="false">VLOOKUP(B132,'PJM Curve Simulation'!$B$9:$F$258,4)</f>
        <v>0.074405151071058</v>
      </c>
      <c r="F132" s="376" t="n">
        <f aca="false">VLOOKUP(B132,'PJM Curve Simulation'!$B$9:$F$258,5)</f>
        <v>0.469049583227549</v>
      </c>
      <c r="G132" s="376" t="n">
        <f aca="false">(B132-$B$1)/365.25</f>
        <v>10.2422997946612</v>
      </c>
      <c r="H132" s="376" t="n">
        <f aca="false">SQRT(G132)</f>
        <v>3.20035932274193</v>
      </c>
      <c r="I132" s="376" t="n">
        <f aca="false">IF($I$2=0,0,-(D132^2)/2)</f>
        <v>0</v>
      </c>
      <c r="J132" s="421" t="n">
        <f aca="false">IF(K121=1,C132,EXP(I132*G132+D132*$I$2*H132)*C132)</f>
        <v>4.42017241379311</v>
      </c>
    </row>
    <row r="133" customFormat="false" ht="15.75" hidden="false" customHeight="false" outlineLevel="0" collapsed="false">
      <c r="B133" s="405" t="n">
        <f aca="false">'Revenues &amp; Expenses'!K133</f>
        <v>40360</v>
      </c>
      <c r="C133" s="377" t="n">
        <f aca="false">'Fuel Curve'!F133</f>
        <v>4.47741379310345</v>
      </c>
      <c r="D133" s="422" t="n">
        <f aca="false">'Fuel Curve'!D133</f>
        <v>0.176</v>
      </c>
      <c r="E133" s="407" t="n">
        <f aca="false">VLOOKUP(B133,'PJM Curve Simulation'!$B$9:$F$258,4)</f>
        <v>0.074400144507628</v>
      </c>
      <c r="F133" s="376" t="n">
        <f aca="false">VLOOKUP(B133,'PJM Curve Simulation'!$B$9:$F$258,5)</f>
        <v>0.466267046239798</v>
      </c>
      <c r="G133" s="376" t="n">
        <f aca="false">(B133-$B$1)/365.25</f>
        <v>10.3244353182752</v>
      </c>
      <c r="H133" s="376" t="n">
        <f aca="false">SQRT(G133)</f>
        <v>3.21316593382215</v>
      </c>
      <c r="I133" s="376" t="n">
        <f aca="false">IF($I$2=0,0,-(D133^2)/2)</f>
        <v>0</v>
      </c>
      <c r="J133" s="421" t="n">
        <f aca="false">IF(K122=1,C133,EXP(I133*G133+D133*$I$2*H133)*C133)</f>
        <v>4.47741379310345</v>
      </c>
    </row>
    <row r="134" customFormat="false" ht="15.75" hidden="false" customHeight="false" outlineLevel="0" collapsed="false">
      <c r="B134" s="405" t="n">
        <f aca="false">'Revenues &amp; Expenses'!K134</f>
        <v>40391</v>
      </c>
      <c r="C134" s="377" t="n">
        <f aca="false">'Fuel Curve'!F134</f>
        <v>4.56793103448276</v>
      </c>
      <c r="D134" s="422" t="n">
        <f aca="false">'Fuel Curve'!D134</f>
        <v>0.176</v>
      </c>
      <c r="E134" s="407" t="n">
        <f aca="false">VLOOKUP(B134,'PJM Curve Simulation'!$B$9:$F$258,4)</f>
        <v>0.07439497105876</v>
      </c>
      <c r="F134" s="376" t="n">
        <f aca="false">VLOOKUP(B134,'PJM Curve Simulation'!$B$9:$F$258,5)</f>
        <v>0.463409484284822</v>
      </c>
      <c r="G134" s="376" t="n">
        <f aca="false">(B134-$B$1)/365.25</f>
        <v>10.4093086926763</v>
      </c>
      <c r="H134" s="376" t="n">
        <f aca="false">SQRT(G134)</f>
        <v>3.22634602804415</v>
      </c>
      <c r="I134" s="376" t="n">
        <f aca="false">IF($I$2=0,0,-(D134^2)/2)</f>
        <v>0</v>
      </c>
      <c r="J134" s="421" t="n">
        <f aca="false">IF(K123=1,C134,EXP(I134*G134+D134*$I$2*H134)*C134)</f>
        <v>4.56793103448276</v>
      </c>
    </row>
    <row r="135" customFormat="false" ht="15.75" hidden="false" customHeight="false" outlineLevel="0" collapsed="false">
      <c r="B135" s="405" t="n">
        <f aca="false">'Revenues &amp; Expenses'!K135</f>
        <v>40422</v>
      </c>
      <c r="C135" s="377" t="n">
        <f aca="false">'Fuel Curve'!F135</f>
        <v>4.66275862068966</v>
      </c>
      <c r="D135" s="422" t="n">
        <f aca="false">'Fuel Curve'!D135</f>
        <v>0.176</v>
      </c>
      <c r="E135" s="407" t="n">
        <f aca="false">VLOOKUP(B135,'PJM Curve Simulation'!$B$9:$F$258,4)</f>
        <v>0.0743897976099</v>
      </c>
      <c r="F135" s="376" t="n">
        <f aca="false">VLOOKUP(B135,'PJM Curve Simulation'!$B$9:$F$258,5)</f>
        <v>0.46056982518633</v>
      </c>
      <c r="G135" s="376" t="n">
        <f aca="false">(B135-$B$1)/365.25</f>
        <v>10.4941820670773</v>
      </c>
      <c r="H135" s="376" t="n">
        <f aca="false">SQRT(G135)</f>
        <v>3.23947249827458</v>
      </c>
      <c r="I135" s="376" t="n">
        <f aca="false">IF($I$2=0,0,-(D135^2)/2)</f>
        <v>0</v>
      </c>
      <c r="J135" s="421" t="n">
        <f aca="false">IF(K124=1,C135,EXP(I135*G135+D135*$I$2*H135)*C135)</f>
        <v>4.66275862068966</v>
      </c>
    </row>
    <row r="136" customFormat="false" ht="15.75" hidden="false" customHeight="false" outlineLevel="0" collapsed="false">
      <c r="B136" s="405" t="n">
        <f aca="false">'Revenues &amp; Expenses'!K136</f>
        <v>40452</v>
      </c>
      <c r="C136" s="377" t="n">
        <f aca="false">'Fuel Curve'!F136</f>
        <v>4.75534482758621</v>
      </c>
      <c r="D136" s="422" t="n">
        <f aca="false">'Fuel Curve'!D136</f>
        <v>0.176</v>
      </c>
      <c r="E136" s="407" t="n">
        <f aca="false">VLOOKUP(B136,'PJM Curve Simulation'!$B$9:$F$258,4)</f>
        <v>0.074384791046497</v>
      </c>
      <c r="F136" s="376" t="n">
        <f aca="false">VLOOKUP(B136,'PJM Curve Simulation'!$B$9:$F$258,5)</f>
        <v>0.45783870604791</v>
      </c>
      <c r="G136" s="376" t="n">
        <f aca="false">(B136-$B$1)/365.25</f>
        <v>10.5763175906913</v>
      </c>
      <c r="H136" s="376" t="n">
        <f aca="false">SQRT(G136)</f>
        <v>3.25212508841393</v>
      </c>
      <c r="I136" s="376" t="n">
        <f aca="false">IF($I$2=0,0,-(D136^2)/2)</f>
        <v>0</v>
      </c>
      <c r="J136" s="421" t="n">
        <f aca="false">IF(K125=1,C136,EXP(I136*G136+D136*$I$2*H136)*C136)</f>
        <v>4.75534482758621</v>
      </c>
    </row>
    <row r="137" customFormat="false" ht="15.75" hidden="false" customHeight="false" outlineLevel="0" collapsed="false">
      <c r="B137" s="405" t="n">
        <f aca="false">'Revenues &amp; Expenses'!K137</f>
        <v>40483</v>
      </c>
      <c r="C137" s="377" t="n">
        <f aca="false">'Fuel Curve'!F137</f>
        <v>4.80465517241379</v>
      </c>
      <c r="D137" s="422" t="n">
        <f aca="false">'Fuel Curve'!D137</f>
        <v>0.176</v>
      </c>
      <c r="E137" s="407" t="n">
        <f aca="false">VLOOKUP(B137,'PJM Curve Simulation'!$B$9:$F$258,4)</f>
        <v>0.074379617597654</v>
      </c>
      <c r="F137" s="376" t="n">
        <f aca="false">VLOOKUP(B137,'PJM Curve Simulation'!$B$9:$F$258,5)</f>
        <v>0.455033941535936</v>
      </c>
      <c r="G137" s="376" t="n">
        <f aca="false">(B137-$B$1)/365.25</f>
        <v>10.6611909650924</v>
      </c>
      <c r="H137" s="376" t="n">
        <f aca="false">SQRT(G137)</f>
        <v>3.26514792392204</v>
      </c>
      <c r="I137" s="376" t="n">
        <f aca="false">IF($I$2=0,0,-(D137^2)/2)</f>
        <v>0</v>
      </c>
      <c r="J137" s="421" t="n">
        <f aca="false">IF(K126=1,C137,EXP(I137*G137+D137*$I$2*H137)*C137)</f>
        <v>4.80465517241379</v>
      </c>
    </row>
    <row r="138" customFormat="false" ht="15.75" hidden="false" customHeight="false" outlineLevel="0" collapsed="false">
      <c r="B138" s="405" t="n">
        <f aca="false">'Revenues &amp; Expenses'!K138</f>
        <v>40513</v>
      </c>
      <c r="C138" s="377" t="n">
        <f aca="false">'Fuel Curve'!F138</f>
        <v>4.84741379310345</v>
      </c>
      <c r="D138" s="422" t="n">
        <f aca="false">'Fuel Curve'!D138</f>
        <v>0.176</v>
      </c>
      <c r="E138" s="407" t="n">
        <f aca="false">VLOOKUP(B138,'PJM Curve Simulation'!$B$9:$F$258,4)</f>
        <v>0.074374611034267</v>
      </c>
      <c r="F138" s="376" t="n">
        <f aca="false">VLOOKUP(B138,'PJM Curve Simulation'!$B$9:$F$258,5)</f>
        <v>0.452336378891516</v>
      </c>
      <c r="G138" s="376" t="n">
        <f aca="false">(B138-$B$1)/365.25</f>
        <v>10.7433264887064</v>
      </c>
      <c r="H138" s="376" t="n">
        <f aca="false">SQRT(G138)</f>
        <v>3.27770140322549</v>
      </c>
      <c r="I138" s="376" t="n">
        <f aca="false">IF($I$2=0,0,-(D138^2)/2)</f>
        <v>0</v>
      </c>
      <c r="J138" s="421" t="n">
        <f aca="false">IF(K127=1,C138,EXP(I138*G138+D138*$I$2*H138)*C138)</f>
        <v>4.84741379310345</v>
      </c>
    </row>
    <row r="139" customFormat="false" ht="15.75" hidden="false" customHeight="false" outlineLevel="0" collapsed="false">
      <c r="B139" s="405" t="n">
        <f aca="false">'Revenues &amp; Expenses'!K139</f>
        <v>40544</v>
      </c>
      <c r="C139" s="377" t="n">
        <f aca="false">'Fuel Curve'!F139</f>
        <v>4.79017241379311</v>
      </c>
      <c r="D139" s="422" t="n">
        <f aca="false">'Fuel Curve'!D139</f>
        <v>0.176</v>
      </c>
      <c r="E139" s="407" t="n">
        <f aca="false">VLOOKUP(B139,'PJM Curve Simulation'!$B$9:$F$258,4)</f>
        <v>0.074369437585442</v>
      </c>
      <c r="F139" s="376" t="n">
        <f aca="false">VLOOKUP(B139,'PJM Curve Simulation'!$B$9:$F$258,5)</f>
        <v>0.449566071296563</v>
      </c>
      <c r="G139" s="376" t="n">
        <f aca="false">(B139-$B$1)/365.25</f>
        <v>10.8281998631075</v>
      </c>
      <c r="H139" s="376" t="n">
        <f aca="false">SQRT(G139)</f>
        <v>3.29062302050956</v>
      </c>
      <c r="I139" s="376" t="n">
        <f aca="false">IF($I$2=0,0,-(D139^2)/2)</f>
        <v>0</v>
      </c>
      <c r="J139" s="421" t="n">
        <f aca="false">IF(K128=1,C139,EXP(I139*G139+D139*$I$2*H139)*C139)</f>
        <v>4.79017241379311</v>
      </c>
    </row>
    <row r="140" customFormat="false" ht="15.75" hidden="false" customHeight="false" outlineLevel="0" collapsed="false">
      <c r="B140" s="405" t="n">
        <f aca="false">'Revenues &amp; Expenses'!K140</f>
        <v>40575</v>
      </c>
      <c r="C140" s="377" t="n">
        <f aca="false">'Fuel Curve'!F140</f>
        <v>4.69103448275862</v>
      </c>
      <c r="D140" s="422" t="n">
        <f aca="false">'Fuel Curve'!D140</f>
        <v>0.176</v>
      </c>
      <c r="E140" s="407" t="n">
        <f aca="false">VLOOKUP(B140,'PJM Curve Simulation'!$B$9:$F$258,4)</f>
        <v>0.074364264136626</v>
      </c>
      <c r="F140" s="376" t="n">
        <f aca="false">VLOOKUP(B140,'PJM Curve Simulation'!$B$9:$F$258,5)</f>
        <v>0.446813108661613</v>
      </c>
      <c r="G140" s="376" t="n">
        <f aca="false">(B140-$B$1)/365.25</f>
        <v>10.9130732375086</v>
      </c>
      <c r="H140" s="376" t="n">
        <f aca="false">SQRT(G140)</f>
        <v>3.30349409527375</v>
      </c>
      <c r="I140" s="376" t="n">
        <f aca="false">IF($I$2=0,0,-(D140^2)/2)</f>
        <v>0</v>
      </c>
      <c r="J140" s="421" t="n">
        <f aca="false">IF(K129=1,C140,EXP(I140*G140+D140*$I$2*H140)*C140)</f>
        <v>4.69103448275862</v>
      </c>
    </row>
    <row r="141" customFormat="false" ht="15.75" hidden="false" customHeight="false" outlineLevel="0" collapsed="false">
      <c r="B141" s="405" t="n">
        <f aca="false">'Revenues &amp; Expenses'!K141</f>
        <v>40603</v>
      </c>
      <c r="C141" s="377" t="n">
        <f aca="false">'Fuel Curve'!F141</f>
        <v>4.59396551724138</v>
      </c>
      <c r="D141" s="422" t="n">
        <f aca="false">'Fuel Curve'!D141</f>
        <v>0.176</v>
      </c>
      <c r="E141" s="407" t="n">
        <f aca="false">VLOOKUP(B141,'PJM Curve Simulation'!$B$9:$F$258,4)</f>
        <v>0.074359591344155</v>
      </c>
      <c r="F141" s="376" t="n">
        <f aca="false">VLOOKUP(B141,'PJM Curve Simulation'!$B$9:$F$258,5)</f>
        <v>0.444341377900915</v>
      </c>
      <c r="G141" s="376" t="n">
        <f aca="false">(B141-$B$1)/365.25</f>
        <v>10.9897330595483</v>
      </c>
      <c r="H141" s="376" t="n">
        <f aca="false">SQRT(G141)</f>
        <v>3.31507662951375</v>
      </c>
      <c r="I141" s="376" t="n">
        <f aca="false">IF($I$2=0,0,-(D141^2)/2)</f>
        <v>0</v>
      </c>
      <c r="J141" s="421" t="n">
        <f aca="false">IF(K130=1,C141,EXP(I141*G141+D141*$I$2*H141)*C141)</f>
        <v>4.59396551724138</v>
      </c>
    </row>
    <row r="142" customFormat="false" ht="15.75" hidden="false" customHeight="false" outlineLevel="0" collapsed="false">
      <c r="B142" s="405" t="n">
        <f aca="false">'Revenues &amp; Expenses'!K142</f>
        <v>40634</v>
      </c>
      <c r="C142" s="377" t="n">
        <f aca="false">'Fuel Curve'!F142</f>
        <v>4.49396551724138</v>
      </c>
      <c r="D142" s="422" t="n">
        <f aca="false">'Fuel Curve'!D142</f>
        <v>0.176</v>
      </c>
      <c r="E142" s="407" t="n">
        <f aca="false">VLOOKUP(B142,'PJM Curve Simulation'!$B$9:$F$258,4)</f>
        <v>0.074354417895356</v>
      </c>
      <c r="F142" s="376" t="n">
        <f aca="false">VLOOKUP(B142,'PJM Curve Simulation'!$B$9:$F$258,5)</f>
        <v>0.441621120962987</v>
      </c>
      <c r="G142" s="376" t="n">
        <f aca="false">(B142-$B$1)/365.25</f>
        <v>11.0746064339494</v>
      </c>
      <c r="H142" s="376" t="n">
        <f aca="false">SQRT(G142)</f>
        <v>3.32785312685962</v>
      </c>
      <c r="I142" s="376" t="n">
        <f aca="false">IF($I$2=0,0,-(D142^2)/2)</f>
        <v>0</v>
      </c>
      <c r="J142" s="421" t="n">
        <f aca="false">IF(K131=1,C142,EXP(I142*G142+D142*$I$2*H142)*C142)</f>
        <v>4.49396551724138</v>
      </c>
    </row>
    <row r="143" customFormat="false" ht="15.75" hidden="false" customHeight="false" outlineLevel="0" collapsed="false">
      <c r="B143" s="405" t="n">
        <f aca="false">'Revenues &amp; Expenses'!K143</f>
        <v>40664</v>
      </c>
      <c r="C143" s="377" t="n">
        <f aca="false">'Fuel Curve'!F143</f>
        <v>4.42672413793104</v>
      </c>
      <c r="D143" s="422" t="n">
        <f aca="false">'Fuel Curve'!D143</f>
        <v>0.176</v>
      </c>
      <c r="E143" s="407" t="n">
        <f aca="false">VLOOKUP(B143,'PJM Curve Simulation'!$B$9:$F$258,4)</f>
        <v>0.074349411332009</v>
      </c>
      <c r="F143" s="376" t="n">
        <f aca="false">VLOOKUP(B143,'PJM Curve Simulation'!$B$9:$F$258,5)</f>
        <v>0.439004825526222</v>
      </c>
      <c r="G143" s="376" t="n">
        <f aca="false">(B143-$B$1)/365.25</f>
        <v>11.1567419575633</v>
      </c>
      <c r="H143" s="376" t="n">
        <f aca="false">SQRT(G143)</f>
        <v>3.34017094735633</v>
      </c>
      <c r="I143" s="376" t="n">
        <f aca="false">IF($I$2=0,0,-(D143^2)/2)</f>
        <v>0</v>
      </c>
      <c r="J143" s="421" t="n">
        <f aca="false">IF(K132=1,C143,EXP(I143*G143+D143*$I$2*H143)*C143)</f>
        <v>4.42672413793104</v>
      </c>
    </row>
    <row r="144" customFormat="false" ht="15.75" hidden="false" customHeight="false" outlineLevel="0" collapsed="false">
      <c r="B144" s="405" t="n">
        <f aca="false">'Revenues &amp; Expenses'!K144</f>
        <v>40695</v>
      </c>
      <c r="C144" s="377" t="n">
        <f aca="false">'Fuel Curve'!F144</f>
        <v>4.42017241379311</v>
      </c>
      <c r="D144" s="422" t="n">
        <f aca="false">'Fuel Curve'!D144</f>
        <v>0.176</v>
      </c>
      <c r="E144" s="407" t="n">
        <f aca="false">VLOOKUP(B144,'PJM Curve Simulation'!$B$9:$F$258,4)</f>
        <v>0.074344237883228</v>
      </c>
      <c r="F144" s="376" t="n">
        <f aca="false">VLOOKUP(B144,'PJM Curve Simulation'!$B$9:$F$258,5)</f>
        <v>0.436317966012606</v>
      </c>
      <c r="G144" s="376" t="n">
        <f aca="false">(B144-$B$1)/365.25</f>
        <v>11.2416153319644</v>
      </c>
      <c r="H144" s="376" t="n">
        <f aca="false">SQRT(G144)</f>
        <v>3.35285182075862</v>
      </c>
      <c r="I144" s="376" t="n">
        <f aca="false">IF($I$2=0,0,-(D144^2)/2)</f>
        <v>0</v>
      </c>
      <c r="J144" s="421" t="n">
        <f aca="false">IF(K133=1,C144,EXP(I144*G144+D144*$I$2*H144)*C144)</f>
        <v>4.42017241379311</v>
      </c>
    </row>
    <row r="145" customFormat="false" ht="15.75" hidden="false" customHeight="false" outlineLevel="0" collapsed="false">
      <c r="B145" s="405" t="n">
        <f aca="false">'Revenues &amp; Expenses'!K145</f>
        <v>40725</v>
      </c>
      <c r="C145" s="377" t="n">
        <f aca="false">'Fuel Curve'!F145</f>
        <v>4.47741379310345</v>
      </c>
      <c r="D145" s="422" t="n">
        <f aca="false">'Fuel Curve'!D145</f>
        <v>0.176</v>
      </c>
      <c r="E145" s="407" t="n">
        <f aca="false">VLOOKUP(B145,'PJM Curve Simulation'!$B$9:$F$258,4)</f>
        <v>0.074339231319899</v>
      </c>
      <c r="F145" s="376" t="n">
        <f aca="false">VLOOKUP(B145,'PJM Curve Simulation'!$B$9:$F$258,5)</f>
        <v>0.433733787493984</v>
      </c>
      <c r="G145" s="376" t="n">
        <f aca="false">(B145-$B$1)/365.25</f>
        <v>11.3237508555784</v>
      </c>
      <c r="H145" s="376" t="n">
        <f aca="false">SQRT(G145)</f>
        <v>3.36507813513719</v>
      </c>
      <c r="I145" s="376" t="n">
        <f aca="false">IF($I$2=0,0,-(D145^2)/2)</f>
        <v>0</v>
      </c>
      <c r="J145" s="421" t="n">
        <f aca="false">IF(K134=1,C145,EXP(I145*G145+D145*$I$2*H145)*C145)</f>
        <v>4.47741379310345</v>
      </c>
    </row>
    <row r="146" customFormat="false" ht="15.75" hidden="false" customHeight="false" outlineLevel="0" collapsed="false">
      <c r="B146" s="405" t="n">
        <f aca="false">'Revenues &amp; Expenses'!K146</f>
        <v>40756</v>
      </c>
      <c r="C146" s="377" t="n">
        <f aca="false">'Fuel Curve'!F146</f>
        <v>4.56793103448276</v>
      </c>
      <c r="D146" s="422" t="n">
        <f aca="false">'Fuel Curve'!D146</f>
        <v>0.176</v>
      </c>
      <c r="E146" s="407" t="n">
        <f aca="false">VLOOKUP(B146,'PJM Curve Simulation'!$B$9:$F$258,4)</f>
        <v>0.074334057871135</v>
      </c>
      <c r="F146" s="376" t="n">
        <f aca="false">VLOOKUP(B146,'PJM Curve Simulation'!$B$9:$F$258,5)</f>
        <v>0.431079906873135</v>
      </c>
      <c r="G146" s="376" t="n">
        <f aca="false">(B146-$B$1)/365.25</f>
        <v>11.4086242299795</v>
      </c>
      <c r="H146" s="376" t="n">
        <f aca="false">SQRT(G146)</f>
        <v>3.37766550001321</v>
      </c>
      <c r="I146" s="376" t="n">
        <f aca="false">IF($I$2=0,0,-(D146^2)/2)</f>
        <v>0</v>
      </c>
      <c r="J146" s="421" t="n">
        <f aca="false">IF(K135=1,C146,EXP(I146*G146+D146*$I$2*H146)*C146)</f>
        <v>4.56793103448276</v>
      </c>
    </row>
    <row r="147" customFormat="false" ht="15.75" hidden="false" customHeight="false" outlineLevel="0" collapsed="false">
      <c r="B147" s="405" t="n">
        <f aca="false">'Revenues &amp; Expenses'!K147</f>
        <v>40787</v>
      </c>
      <c r="C147" s="377" t="n">
        <f aca="false">'Fuel Curve'!F147</f>
        <v>4.66275862068966</v>
      </c>
      <c r="D147" s="422" t="n">
        <f aca="false">'Fuel Curve'!D147</f>
        <v>0.176</v>
      </c>
      <c r="E147" s="407" t="n">
        <f aca="false">VLOOKUP(B147,'PJM Curve Simulation'!$B$9:$F$258,4)</f>
        <v>0.074328884422379</v>
      </c>
      <c r="F147" s="376" t="n">
        <f aca="false">VLOOKUP(B147,'PJM Curve Simulation'!$B$9:$F$258,5)</f>
        <v>0.428442627339498</v>
      </c>
      <c r="G147" s="376" t="n">
        <f aca="false">(B147-$B$1)/365.25</f>
        <v>11.4934976043806</v>
      </c>
      <c r="H147" s="376" t="n">
        <f aca="false">SQRT(G147)</f>
        <v>3.39020613007241</v>
      </c>
      <c r="I147" s="376" t="n">
        <f aca="false">IF($I$2=0,0,-(D147^2)/2)</f>
        <v>0</v>
      </c>
      <c r="J147" s="421" t="n">
        <f aca="false">IF(K136=1,C147,EXP(I147*G147+D147*$I$2*H147)*C147)</f>
        <v>4.66275862068966</v>
      </c>
    </row>
    <row r="148" customFormat="false" ht="15.75" hidden="false" customHeight="false" outlineLevel="0" collapsed="false">
      <c r="B148" s="405" t="n">
        <f aca="false">'Revenues &amp; Expenses'!K148</f>
        <v>40817</v>
      </c>
      <c r="C148" s="377" t="n">
        <f aca="false">'Fuel Curve'!F148</f>
        <v>4.75534482758621</v>
      </c>
      <c r="D148" s="422" t="n">
        <f aca="false">'Fuel Curve'!D148</f>
        <v>0.176</v>
      </c>
      <c r="E148" s="407" t="n">
        <f aca="false">VLOOKUP(B148,'PJM Curve Simulation'!$B$9:$F$258,4)</f>
        <v>0.074323877859076</v>
      </c>
      <c r="F148" s="376" t="n">
        <f aca="false">VLOOKUP(B148,'PJM Curve Simulation'!$B$9:$F$258,5)</f>
        <v>0.425906127925494</v>
      </c>
      <c r="G148" s="376" t="n">
        <f aca="false">(B148-$B$1)/365.25</f>
        <v>11.5756331279945</v>
      </c>
      <c r="H148" s="376" t="n">
        <f aca="false">SQRT(G148)</f>
        <v>3.40229821267838</v>
      </c>
      <c r="I148" s="376" t="n">
        <f aca="false">IF($I$2=0,0,-(D148^2)/2)</f>
        <v>0</v>
      </c>
      <c r="J148" s="421" t="n">
        <f aca="false">IF(K137=1,C148,EXP(I148*G148+D148*$I$2*H148)*C148)</f>
        <v>4.75534482758621</v>
      </c>
    </row>
    <row r="149" customFormat="false" ht="15.75" hidden="false" customHeight="false" outlineLevel="0" collapsed="false">
      <c r="B149" s="405" t="n">
        <f aca="false">'Revenues &amp; Expenses'!K149</f>
        <v>40848</v>
      </c>
      <c r="C149" s="377" t="n">
        <f aca="false">'Fuel Curve'!F149</f>
        <v>4.80465517241379</v>
      </c>
      <c r="D149" s="422" t="n">
        <f aca="false">'Fuel Curve'!D149</f>
        <v>0.176</v>
      </c>
      <c r="E149" s="407" t="n">
        <f aca="false">VLOOKUP(B149,'PJM Curve Simulation'!$B$9:$F$258,4)</f>
        <v>0.074318704410337</v>
      </c>
      <c r="F149" s="376" t="n">
        <f aca="false">VLOOKUP(B149,'PJM Curve Simulation'!$B$9:$F$258,5)</f>
        <v>0.423301206148127</v>
      </c>
      <c r="G149" s="376" t="n">
        <f aca="false">(B149-$B$1)/365.25</f>
        <v>11.6605065023956</v>
      </c>
      <c r="H149" s="376" t="n">
        <f aca="false">SQRT(G149)</f>
        <v>3.41474838053928</v>
      </c>
      <c r="I149" s="376" t="n">
        <f aca="false">IF($I$2=0,0,-(D149^2)/2)</f>
        <v>0</v>
      </c>
      <c r="J149" s="421" t="n">
        <f aca="false">IF(K138=1,C149,EXP(I149*G149+D149*$I$2*H149)*C149)</f>
        <v>4.80465517241379</v>
      </c>
    </row>
    <row r="150" customFormat="false" ht="15.75" hidden="false" customHeight="false" outlineLevel="0" collapsed="false">
      <c r="B150" s="405" t="n">
        <f aca="false">'Revenues &amp; Expenses'!K150</f>
        <v>40878</v>
      </c>
      <c r="C150" s="377" t="n">
        <f aca="false">'Fuel Curve'!F150</f>
        <v>4.84741379310345</v>
      </c>
      <c r="D150" s="422" t="n">
        <f aca="false">'Fuel Curve'!D150</f>
        <v>0.176</v>
      </c>
      <c r="E150" s="407" t="n">
        <f aca="false">VLOOKUP(B150,'PJM Curve Simulation'!$B$9:$F$258,4)</f>
        <v>0.07431369784705</v>
      </c>
      <c r="F150" s="376" t="n">
        <f aca="false">VLOOKUP(B150,'PJM Curve Simulation'!$B$9:$F$258,5)</f>
        <v>0.420795823969066</v>
      </c>
      <c r="G150" s="376" t="n">
        <f aca="false">(B150-$B$1)/365.25</f>
        <v>11.7426420260096</v>
      </c>
      <c r="H150" s="376" t="n">
        <f aca="false">SQRT(G150)</f>
        <v>3.42675386131096</v>
      </c>
      <c r="I150" s="376" t="n">
        <f aca="false">IF($I$2=0,0,-(D150^2)/2)</f>
        <v>0</v>
      </c>
      <c r="J150" s="421" t="n">
        <f aca="false">IF(K139=1,C150,EXP(I150*G150+D150*$I$2*H150)*C150)</f>
        <v>4.84741379310345</v>
      </c>
    </row>
    <row r="151" customFormat="false" ht="15.75" hidden="false" customHeight="false" outlineLevel="0" collapsed="false">
      <c r="B151" s="405" t="n">
        <f aca="false">'Revenues &amp; Expenses'!K151</f>
        <v>40909</v>
      </c>
      <c r="C151" s="377" t="n">
        <f aca="false">'Fuel Curve'!F151</f>
        <v>4.79017241379311</v>
      </c>
      <c r="D151" s="422" t="n">
        <f aca="false">'Fuel Curve'!D151</f>
        <v>0.176</v>
      </c>
      <c r="E151" s="407" t="n">
        <f aca="false">VLOOKUP(B151,'PJM Curve Simulation'!$B$9:$F$258,4)</f>
        <v>0.07430852439833</v>
      </c>
      <c r="F151" s="376" t="n">
        <f aca="false">VLOOKUP(B151,'PJM Curve Simulation'!$B$9:$F$258,5)</f>
        <v>0.418222854696821</v>
      </c>
      <c r="G151" s="376" t="n">
        <f aca="false">(B151-$B$1)/365.25</f>
        <v>11.8275154004107</v>
      </c>
      <c r="H151" s="376" t="n">
        <f aca="false">SQRT(G151)</f>
        <v>3.43911549681174</v>
      </c>
      <c r="I151" s="376" t="n">
        <f aca="false">IF($I$2=0,0,-(D151^2)/2)</f>
        <v>0</v>
      </c>
      <c r="J151" s="421" t="n">
        <f aca="false">IF(K140=1,C151,EXP(I151*G151+D151*$I$2*H151)*C151)</f>
        <v>4.79017241379311</v>
      </c>
    </row>
    <row r="152" customFormat="false" ht="15.75" hidden="false" customHeight="false" outlineLevel="0" collapsed="false">
      <c r="B152" s="405" t="n">
        <f aca="false">'Revenues &amp; Expenses'!K152</f>
        <v>40940</v>
      </c>
      <c r="C152" s="377" t="n">
        <f aca="false">'Fuel Curve'!F152</f>
        <v>4.69103448275862</v>
      </c>
      <c r="D152" s="422" t="n">
        <f aca="false">'Fuel Curve'!D152</f>
        <v>0.176</v>
      </c>
      <c r="E152" s="407" t="n">
        <f aca="false">VLOOKUP(B152,'PJM Curve Simulation'!$B$9:$F$258,4)</f>
        <v>0.074303350949618</v>
      </c>
      <c r="F152" s="376" t="n">
        <f aca="false">VLOOKUP(B152,'PJM Curve Simulation'!$B$9:$F$258,5)</f>
        <v>0.415665969938965</v>
      </c>
      <c r="G152" s="376" t="n">
        <f aca="false">(B152-$B$1)/365.25</f>
        <v>11.9123887748118</v>
      </c>
      <c r="H152" s="376" t="n">
        <f aca="false">SQRT(G152)</f>
        <v>3.45143285822161</v>
      </c>
      <c r="I152" s="376" t="n">
        <f aca="false">IF($I$2=0,0,-(D152^2)/2)</f>
        <v>0</v>
      </c>
      <c r="J152" s="421" t="n">
        <f aca="false">IF(K141=1,C152,EXP(I152*G152+D152*$I$2*H152)*C152)</f>
        <v>4.69103448275862</v>
      </c>
    </row>
    <row r="153" customFormat="false" ht="15.75" hidden="false" customHeight="false" outlineLevel="0" collapsed="false">
      <c r="B153" s="405" t="n">
        <f aca="false">'Revenues &amp; Expenses'!K153</f>
        <v>40969</v>
      </c>
      <c r="C153" s="377" t="n">
        <f aca="false">'Fuel Curve'!F153</f>
        <v>4.59396551724138</v>
      </c>
      <c r="D153" s="422" t="n">
        <f aca="false">'Fuel Curve'!D153</f>
        <v>0.176</v>
      </c>
      <c r="E153" s="407" t="n">
        <f aca="false">VLOOKUP(B153,'PJM Curve Simulation'!$B$9:$F$258,4)</f>
        <v>0.074298511271798</v>
      </c>
      <c r="F153" s="376" t="n">
        <f aca="false">VLOOKUP(B153,'PJM Curve Simulation'!$B$9:$F$258,5)</f>
        <v>0.413288515968606</v>
      </c>
      <c r="G153" s="376" t="n">
        <f aca="false">(B153-$B$1)/365.25</f>
        <v>11.9917864476386</v>
      </c>
      <c r="H153" s="376" t="n">
        <f aca="false">SQRT(G153)</f>
        <v>3.46291588803982</v>
      </c>
      <c r="I153" s="376" t="n">
        <f aca="false">IF($I$2=0,0,-(D153^2)/2)</f>
        <v>0</v>
      </c>
      <c r="J153" s="421" t="n">
        <f aca="false">IF(K142=1,C153,EXP(I153*G153+D153*$I$2*H153)*C153)</f>
        <v>4.59396551724138</v>
      </c>
    </row>
    <row r="154" customFormat="false" ht="15.75" hidden="false" customHeight="false" outlineLevel="0" collapsed="false">
      <c r="B154" s="405" t="n">
        <f aca="false">'Revenues &amp; Expenses'!K154</f>
        <v>41000</v>
      </c>
      <c r="C154" s="377" t="n">
        <f aca="false">'Fuel Curve'!F154</f>
        <v>4.49396551724138</v>
      </c>
      <c r="D154" s="422" t="n">
        <f aca="false">'Fuel Curve'!D154</f>
        <v>0.176</v>
      </c>
      <c r="E154" s="407" t="n">
        <f aca="false">VLOOKUP(B154,'PJM Curve Simulation'!$B$9:$F$258,4)</f>
        <v>0.074293337823104</v>
      </c>
      <c r="F154" s="376" t="n">
        <f aca="false">VLOOKUP(B154,'PJM Curve Simulation'!$B$9:$F$258,5)</f>
        <v>0.410762471508243</v>
      </c>
      <c r="G154" s="376" t="n">
        <f aca="false">(B154-$B$1)/365.25</f>
        <v>12.0766598220397</v>
      </c>
      <c r="H154" s="376" t="n">
        <f aca="false">SQRT(G154)</f>
        <v>3.47514889206775</v>
      </c>
      <c r="I154" s="376" t="n">
        <f aca="false">IF($I$2=0,0,-(D154^2)/2)</f>
        <v>0</v>
      </c>
      <c r="J154" s="421" t="n">
        <f aca="false">IF(K143=1,C154,EXP(I154*G154+D154*$I$2*H154)*C154)</f>
        <v>4.49396551724138</v>
      </c>
    </row>
    <row r="155" customFormat="false" ht="15.75" hidden="false" customHeight="false" outlineLevel="0" collapsed="false">
      <c r="B155" s="405" t="n">
        <f aca="false">'Revenues &amp; Expenses'!K155</f>
        <v>41030</v>
      </c>
      <c r="C155" s="377" t="n">
        <f aca="false">'Fuel Curve'!F155</f>
        <v>4.42672413793104</v>
      </c>
      <c r="D155" s="422" t="n">
        <f aca="false">'Fuel Curve'!D155</f>
        <v>0.176</v>
      </c>
      <c r="E155" s="407" t="n">
        <f aca="false">VLOOKUP(B155,'PJM Curve Simulation'!$B$9:$F$258,4)</f>
        <v>0.074288331259859</v>
      </c>
      <c r="F155" s="376" t="n">
        <f aca="false">VLOOKUP(B155,'PJM Curve Simulation'!$B$9:$F$258,5)</f>
        <v>0.408332942879886</v>
      </c>
      <c r="G155" s="376" t="n">
        <f aca="false">(B155-$B$1)/365.25</f>
        <v>12.1587953456537</v>
      </c>
      <c r="H155" s="376" t="n">
        <f aca="false">SQRT(G155)</f>
        <v>3.48694642139131</v>
      </c>
      <c r="I155" s="376" t="n">
        <f aca="false">IF($I$2=0,0,-(D155^2)/2)</f>
        <v>0</v>
      </c>
      <c r="J155" s="421" t="n">
        <f aca="false">IF(K144=1,C155,EXP(I155*G155+D155*$I$2*H155)*C155)</f>
        <v>4.42672413793104</v>
      </c>
    </row>
    <row r="156" customFormat="false" ht="15.75" hidden="false" customHeight="false" outlineLevel="0" collapsed="false">
      <c r="B156" s="405" t="n">
        <f aca="false">'Revenues &amp; Expenses'!K156</f>
        <v>41061</v>
      </c>
      <c r="C156" s="377" t="n">
        <f aca="false">'Fuel Curve'!F156</f>
        <v>4.42017241379311</v>
      </c>
      <c r="D156" s="422" t="n">
        <f aca="false">'Fuel Curve'!D156</f>
        <v>0.176</v>
      </c>
      <c r="E156" s="407" t="n">
        <f aca="false">VLOOKUP(B156,'PJM Curve Simulation'!$B$9:$F$258,4)</f>
        <v>0.074283157811181</v>
      </c>
      <c r="F156" s="376" t="n">
        <f aca="false">VLOOKUP(B156,'PJM Curve Simulation'!$B$9:$F$258,5)</f>
        <v>0.405837863484095</v>
      </c>
      <c r="G156" s="376" t="n">
        <f aca="false">(B156-$B$1)/365.25</f>
        <v>12.2436687200548</v>
      </c>
      <c r="H156" s="376" t="n">
        <f aca="false">SQRT(G156)</f>
        <v>3.49909541453999</v>
      </c>
      <c r="I156" s="376" t="n">
        <f aca="false">IF($I$2=0,0,-(D156^2)/2)</f>
        <v>0</v>
      </c>
      <c r="J156" s="421" t="n">
        <f aca="false">IF(K145=1,C156,EXP(I156*G156+D156*$I$2*H156)*C156)</f>
        <v>4.42017241379311</v>
      </c>
    </row>
    <row r="157" customFormat="false" ht="15.75" hidden="false" customHeight="false" outlineLevel="0" collapsed="false">
      <c r="B157" s="405" t="n">
        <f aca="false">'Revenues &amp; Expenses'!K157</f>
        <v>41091</v>
      </c>
      <c r="C157" s="377" t="n">
        <f aca="false">'Fuel Curve'!F157</f>
        <v>4.47741379310345</v>
      </c>
      <c r="D157" s="422" t="n">
        <f aca="false">'Fuel Curve'!D157</f>
        <v>0.176</v>
      </c>
      <c r="E157" s="407" t="n">
        <f aca="false">VLOOKUP(B157,'PJM Curve Simulation'!$B$9:$F$258,4)</f>
        <v>0.074278151247953</v>
      </c>
      <c r="F157" s="376" t="n">
        <f aca="false">VLOOKUP(B157,'PJM Curve Simulation'!$B$9:$F$258,5)</f>
        <v>0.40343811295465</v>
      </c>
      <c r="G157" s="376" t="n">
        <f aca="false">(B157-$B$1)/365.25</f>
        <v>12.3258042436687</v>
      </c>
      <c r="H157" s="376" t="n">
        <f aca="false">SQRT(G157)</f>
        <v>3.51081247628932</v>
      </c>
      <c r="I157" s="376" t="n">
        <f aca="false">IF($I$2=0,0,-(D157^2)/2)</f>
        <v>0</v>
      </c>
      <c r="J157" s="421" t="n">
        <f aca="false">IF(K146=1,C157,EXP(I157*G157+D157*$I$2*H157)*C157)</f>
        <v>4.47741379310345</v>
      </c>
    </row>
    <row r="158" customFormat="false" ht="15.75" hidden="false" customHeight="false" outlineLevel="0" collapsed="false">
      <c r="B158" s="405" t="n">
        <f aca="false">'Revenues &amp; Expenses'!K158</f>
        <v>41122</v>
      </c>
      <c r="C158" s="377" t="n">
        <f aca="false">'Fuel Curve'!F158</f>
        <v>4.56793103448276</v>
      </c>
      <c r="D158" s="422" t="n">
        <f aca="false">'Fuel Curve'!D158</f>
        <v>0.176</v>
      </c>
      <c r="E158" s="407" t="n">
        <f aca="false">VLOOKUP(B158,'PJM Curve Simulation'!$B$9:$F$258,4)</f>
        <v>0.074272977799293</v>
      </c>
      <c r="F158" s="376" t="n">
        <f aca="false">VLOOKUP(B158,'PJM Curve Simulation'!$B$9:$F$258,5)</f>
        <v>0.400973611149424</v>
      </c>
      <c r="G158" s="376" t="n">
        <f aca="false">(B158-$B$1)/365.25</f>
        <v>12.4106776180698</v>
      </c>
      <c r="H158" s="376" t="n">
        <f aca="false">SQRT(G158)</f>
        <v>3.52287916597629</v>
      </c>
      <c r="I158" s="376" t="n">
        <f aca="false">IF($I$2=0,0,-(D158^2)/2)</f>
        <v>0</v>
      </c>
      <c r="J158" s="421" t="n">
        <f aca="false">IF(K147=1,C158,EXP(I158*G158+D158*$I$2*H158)*C158)</f>
        <v>4.56793103448276</v>
      </c>
    </row>
    <row r="159" customFormat="false" ht="15.75" hidden="false" customHeight="false" outlineLevel="0" collapsed="false">
      <c r="B159" s="405" t="n">
        <f aca="false">'Revenues &amp; Expenses'!K159</f>
        <v>41153</v>
      </c>
      <c r="C159" s="377" t="n">
        <f aca="false">'Fuel Curve'!F159</f>
        <v>4.66275862068966</v>
      </c>
      <c r="D159" s="422" t="n">
        <f aca="false">'Fuel Curve'!D159</f>
        <v>0.176</v>
      </c>
      <c r="E159" s="407" t="n">
        <f aca="false">VLOOKUP(B159,'PJM Curve Simulation'!$B$9:$F$258,4)</f>
        <v>0.074267804350642</v>
      </c>
      <c r="F159" s="376" t="n">
        <f aca="false">VLOOKUP(B159,'PJM Curve Simulation'!$B$9:$F$258,5)</f>
        <v>0.398524501870092</v>
      </c>
      <c r="G159" s="376" t="n">
        <f aca="false">(B159-$B$1)/365.25</f>
        <v>12.4955509924709</v>
      </c>
      <c r="H159" s="376" t="n">
        <f aca="false">SQRT(G159)</f>
        <v>3.53490466525915</v>
      </c>
      <c r="I159" s="376" t="n">
        <f aca="false">IF($I$2=0,0,-(D159^2)/2)</f>
        <v>0</v>
      </c>
      <c r="J159" s="421" t="n">
        <f aca="false">IF(K148=1,C159,EXP(I159*G159+D159*$I$2*H159)*C159)</f>
        <v>4.66275862068966</v>
      </c>
    </row>
    <row r="160" customFormat="false" ht="15.75" hidden="false" customHeight="false" outlineLevel="0" collapsed="false">
      <c r="B160" s="405" t="n">
        <f aca="false">'Revenues &amp; Expenses'!K160</f>
        <v>41183</v>
      </c>
      <c r="C160" s="377" t="n">
        <f aca="false">'Fuel Curve'!F160</f>
        <v>4.75534482758621</v>
      </c>
      <c r="D160" s="422" t="n">
        <f aca="false">'Fuel Curve'!D160</f>
        <v>0.176</v>
      </c>
      <c r="E160" s="407" t="n">
        <f aca="false">VLOOKUP(B160,'PJM Curve Simulation'!$B$9:$F$258,4)</f>
        <v>0.074262797787439</v>
      </c>
      <c r="F160" s="376" t="n">
        <f aca="false">VLOOKUP(B160,'PJM Curve Simulation'!$B$9:$F$258,5)</f>
        <v>0.396168959398485</v>
      </c>
      <c r="G160" s="376" t="n">
        <f aca="false">(B160-$B$1)/365.25</f>
        <v>12.5776865160849</v>
      </c>
      <c r="H160" s="376" t="n">
        <f aca="false">SQRT(G160)</f>
        <v>3.54650342112973</v>
      </c>
      <c r="I160" s="376" t="n">
        <f aca="false">IF($I$2=0,0,-(D160^2)/2)</f>
        <v>0</v>
      </c>
      <c r="J160" s="421" t="n">
        <f aca="false">IF(K149=1,C160,EXP(I160*G160+D160*$I$2*H160)*C160)</f>
        <v>4.75534482758621</v>
      </c>
    </row>
    <row r="161" customFormat="false" ht="15.75" hidden="false" customHeight="false" outlineLevel="0" collapsed="false">
      <c r="B161" s="405" t="n">
        <f aca="false">'Revenues &amp; Expenses'!K161</f>
        <v>41214</v>
      </c>
      <c r="C161" s="377" t="n">
        <f aca="false">'Fuel Curve'!F161</f>
        <v>4.80465517241379</v>
      </c>
      <c r="D161" s="422" t="n">
        <f aca="false">'Fuel Curve'!D161</f>
        <v>0.176</v>
      </c>
      <c r="E161" s="407" t="n">
        <f aca="false">VLOOKUP(B161,'PJM Curve Simulation'!$B$9:$F$258,4)</f>
        <v>0.074257624338805</v>
      </c>
      <c r="F161" s="376" t="n">
        <f aca="false">VLOOKUP(B161,'PJM Curve Simulation'!$B$9:$F$258,5)</f>
        <v>0.39374985265198</v>
      </c>
      <c r="G161" s="376" t="n">
        <f aca="false">(B161-$B$1)/365.25</f>
        <v>12.662559890486</v>
      </c>
      <c r="H161" s="376" t="n">
        <f aca="false">SQRT(G161)</f>
        <v>3.55844908499278</v>
      </c>
      <c r="I161" s="376" t="n">
        <f aca="false">IF($I$2=0,0,-(D161^2)/2)</f>
        <v>0</v>
      </c>
      <c r="J161" s="421" t="n">
        <f aca="false">IF(K150=1,C161,EXP(I161*G161+D161*$I$2*H161)*C161)</f>
        <v>4.80465517241379</v>
      </c>
    </row>
    <row r="162" customFormat="false" ht="15.75" hidden="false" customHeight="false" outlineLevel="0" collapsed="false">
      <c r="B162" s="405" t="n">
        <f aca="false">'Revenues &amp; Expenses'!K162</f>
        <v>41244</v>
      </c>
      <c r="C162" s="377" t="n">
        <f aca="false">'Fuel Curve'!F162</f>
        <v>4.84741379310345</v>
      </c>
      <c r="D162" s="422" t="n">
        <f aca="false">'Fuel Curve'!D162</f>
        <v>0.176</v>
      </c>
      <c r="E162" s="407" t="n">
        <f aca="false">VLOOKUP(B162,'PJM Curve Simulation'!$B$9:$F$258,4)</f>
        <v>0.07425261777562</v>
      </c>
      <c r="F162" s="376" t="n">
        <f aca="false">VLOOKUP(B162,'PJM Curve Simulation'!$B$9:$F$258,5)</f>
        <v>0.391423162757223</v>
      </c>
      <c r="G162" s="376" t="n">
        <f aca="false">(B162-$B$1)/365.25</f>
        <v>12.7446954140999</v>
      </c>
      <c r="H162" s="376" t="n">
        <f aca="false">SQRT(G162)</f>
        <v>3.56997134639761</v>
      </c>
      <c r="I162" s="376" t="n">
        <f aca="false">IF($I$2=0,0,-(D162^2)/2)</f>
        <v>0</v>
      </c>
      <c r="J162" s="421" t="n">
        <f aca="false">IF(K151=1,C162,EXP(I162*G162+D162*$I$2*H162)*C162)</f>
        <v>4.84741379310345</v>
      </c>
    </row>
    <row r="163" customFormat="false" ht="15.75" hidden="false" customHeight="false" outlineLevel="0" collapsed="false">
      <c r="B163" s="405" t="n">
        <f aca="false">'Revenues &amp; Expenses'!K163</f>
        <v>41275</v>
      </c>
      <c r="C163" s="377" t="n">
        <f aca="false">'Fuel Curve'!F163</f>
        <v>4.79017241379311</v>
      </c>
      <c r="D163" s="422" t="n">
        <f aca="false">'Fuel Curve'!D163</f>
        <v>0.176</v>
      </c>
      <c r="E163" s="407" t="n">
        <f aca="false">VLOOKUP(B163,'PJM Curve Simulation'!$B$9:$F$258,4)</f>
        <v>0.074247444327003</v>
      </c>
      <c r="F163" s="376" t="n">
        <f aca="false">VLOOKUP(B163,'PJM Curve Simulation'!$B$9:$F$258,5)</f>
        <v>0.389033683347088</v>
      </c>
      <c r="G163" s="376" t="n">
        <f aca="false">(B163-$B$1)/365.25</f>
        <v>12.829568788501</v>
      </c>
      <c r="H163" s="376" t="n">
        <f aca="false">SQRT(G163)</f>
        <v>3.58183874406722</v>
      </c>
      <c r="I163" s="376" t="n">
        <f aca="false">IF($I$2=0,0,-(D163^2)/2)</f>
        <v>0</v>
      </c>
      <c r="J163" s="421" t="n">
        <f aca="false">IF(K152=1,C163,EXP(I163*G163+D163*$I$2*H163)*C163)</f>
        <v>4.79017241379311</v>
      </c>
    </row>
    <row r="164" customFormat="false" ht="15.75" hidden="false" customHeight="false" outlineLevel="0" collapsed="false">
      <c r="B164" s="405" t="n">
        <f aca="false">'Revenues &amp; Expenses'!K164</f>
        <v>41306</v>
      </c>
      <c r="C164" s="377" t="n">
        <f aca="false">'Fuel Curve'!F164</f>
        <v>4.69103448275862</v>
      </c>
      <c r="D164" s="422" t="n">
        <f aca="false">'Fuel Curve'!D164</f>
        <v>0.176</v>
      </c>
      <c r="E164" s="407" t="n">
        <f aca="false">VLOOKUP(B164,'PJM Curve Simulation'!$B$9:$F$258,4)</f>
        <v>0.074242270878395</v>
      </c>
      <c r="F164" s="376" t="n">
        <f aca="false">VLOOKUP(B164,'PJM Curve Simulation'!$B$9:$F$258,5)</f>
        <v>0.386659118200709</v>
      </c>
      <c r="G164" s="376" t="n">
        <f aca="false">(B164-$B$1)/365.25</f>
        <v>12.9144421629021</v>
      </c>
      <c r="H164" s="376" t="n">
        <f aca="false">SQRT(G164)</f>
        <v>3.59366695213985</v>
      </c>
      <c r="I164" s="376" t="n">
        <f aca="false">IF($I$2=0,0,-(D164^2)/2)</f>
        <v>0</v>
      </c>
      <c r="J164" s="421" t="n">
        <f aca="false">IF(K153=1,C164,EXP(I164*G164+D164*$I$2*H164)*C164)</f>
        <v>4.69103448275862</v>
      </c>
    </row>
    <row r="165" customFormat="false" ht="15.75" hidden="false" customHeight="false" outlineLevel="0" collapsed="false">
      <c r="B165" s="405" t="n">
        <f aca="false">'Revenues &amp; Expenses'!K165</f>
        <v>41334</v>
      </c>
      <c r="C165" s="377" t="n">
        <f aca="false">'Fuel Curve'!F165</f>
        <v>4.59396551724138</v>
      </c>
      <c r="D165" s="422" t="n">
        <f aca="false">'Fuel Curve'!D165</f>
        <v>0.176</v>
      </c>
      <c r="E165" s="407" t="n">
        <f aca="false">VLOOKUP(B165,'PJM Curve Simulation'!$B$9:$F$258,4)</f>
        <v>0.074237598086112</v>
      </c>
      <c r="F165" s="376" t="n">
        <f aca="false">VLOOKUP(B165,'PJM Curve Simulation'!$B$9:$F$258,5)</f>
        <v>0.384527089741751</v>
      </c>
      <c r="G165" s="376" t="n">
        <f aca="false">(B165-$B$1)/365.25</f>
        <v>12.9911019849418</v>
      </c>
      <c r="H165" s="376" t="n">
        <f aca="false">SQRT(G165)</f>
        <v>3.60431713157178</v>
      </c>
      <c r="I165" s="376" t="n">
        <f aca="false">IF($I$2=0,0,-(D165^2)/2)</f>
        <v>0</v>
      </c>
      <c r="J165" s="421" t="n">
        <f aca="false">IF(K154=1,C165,EXP(I165*G165+D165*$I$2*H165)*C165)</f>
        <v>4.59396551724138</v>
      </c>
    </row>
    <row r="166" customFormat="false" ht="15.75" hidden="false" customHeight="false" outlineLevel="0" collapsed="false">
      <c r="B166" s="405" t="n">
        <f aca="false">'Revenues &amp; Expenses'!K166</f>
        <v>41365</v>
      </c>
      <c r="C166" s="377" t="n">
        <f aca="false">'Fuel Curve'!F166</f>
        <v>4.49396551724138</v>
      </c>
      <c r="D166" s="422" t="n">
        <f aca="false">'Fuel Curve'!D166</f>
        <v>0.176</v>
      </c>
      <c r="E166" s="407" t="n">
        <f aca="false">VLOOKUP(B166,'PJM Curve Simulation'!$B$9:$F$258,4)</f>
        <v>0.074232424637521</v>
      </c>
      <c r="F166" s="376" t="n">
        <f aca="false">VLOOKUP(B166,'PJM Curve Simulation'!$B$9:$F$258,5)</f>
        <v>0.382180647745112</v>
      </c>
      <c r="G166" s="376" t="n">
        <f aca="false">(B166-$B$1)/365.25</f>
        <v>13.0759753593429</v>
      </c>
      <c r="H166" s="376" t="n">
        <f aca="false">SQRT(G166)</f>
        <v>3.61607181335533</v>
      </c>
      <c r="I166" s="376" t="n">
        <f aca="false">IF($I$2=0,0,-(D166^2)/2)</f>
        <v>0</v>
      </c>
      <c r="J166" s="421" t="n">
        <f aca="false">IF(K155=1,C166,EXP(I166*G166+D166*$I$2*H166)*C166)</f>
        <v>4.49396551724138</v>
      </c>
    </row>
    <row r="167" customFormat="false" ht="15.75" hidden="false" customHeight="false" outlineLevel="0" collapsed="false">
      <c r="B167" s="405" t="n">
        <f aca="false">'Revenues &amp; Expenses'!K167</f>
        <v>41395</v>
      </c>
      <c r="C167" s="377" t="n">
        <f aca="false">'Fuel Curve'!F167</f>
        <v>4.42672413793104</v>
      </c>
      <c r="D167" s="422" t="n">
        <f aca="false">'Fuel Curve'!D167</f>
        <v>0.176</v>
      </c>
      <c r="E167" s="407" t="n">
        <f aca="false">VLOOKUP(B167,'PJM Curve Simulation'!$B$9:$F$258,4)</f>
        <v>0.074227418074377</v>
      </c>
      <c r="F167" s="376" t="n">
        <f aca="false">VLOOKUP(B167,'PJM Curve Simulation'!$B$9:$F$258,5)</f>
        <v>0.379923837649822</v>
      </c>
      <c r="G167" s="376" t="n">
        <f aca="false">(B167-$B$1)/365.25</f>
        <v>13.1581108829569</v>
      </c>
      <c r="H167" s="376" t="n">
        <f aca="false">SQRT(G167)</f>
        <v>3.62741104411354</v>
      </c>
      <c r="I167" s="376" t="n">
        <f aca="false">IF($I$2=0,0,-(D167^2)/2)</f>
        <v>0</v>
      </c>
      <c r="J167" s="421" t="n">
        <f aca="false">IF(K156=1,C167,EXP(I167*G167+D167*$I$2*H167)*C167)</f>
        <v>4.42672413793104</v>
      </c>
    </row>
    <row r="168" customFormat="false" ht="15.75" hidden="false" customHeight="false" outlineLevel="0" collapsed="false">
      <c r="B168" s="405" t="n">
        <f aca="false">'Revenues &amp; Expenses'!K168</f>
        <v>41426</v>
      </c>
      <c r="C168" s="377" t="n">
        <f aca="false">'Fuel Curve'!F168</f>
        <v>4.42017241379311</v>
      </c>
      <c r="D168" s="422" t="n">
        <f aca="false">'Fuel Curve'!D168</f>
        <v>0.176</v>
      </c>
      <c r="E168" s="407" t="n">
        <f aca="false">VLOOKUP(B168,'PJM Curve Simulation'!$B$9:$F$258,4)</f>
        <v>0.074222244625803</v>
      </c>
      <c r="F168" s="376" t="n">
        <f aca="false">VLOOKUP(B168,'PJM Curve Simulation'!$B$9:$F$258,5)</f>
        <v>0.377606114670995</v>
      </c>
      <c r="G168" s="376" t="n">
        <f aca="false">(B168-$B$1)/365.25</f>
        <v>13.242984257358</v>
      </c>
      <c r="H168" s="376" t="n">
        <f aca="false">SQRT(G168)</f>
        <v>3.63909113067507</v>
      </c>
      <c r="I168" s="376" t="n">
        <f aca="false">IF($I$2=0,0,-(D168^2)/2)</f>
        <v>0</v>
      </c>
      <c r="J168" s="421" t="n">
        <f aca="false">IF(K157=1,C168,EXP(I168*G168+D168*$I$2*H168)*C168)</f>
        <v>4.42017241379311</v>
      </c>
    </row>
    <row r="169" customFormat="false" ht="15.75" hidden="false" customHeight="false" outlineLevel="0" collapsed="false">
      <c r="B169" s="405" t="n">
        <f aca="false">'Revenues &amp; Expenses'!K169</f>
        <v>41456</v>
      </c>
      <c r="C169" s="377" t="n">
        <f aca="false">'Fuel Curve'!F169</f>
        <v>4.47741379310345</v>
      </c>
      <c r="D169" s="422" t="n">
        <f aca="false">'Fuel Curve'!D169</f>
        <v>0.176</v>
      </c>
      <c r="E169" s="407" t="n">
        <f aca="false">VLOOKUP(B169,'PJM Curve Simulation'!$B$9:$F$258,4)</f>
        <v>0.074217238062676</v>
      </c>
      <c r="F169" s="376" t="n">
        <f aca="false">VLOOKUP(B169,'PJM Curve Simulation'!$B$9:$F$258,5)</f>
        <v>0.375376922983471</v>
      </c>
      <c r="G169" s="376" t="n">
        <f aca="false">(B169-$B$1)/365.25</f>
        <v>13.3251197809719</v>
      </c>
      <c r="H169" s="376" t="n">
        <f aca="false">SQRT(G169)</f>
        <v>3.65035885646493</v>
      </c>
      <c r="I169" s="376" t="n">
        <f aca="false">IF($I$2=0,0,-(D169^2)/2)</f>
        <v>0</v>
      </c>
      <c r="J169" s="421" t="n">
        <f aca="false">IF(K158=1,C169,EXP(I169*G169+D169*$I$2*H169)*C169)</f>
        <v>4.47741379310345</v>
      </c>
    </row>
    <row r="170" customFormat="false" ht="15.75" hidden="false" customHeight="false" outlineLevel="0" collapsed="false">
      <c r="B170" s="405" t="n">
        <f aca="false">'Revenues &amp; Expenses'!K170</f>
        <v>41487</v>
      </c>
      <c r="C170" s="377" t="n">
        <f aca="false">'Fuel Curve'!F170</f>
        <v>4.56793103448276</v>
      </c>
      <c r="D170" s="422" t="n">
        <f aca="false">'Fuel Curve'!D170</f>
        <v>0.176</v>
      </c>
      <c r="E170" s="407" t="n">
        <f aca="false">VLOOKUP(B170,'PJM Curve Simulation'!$B$9:$F$258,4)</f>
        <v>0.074212064614119</v>
      </c>
      <c r="F170" s="376" t="n">
        <f aca="false">VLOOKUP(B170,'PJM Curve Simulation'!$B$9:$F$258,5)</f>
        <v>0.373087560186173</v>
      </c>
      <c r="G170" s="376" t="n">
        <f aca="false">(B170-$B$1)/365.25</f>
        <v>13.409993155373</v>
      </c>
      <c r="H170" s="376" t="n">
        <f aca="false">SQRT(G170)</f>
        <v>3.66196575016384</v>
      </c>
      <c r="I170" s="376" t="n">
        <f aca="false">IF($I$2=0,0,-(D170^2)/2)</f>
        <v>0</v>
      </c>
      <c r="J170" s="421" t="n">
        <f aca="false">IF(K159=1,C170,EXP(I170*G170+D170*$I$2*H170)*C170)</f>
        <v>4.56793103448276</v>
      </c>
    </row>
    <row r="171" customFormat="false" ht="15.75" hidden="false" customHeight="false" outlineLevel="0" collapsed="false">
      <c r="B171" s="405" t="n">
        <f aca="false">'Revenues &amp; Expenses'!K171</f>
        <v>41518</v>
      </c>
      <c r="C171" s="377" t="n">
        <f aca="false">'Fuel Curve'!F171</f>
        <v>4.66275862068966</v>
      </c>
      <c r="D171" s="422" t="n">
        <f aca="false">'Fuel Curve'!D171</f>
        <v>0.176</v>
      </c>
      <c r="E171" s="407" t="n">
        <f aca="false">VLOOKUP(B171,'PJM Curve Simulation'!$B$9:$F$258,4)</f>
        <v>0.074206891165572</v>
      </c>
      <c r="F171" s="376" t="n">
        <f aca="false">VLOOKUP(B171,'PJM Curve Simulation'!$B$9:$F$258,5)</f>
        <v>0.370812473890248</v>
      </c>
      <c r="G171" s="376" t="n">
        <f aca="false">(B171-$B$1)/365.25</f>
        <v>13.4948665297741</v>
      </c>
      <c r="H171" s="376" t="n">
        <f aca="false">SQRT(G171)</f>
        <v>3.67353597093783</v>
      </c>
      <c r="I171" s="376" t="n">
        <f aca="false">IF($I$2=0,0,-(D171^2)/2)</f>
        <v>0</v>
      </c>
      <c r="J171" s="421" t="n">
        <f aca="false">IF(K160=1,C171,EXP(I171*G171+D171*$I$2*H171)*C171)</f>
        <v>4.66275862068966</v>
      </c>
    </row>
    <row r="172" customFormat="false" ht="15.75" hidden="false" customHeight="false" outlineLevel="0" collapsed="false">
      <c r="B172" s="405" t="n">
        <f aca="false">'Revenues &amp; Expenses'!K172</f>
        <v>41548</v>
      </c>
      <c r="C172" s="377" t="n">
        <f aca="false">'Fuel Curve'!F172</f>
        <v>4.75534482758621</v>
      </c>
      <c r="D172" s="422" t="n">
        <f aca="false">'Fuel Curve'!D172</f>
        <v>0.176</v>
      </c>
      <c r="E172" s="407" t="n">
        <f aca="false">VLOOKUP(B172,'PJM Curve Simulation'!$B$9:$F$258,4)</f>
        <v>0.07420188460247</v>
      </c>
      <c r="F172" s="376" t="n">
        <f aca="false">VLOOKUP(B172,'PJM Curve Simulation'!$B$9:$F$258,5)</f>
        <v>0.368624284984091</v>
      </c>
      <c r="G172" s="376" t="n">
        <f aca="false">(B172-$B$1)/365.25</f>
        <v>13.5770020533881</v>
      </c>
      <c r="H172" s="376" t="n">
        <f aca="false">SQRT(G172)</f>
        <v>3.68469836667645</v>
      </c>
      <c r="I172" s="376" t="n">
        <f aca="false">IF($I$2=0,0,-(D172^2)/2)</f>
        <v>0</v>
      </c>
      <c r="J172" s="421" t="n">
        <f aca="false">IF(K161=1,C172,EXP(I172*G172+D172*$I$2*H172)*C172)</f>
        <v>4.75534482758621</v>
      </c>
    </row>
    <row r="173" customFormat="false" ht="15.75" hidden="false" customHeight="false" outlineLevel="0" collapsed="false">
      <c r="B173" s="405" t="n">
        <f aca="false">'Revenues &amp; Expenses'!K173</f>
        <v>41579</v>
      </c>
      <c r="C173" s="377" t="n">
        <f aca="false">'Fuel Curve'!F173</f>
        <v>4.80465517241379</v>
      </c>
      <c r="D173" s="422" t="n">
        <f aca="false">'Fuel Curve'!D173</f>
        <v>0.176</v>
      </c>
      <c r="E173" s="407" t="n">
        <f aca="false">VLOOKUP(B173,'PJM Curve Simulation'!$B$9:$F$258,4)</f>
        <v>0.07419671115394</v>
      </c>
      <c r="F173" s="376" t="n">
        <f aca="false">VLOOKUP(B173,'PJM Curve Simulation'!$B$9:$F$258,5)</f>
        <v>0.366377026301447</v>
      </c>
      <c r="G173" s="376" t="n">
        <f aca="false">(B173-$B$1)/365.25</f>
        <v>13.6618754277892</v>
      </c>
      <c r="H173" s="376" t="n">
        <f aca="false">SQRT(G173)</f>
        <v>3.69619742814006</v>
      </c>
      <c r="I173" s="376" t="n">
        <f aca="false">IF($I$2=0,0,-(D173^2)/2)</f>
        <v>0</v>
      </c>
      <c r="J173" s="421" t="n">
        <f aca="false">IF(K162=1,C173,EXP(I173*G173+D173*$I$2*H173)*C173)</f>
        <v>4.80465517241379</v>
      </c>
    </row>
    <row r="174" customFormat="false" ht="15.75" hidden="false" customHeight="false" outlineLevel="0" collapsed="false">
      <c r="B174" s="405" t="n">
        <f aca="false">'Revenues &amp; Expenses'!K174</f>
        <v>41609</v>
      </c>
      <c r="C174" s="377" t="n">
        <f aca="false">'Fuel Curve'!F174</f>
        <v>4.84741379310345</v>
      </c>
      <c r="D174" s="422" t="n">
        <f aca="false">'Fuel Curve'!D174</f>
        <v>0.176</v>
      </c>
      <c r="E174" s="407" t="n">
        <f aca="false">VLOOKUP(B174,'PJM Curve Simulation'!$B$9:$F$258,4)</f>
        <v>0.074191704590855</v>
      </c>
      <c r="F174" s="376" t="n">
        <f aca="false">VLOOKUP(B174,'PJM Curve Simulation'!$B$9:$F$258,5)</f>
        <v>0.364215598665446</v>
      </c>
      <c r="G174" s="376" t="n">
        <f aca="false">(B174-$B$1)/365.25</f>
        <v>13.7440109514031</v>
      </c>
      <c r="H174" s="376" t="n">
        <f aca="false">SQRT(G174)</f>
        <v>3.70729159244362</v>
      </c>
      <c r="I174" s="376" t="n">
        <f aca="false">IF($I$2=0,0,-(D174^2)/2)</f>
        <v>0</v>
      </c>
      <c r="J174" s="421" t="n">
        <f aca="false">IF(K163=1,C174,EXP(I174*G174+D174*$I$2*H174)*C174)</f>
        <v>4.84741379310345</v>
      </c>
    </row>
    <row r="175" customFormat="false" ht="15.75" hidden="false" customHeight="false" outlineLevel="0" collapsed="false">
      <c r="B175" s="405" t="n">
        <f aca="false">'Revenues &amp; Expenses'!K175</f>
        <v>41640</v>
      </c>
      <c r="C175" s="377" t="n">
        <f aca="false">'Fuel Curve'!F175</f>
        <v>4.79017241379311</v>
      </c>
      <c r="D175" s="422" t="n">
        <f aca="false">'Fuel Curve'!D175</f>
        <v>0.176</v>
      </c>
      <c r="E175" s="407" t="n">
        <f aca="false">VLOOKUP(B175,'PJM Curve Simulation'!$B$9:$F$258,4)</f>
        <v>0.074186531142343</v>
      </c>
      <c r="F175" s="376" t="n">
        <f aca="false">VLOOKUP(B175,'PJM Curve Simulation'!$B$9:$F$258,5)</f>
        <v>0.361995820113857</v>
      </c>
      <c r="G175" s="376" t="n">
        <f aca="false">(B175-$B$1)/365.25</f>
        <v>13.8288843258042</v>
      </c>
      <c r="H175" s="376" t="n">
        <f aca="false">SQRT(G175)</f>
        <v>3.71872079159007</v>
      </c>
      <c r="I175" s="376" t="n">
        <f aca="false">IF($I$2=0,0,-(D175^2)/2)</f>
        <v>0</v>
      </c>
      <c r="J175" s="421" t="n">
        <f aca="false">IF(K164=1,C175,EXP(I175*G175+D175*$I$2*H175)*C175)</f>
        <v>4.79017241379311</v>
      </c>
    </row>
    <row r="176" customFormat="false" ht="15.75" hidden="false" customHeight="false" outlineLevel="0" collapsed="false">
      <c r="B176" s="405" t="n">
        <f aca="false">'Revenues &amp; Expenses'!K176</f>
        <v>41671</v>
      </c>
      <c r="C176" s="377" t="n">
        <f aca="false">'Fuel Curve'!F176</f>
        <v>4.69103448275862</v>
      </c>
      <c r="D176" s="422" t="n">
        <f aca="false">'Fuel Curve'!D176</f>
        <v>0.176</v>
      </c>
      <c r="E176" s="407" t="n">
        <f aca="false">VLOOKUP(B176,'PJM Curve Simulation'!$B$9:$F$258,4)</f>
        <v>0.074181357693839</v>
      </c>
      <c r="F176" s="376" t="n">
        <f aca="false">VLOOKUP(B176,'PJM Curve Simulation'!$B$9:$F$258,5)</f>
        <v>0.359789875128841</v>
      </c>
      <c r="G176" s="376" t="n">
        <f aca="false">(B176-$B$1)/365.25</f>
        <v>13.9137577002053</v>
      </c>
      <c r="H176" s="376" t="n">
        <f aca="false">SQRT(G176)</f>
        <v>3.73011497144597</v>
      </c>
      <c r="I176" s="376" t="n">
        <f aca="false">IF($I$2=0,0,-(D176^2)/2)</f>
        <v>0</v>
      </c>
      <c r="J176" s="421" t="n">
        <f aca="false">IF(K165=1,C176,EXP(I176*G176+D176*$I$2*H176)*C176)</f>
        <v>4.69103448275862</v>
      </c>
    </row>
    <row r="177" customFormat="false" ht="15.75" hidden="false" customHeight="false" outlineLevel="0" collapsed="false">
      <c r="B177" s="405" t="n">
        <f aca="false">'Revenues &amp; Expenses'!K177</f>
        <v>41699</v>
      </c>
      <c r="C177" s="377" t="n">
        <f aca="false">'Fuel Curve'!F177</f>
        <v>4.59396551724138</v>
      </c>
      <c r="D177" s="422" t="n">
        <f aca="false">'Fuel Curve'!D177</f>
        <v>0.176</v>
      </c>
      <c r="E177" s="407" t="n">
        <f aca="false">VLOOKUP(B177,'PJM Curve Simulation'!$B$9:$F$258,4)</f>
        <v>0.07417668490165</v>
      </c>
      <c r="F177" s="376" t="n">
        <f aca="false">VLOOKUP(B177,'PJM Curve Simulation'!$B$9:$F$258,5)</f>
        <v>0.357809225707192</v>
      </c>
      <c r="G177" s="376" t="n">
        <f aca="false">(B177-$B$1)/365.25</f>
        <v>13.990417522245</v>
      </c>
      <c r="H177" s="376" t="n">
        <f aca="false">SQRT(G177)</f>
        <v>3.74037665513047</v>
      </c>
      <c r="I177" s="376" t="n">
        <f aca="false">IF($I$2=0,0,-(D177^2)/2)</f>
        <v>0</v>
      </c>
      <c r="J177" s="421" t="n">
        <f aca="false">IF(K166=1,C177,EXP(I177*G177+D177*$I$2*H177)*C177)</f>
        <v>4.59396551724138</v>
      </c>
    </row>
    <row r="178" customFormat="false" ht="15.75" hidden="false" customHeight="false" outlineLevel="0" collapsed="false">
      <c r="B178" s="405" t="n">
        <f aca="false">'Revenues &amp; Expenses'!K178</f>
        <v>41730</v>
      </c>
      <c r="C178" s="377" t="n">
        <f aca="false">'Fuel Curve'!F178</f>
        <v>4.49396551724138</v>
      </c>
      <c r="D178" s="422" t="n">
        <f aca="false">'Fuel Curve'!D178</f>
        <v>0.176</v>
      </c>
      <c r="E178" s="407" t="n">
        <f aca="false">VLOOKUP(B178,'PJM Curve Simulation'!$B$9:$F$258,4)</f>
        <v>0.074171511453163</v>
      </c>
      <c r="F178" s="376" t="n">
        <f aca="false">VLOOKUP(B178,'PJM Curve Simulation'!$B$9:$F$258,5)</f>
        <v>0.355629366411146</v>
      </c>
      <c r="G178" s="376" t="n">
        <f aca="false">(B178-$B$1)/365.25</f>
        <v>14.0752908966461</v>
      </c>
      <c r="H178" s="376" t="n">
        <f aca="false">SQRT(G178)</f>
        <v>3.75170506525315</v>
      </c>
      <c r="I178" s="376" t="n">
        <f aca="false">IF($I$2=0,0,-(D178^2)/2)</f>
        <v>0</v>
      </c>
      <c r="J178" s="421" t="n">
        <f aca="false">IF(K167=1,C178,EXP(I178*G178+D178*$I$2*H178)*C178)</f>
        <v>4.49396551724138</v>
      </c>
    </row>
    <row r="179" customFormat="false" ht="15.75" hidden="false" customHeight="false" outlineLevel="0" collapsed="false">
      <c r="B179" s="405" t="n">
        <f aca="false">'Revenues &amp; Expenses'!K179</f>
        <v>41760</v>
      </c>
      <c r="C179" s="377" t="n">
        <f aca="false">'Fuel Curve'!F179</f>
        <v>4.42672413793104</v>
      </c>
      <c r="D179" s="422" t="n">
        <f aca="false">'Fuel Curve'!D179</f>
        <v>0.176</v>
      </c>
      <c r="E179" s="407" t="n">
        <f aca="false">VLOOKUP(B179,'PJM Curve Simulation'!$B$9:$F$258,4)</f>
        <v>0.074166504890119</v>
      </c>
      <c r="F179" s="376" t="n">
        <f aca="false">VLOOKUP(B179,'PJM Curve Simulation'!$B$9:$F$258,5)</f>
        <v>0.353532755620055</v>
      </c>
      <c r="G179" s="376" t="n">
        <f aca="false">(B179-$B$1)/365.25</f>
        <v>14.1574264202601</v>
      </c>
      <c r="H179" s="376" t="n">
        <f aca="false">SQRT(G179)</f>
        <v>3.76263556835632</v>
      </c>
      <c r="I179" s="376" t="n">
        <f aca="false">IF($I$2=0,0,-(D179^2)/2)</f>
        <v>0</v>
      </c>
      <c r="J179" s="421" t="n">
        <f aca="false">IF(K168=1,C179,EXP(I179*G179+D179*$I$2*H179)*C179)</f>
        <v>4.42672413793104</v>
      </c>
    </row>
    <row r="180" customFormat="false" ht="15.75" hidden="false" customHeight="false" outlineLevel="0" collapsed="false">
      <c r="B180" s="405" t="n">
        <f aca="false">'Revenues &amp; Expenses'!K180</f>
        <v>41791</v>
      </c>
      <c r="C180" s="377" t="n">
        <f aca="false">'Fuel Curve'!F180</f>
        <v>4.42017241379311</v>
      </c>
      <c r="D180" s="422" t="n">
        <f aca="false">'Fuel Curve'!D180</f>
        <v>0.176</v>
      </c>
      <c r="E180" s="407" t="n">
        <f aca="false">VLOOKUP(B180,'PJM Curve Simulation'!$B$9:$F$258,4)</f>
        <v>0.07416133144165</v>
      </c>
      <c r="F180" s="376" t="n">
        <f aca="false">VLOOKUP(B180,'PJM Curve Simulation'!$B$9:$F$258,5)</f>
        <v>0.351379535203468</v>
      </c>
      <c r="G180" s="376" t="n">
        <f aca="false">(B180-$B$1)/365.25</f>
        <v>14.2422997946612</v>
      </c>
      <c r="H180" s="376" t="n">
        <f aca="false">SQRT(G180)</f>
        <v>3.77389716270346</v>
      </c>
      <c r="I180" s="376" t="n">
        <f aca="false">IF($I$2=0,0,-(D180^2)/2)</f>
        <v>0</v>
      </c>
      <c r="J180" s="421" t="n">
        <f aca="false">IF(K169=1,C180,EXP(I180*G180+D180*$I$2*H180)*C180)</f>
        <v>4.42017241379311</v>
      </c>
    </row>
    <row r="181" customFormat="false" ht="15.75" hidden="false" customHeight="false" outlineLevel="0" collapsed="false">
      <c r="B181" s="405" t="n">
        <f aca="false">'Revenues &amp; Expenses'!K181</f>
        <v>41821</v>
      </c>
      <c r="C181" s="377" t="n">
        <f aca="false">'Fuel Curve'!F181</f>
        <v>4.47741379310345</v>
      </c>
      <c r="D181" s="422" t="n">
        <f aca="false">'Fuel Curve'!D181</f>
        <v>0.176</v>
      </c>
      <c r="E181" s="407" t="n">
        <f aca="false">VLOOKUP(B181,'PJM Curve Simulation'!$B$9:$F$258,4)</f>
        <v>0.074156324878623</v>
      </c>
      <c r="F181" s="376" t="n">
        <f aca="false">VLOOKUP(B181,'PJM Curve Simulation'!$B$9:$F$258,5)</f>
        <v>0.349308542640163</v>
      </c>
      <c r="G181" s="376" t="n">
        <f aca="false">(B181-$B$1)/365.25</f>
        <v>14.3244353182752</v>
      </c>
      <c r="H181" s="376" t="n">
        <f aca="false">SQRT(G181)</f>
        <v>3.78476357495091</v>
      </c>
      <c r="I181" s="376" t="n">
        <f aca="false">IF($I$2=0,0,-(D181^2)/2)</f>
        <v>0</v>
      </c>
      <c r="J181" s="421" t="n">
        <f aca="false">IF(K170=1,C181,EXP(I181*G181+D181*$I$2*H181)*C181)</f>
        <v>4.47741379310345</v>
      </c>
    </row>
    <row r="182" customFormat="false" ht="15.75" hidden="false" customHeight="false" outlineLevel="0" collapsed="false">
      <c r="B182" s="405" t="n">
        <f aca="false">'Revenues &amp; Expenses'!K182</f>
        <v>41852</v>
      </c>
      <c r="C182" s="377" t="n">
        <f aca="false">'Fuel Curve'!F182</f>
        <v>4.56793103448276</v>
      </c>
      <c r="D182" s="422" t="n">
        <f aca="false">'Fuel Curve'!D182</f>
        <v>0.176</v>
      </c>
      <c r="E182" s="407" t="n">
        <f aca="false">VLOOKUP(B182,'PJM Curve Simulation'!$B$9:$F$258,4)</f>
        <v>0.074151151430171</v>
      </c>
      <c r="F182" s="376" t="n">
        <f aca="false">VLOOKUP(B182,'PJM Curve Simulation'!$B$9:$F$258,5)</f>
        <v>0.347181628751256</v>
      </c>
      <c r="G182" s="376" t="n">
        <f aca="false">(B182-$B$1)/365.25</f>
        <v>14.4093086926763</v>
      </c>
      <c r="H182" s="376" t="n">
        <f aca="false">SQRT(G182)</f>
        <v>3.79595952200182</v>
      </c>
      <c r="I182" s="376" t="n">
        <f aca="false">IF($I$2=0,0,-(D182^2)/2)</f>
        <v>0</v>
      </c>
      <c r="J182" s="421" t="n">
        <f aca="false">IF(K171=1,C182,EXP(I182*G182+D182*$I$2*H182)*C182)</f>
        <v>4.56793103448276</v>
      </c>
    </row>
    <row r="183" customFormat="false" ht="15.75" hidden="false" customHeight="false" outlineLevel="0" collapsed="false">
      <c r="B183" s="405" t="n">
        <f aca="false">'Revenues &amp; Expenses'!K183</f>
        <v>41883</v>
      </c>
      <c r="C183" s="377" t="n">
        <f aca="false">'Fuel Curve'!F183</f>
        <v>4.66275862068966</v>
      </c>
      <c r="D183" s="422" t="n">
        <f aca="false">'Fuel Curve'!D183</f>
        <v>0.176</v>
      </c>
      <c r="E183" s="407" t="n">
        <f aca="false">VLOOKUP(B183,'PJM Curve Simulation'!$B$9:$F$258,4)</f>
        <v>0.074145977981727</v>
      </c>
      <c r="F183" s="376" t="n">
        <f aca="false">VLOOKUP(B183,'PJM Curve Simulation'!$B$9:$F$258,5)</f>
        <v>0.345067957743027</v>
      </c>
      <c r="G183" s="376" t="n">
        <f aca="false">(B183-$B$1)/365.25</f>
        <v>14.4941820670773</v>
      </c>
      <c r="H183" s="376" t="n">
        <f aca="false">SQRT(G183)</f>
        <v>3.80712254426849</v>
      </c>
      <c r="I183" s="376" t="n">
        <f aca="false">IF($I$2=0,0,-(D183^2)/2)</f>
        <v>0</v>
      </c>
      <c r="J183" s="421" t="n">
        <f aca="false">IF(K172=1,C183,EXP(I183*G183+D183*$I$2*H183)*C183)</f>
        <v>4.66275862068966</v>
      </c>
    </row>
    <row r="184" customFormat="false" ht="15.75" hidden="false" customHeight="false" outlineLevel="0" collapsed="false">
      <c r="B184" s="405" t="n">
        <f aca="false">'Revenues &amp; Expenses'!K184</f>
        <v>41913</v>
      </c>
      <c r="C184" s="377" t="n">
        <f aca="false">'Fuel Curve'!F184</f>
        <v>4.75534482758621</v>
      </c>
      <c r="D184" s="422" t="n">
        <f aca="false">'Fuel Curve'!D184</f>
        <v>0.176</v>
      </c>
      <c r="E184" s="407" t="n">
        <f aca="false">VLOOKUP(B184,'PJM Curve Simulation'!$B$9:$F$258,4)</f>
        <v>0.074140971418726</v>
      </c>
      <c r="F184" s="376" t="n">
        <f aca="false">VLOOKUP(B184,'PJM Curve Simulation'!$B$9:$F$258,5)</f>
        <v>0.343034999352449</v>
      </c>
      <c r="G184" s="376" t="n">
        <f aca="false">(B184-$B$1)/365.25</f>
        <v>14.5763175906913</v>
      </c>
      <c r="H184" s="376" t="n">
        <f aca="false">SQRT(G184)</f>
        <v>3.81789439229156</v>
      </c>
      <c r="I184" s="376" t="n">
        <f aca="false">IF($I$2=0,0,-(D184^2)/2)</f>
        <v>0</v>
      </c>
      <c r="J184" s="421" t="n">
        <f aca="false">IF(K173=1,C184,EXP(I184*G184+D184*$I$2*H184)*C184)</f>
        <v>4.75534482758621</v>
      </c>
    </row>
    <row r="185" customFormat="false" ht="15.75" hidden="false" customHeight="false" outlineLevel="0" collapsed="false">
      <c r="B185" s="405" t="n">
        <f aca="false">'Revenues &amp; Expenses'!K185</f>
        <v>41944</v>
      </c>
      <c r="C185" s="377" t="n">
        <f aca="false">'Fuel Curve'!F185</f>
        <v>4.80465517241379</v>
      </c>
      <c r="D185" s="422" t="n">
        <f aca="false">'Fuel Curve'!D185</f>
        <v>0.176</v>
      </c>
      <c r="E185" s="407" t="n">
        <f aca="false">VLOOKUP(B185,'PJM Curve Simulation'!$B$9:$F$258,4)</f>
        <v>0.0741357979703</v>
      </c>
      <c r="F185" s="376" t="n">
        <f aca="false">VLOOKUP(B185,'PJM Curve Simulation'!$B$9:$F$258,5)</f>
        <v>0.340947141599342</v>
      </c>
      <c r="G185" s="376" t="n">
        <f aca="false">(B185-$B$1)/365.25</f>
        <v>14.6611909650924</v>
      </c>
      <c r="H185" s="376" t="n">
        <f aca="false">SQRT(G185)</f>
        <v>3.82899346631623</v>
      </c>
      <c r="I185" s="376" t="n">
        <f aca="false">IF($I$2=0,0,-(D185^2)/2)</f>
        <v>0</v>
      </c>
      <c r="J185" s="421" t="n">
        <f aca="false">IF(K174=1,C185,EXP(I185*G185+D185*$I$2*H185)*C185)</f>
        <v>4.80465517241379</v>
      </c>
    </row>
    <row r="186" customFormat="false" ht="15.75" hidden="false" customHeight="false" outlineLevel="0" collapsed="false">
      <c r="B186" s="405" t="n">
        <f aca="false">'Revenues &amp; Expenses'!K186</f>
        <v>41974</v>
      </c>
      <c r="C186" s="377" t="n">
        <f aca="false">'Fuel Curve'!F186</f>
        <v>4.84741379310345</v>
      </c>
      <c r="D186" s="422" t="n">
        <f aca="false">'Fuel Curve'!D186</f>
        <v>0.176</v>
      </c>
      <c r="E186" s="407" t="n">
        <f aca="false">VLOOKUP(B186,'PJM Curve Simulation'!$B$9:$F$258,4)</f>
        <v>0.074130791407315</v>
      </c>
      <c r="F186" s="376" t="n">
        <f aca="false">VLOOKUP(B186,'PJM Curve Simulation'!$B$9:$F$258,5)</f>
        <v>0.338939007543146</v>
      </c>
      <c r="G186" s="376" t="n">
        <f aca="false">(B186-$B$1)/365.25</f>
        <v>14.7433264887064</v>
      </c>
      <c r="H186" s="376" t="n">
        <f aca="false">SQRT(G186)</f>
        <v>3.83970395847211</v>
      </c>
      <c r="I186" s="376" t="n">
        <f aca="false">IF($I$2=0,0,-(D186^2)/2)</f>
        <v>0</v>
      </c>
      <c r="J186" s="421" t="n">
        <f aca="false">IF(K175=1,C186,EXP(I186*G186+D186*$I$2*H186)*C186)</f>
        <v>4.84741379310345</v>
      </c>
    </row>
    <row r="187" customFormat="false" ht="15.75" hidden="false" customHeight="false" outlineLevel="0" collapsed="false">
      <c r="B187" s="405" t="n">
        <f aca="false">'Revenues &amp; Expenses'!K187</f>
        <v>42005</v>
      </c>
      <c r="C187" s="377" t="n">
        <f aca="false">'Fuel Curve'!F187</f>
        <v>4.79017241379311</v>
      </c>
      <c r="D187" s="422" t="n">
        <f aca="false">'Fuel Curve'!D187</f>
        <v>0.176</v>
      </c>
      <c r="E187" s="407" t="n">
        <f aca="false">VLOOKUP(B187,'PJM Curve Simulation'!$B$9:$F$258,4)</f>
        <v>0.074125617958907</v>
      </c>
      <c r="F187" s="376" t="n">
        <f aca="false">VLOOKUP(B187,'PJM Curve Simulation'!$B$9:$F$258,5)</f>
        <v>0.336876641194572</v>
      </c>
      <c r="G187" s="376" t="n">
        <f aca="false">(B187-$B$1)/365.25</f>
        <v>14.8281998631075</v>
      </c>
      <c r="H187" s="376" t="n">
        <f aca="false">SQRT(G187)</f>
        <v>3.85074017081229</v>
      </c>
      <c r="I187" s="376" t="n">
        <f aca="false">IF($I$2=0,0,-(D187^2)/2)</f>
        <v>0</v>
      </c>
      <c r="J187" s="421" t="n">
        <f aca="false">IF(K176=1,C187,EXP(I187*G187+D187*$I$2*H187)*C187)</f>
        <v>4.79017241379311</v>
      </c>
    </row>
    <row r="188" customFormat="false" ht="15.75" hidden="false" customHeight="false" outlineLevel="0" collapsed="false">
      <c r="B188" s="405" t="n">
        <f aca="false">'Revenues &amp; Expenses'!K188</f>
        <v>42036</v>
      </c>
      <c r="C188" s="377" t="n">
        <f aca="false">'Fuel Curve'!F188</f>
        <v>4.69103448275862</v>
      </c>
      <c r="D188" s="422" t="n">
        <f aca="false">'Fuel Curve'!D188</f>
        <v>0.176</v>
      </c>
      <c r="E188" s="407" t="n">
        <f aca="false">VLOOKUP(B188,'PJM Curve Simulation'!$B$9:$F$258,4)</f>
        <v>0.074120444510507</v>
      </c>
      <c r="F188" s="376" t="n">
        <f aca="false">VLOOKUP(B188,'PJM Curve Simulation'!$B$9:$F$258,5)</f>
        <v>0.33482710746448</v>
      </c>
      <c r="G188" s="376" t="n">
        <f aca="false">(B188-$B$1)/365.25</f>
        <v>14.9130732375086</v>
      </c>
      <c r="H188" s="376" t="n">
        <f aca="false">SQRT(G188)</f>
        <v>3.86174484365663</v>
      </c>
      <c r="I188" s="376" t="n">
        <f aca="false">IF($I$2=0,0,-(D188^2)/2)</f>
        <v>0</v>
      </c>
      <c r="J188" s="421" t="n">
        <f aca="false">IF(K177=1,C188,EXP(I188*G188+D188*$I$2*H188)*C188)</f>
        <v>4.69103448275862</v>
      </c>
    </row>
    <row r="189" customFormat="false" ht="15.75" hidden="false" customHeight="false" outlineLevel="0" collapsed="false">
      <c r="B189" s="405" t="n">
        <f aca="false">'Revenues &amp; Expenses'!K189</f>
        <v>42064</v>
      </c>
      <c r="C189" s="377" t="n">
        <f aca="false">'Fuel Curve'!F189</f>
        <v>4.59396551724138</v>
      </c>
      <c r="D189" s="422" t="n">
        <f aca="false">'Fuel Curve'!D189</f>
        <v>0.176</v>
      </c>
      <c r="E189" s="407" t="n">
        <f aca="false">VLOOKUP(B189,'PJM Curve Simulation'!$B$9:$F$258,4)</f>
        <v>0.074115771718412</v>
      </c>
      <c r="F189" s="376" t="n">
        <f aca="false">VLOOKUP(B189,'PJM Curve Simulation'!$B$9:$F$258,5)</f>
        <v>0.332986877788253</v>
      </c>
      <c r="G189" s="376" t="n">
        <f aca="false">(B189-$B$1)/365.25</f>
        <v>14.9897330595483</v>
      </c>
      <c r="H189" s="376" t="n">
        <f aca="false">SQRT(G189)</f>
        <v>3.87165766301054</v>
      </c>
      <c r="I189" s="376" t="n">
        <f aca="false">IF($I$2=0,0,-(D189^2)/2)</f>
        <v>0</v>
      </c>
      <c r="J189" s="421" t="n">
        <f aca="false">IF(K178=1,C189,EXP(I189*G189+D189*$I$2*H189)*C189)</f>
        <v>4.59396551724138</v>
      </c>
    </row>
    <row r="190" customFormat="false" ht="15.75" hidden="false" customHeight="false" outlineLevel="0" collapsed="false">
      <c r="B190" s="405" t="n">
        <f aca="false">'Revenues &amp; Expenses'!K190</f>
        <v>42095</v>
      </c>
      <c r="C190" s="377" t="n">
        <f aca="false">'Fuel Curve'!F190</f>
        <v>4.49396551724138</v>
      </c>
      <c r="D190" s="422" t="n">
        <f aca="false">'Fuel Curve'!D190</f>
        <v>0.176</v>
      </c>
      <c r="E190" s="407" t="n">
        <f aca="false">VLOOKUP(B190,'PJM Curve Simulation'!$B$9:$F$258,4)</f>
        <v>0.074110598270029</v>
      </c>
      <c r="F190" s="376" t="n">
        <f aca="false">VLOOKUP(B190,'PJM Curve Simulation'!$B$9:$F$258,5)</f>
        <v>0.330961542613379</v>
      </c>
      <c r="G190" s="376" t="n">
        <f aca="false">(B190-$B$1)/365.25</f>
        <v>15.0746064339494</v>
      </c>
      <c r="H190" s="376" t="n">
        <f aca="false">SQRT(G190)</f>
        <v>3.88260304872251</v>
      </c>
      <c r="I190" s="376" t="n">
        <f aca="false">IF($I$2=0,0,-(D190^2)/2)</f>
        <v>0</v>
      </c>
      <c r="J190" s="421" t="n">
        <f aca="false">IF(K179=1,C190,EXP(I190*G190+D190*$I$2*H190)*C190)</f>
        <v>4.49396551724138</v>
      </c>
    </row>
    <row r="191" customFormat="false" ht="15.75" hidden="false" customHeight="false" outlineLevel="0" collapsed="false">
      <c r="B191" s="405" t="n">
        <f aca="false">'Revenues &amp; Expenses'!K191</f>
        <v>42125</v>
      </c>
      <c r="C191" s="377" t="n">
        <f aca="false">'Fuel Curve'!F191</f>
        <v>4.42672413793104</v>
      </c>
      <c r="D191" s="422" t="n">
        <f aca="false">'Fuel Curve'!D191</f>
        <v>0.176</v>
      </c>
      <c r="E191" s="407" t="n">
        <f aca="false">VLOOKUP(B191,'PJM Curve Simulation'!$B$9:$F$258,4)</f>
        <v>0.074105591707086</v>
      </c>
      <c r="F191" s="376" t="n">
        <f aca="false">VLOOKUP(B191,'PJM Curve Simulation'!$B$9:$F$258,5)</f>
        <v>0.329013536022591</v>
      </c>
      <c r="G191" s="376" t="n">
        <f aca="false">(B191-$B$1)/365.25</f>
        <v>15.1567419575633</v>
      </c>
      <c r="H191" s="376" t="n">
        <f aca="false">SQRT(G191)</f>
        <v>3.89316605830824</v>
      </c>
      <c r="I191" s="376" t="n">
        <f aca="false">IF($I$2=0,0,-(D191^2)/2)</f>
        <v>0</v>
      </c>
      <c r="J191" s="421" t="n">
        <f aca="false">IF(K180=1,C191,EXP(I191*G191+D191*$I$2*H191)*C191)</f>
        <v>4.42672413793104</v>
      </c>
    </row>
    <row r="192" customFormat="false" ht="15.75" hidden="false" customHeight="false" outlineLevel="0" collapsed="false">
      <c r="B192" s="405" t="n">
        <f aca="false">'Revenues &amp; Expenses'!K192</f>
        <v>42156</v>
      </c>
      <c r="C192" s="377" t="n">
        <f aca="false">'Fuel Curve'!F192</f>
        <v>4.42017241379311</v>
      </c>
      <c r="D192" s="422" t="n">
        <f aca="false">'Fuel Curve'!D192</f>
        <v>0.176</v>
      </c>
      <c r="E192" s="407" t="n">
        <f aca="false">VLOOKUP(B192,'PJM Curve Simulation'!$B$9:$F$258,4)</f>
        <v>0.07410041825872</v>
      </c>
      <c r="F192" s="376" t="n">
        <f aca="false">VLOOKUP(B192,'PJM Curve Simulation'!$B$9:$F$258,5)</f>
        <v>0.327012913029758</v>
      </c>
      <c r="G192" s="376" t="n">
        <f aca="false">(B192-$B$1)/365.25</f>
        <v>15.2416153319644</v>
      </c>
      <c r="H192" s="376" t="n">
        <f aca="false">SQRT(G192)</f>
        <v>3.90405114361536</v>
      </c>
      <c r="I192" s="376" t="n">
        <f aca="false">IF($I$2=0,0,-(D192^2)/2)</f>
        <v>0</v>
      </c>
      <c r="J192" s="421" t="n">
        <f aca="false">IF(K181=1,C192,EXP(I192*G192+D192*$I$2*H192)*C192)</f>
        <v>4.42017241379311</v>
      </c>
    </row>
    <row r="193" customFormat="false" ht="15.75" hidden="false" customHeight="false" outlineLevel="0" collapsed="false">
      <c r="B193" s="405" t="n">
        <f aca="false">'Revenues &amp; Expenses'!K193</f>
        <v>42186</v>
      </c>
      <c r="C193" s="377" t="n">
        <f aca="false">'Fuel Curve'!F193</f>
        <v>4.47741379310345</v>
      </c>
      <c r="D193" s="422" t="n">
        <f aca="false">'Fuel Curve'!D193</f>
        <v>0.176</v>
      </c>
      <c r="E193" s="407" t="n">
        <f aca="false">VLOOKUP(B193,'PJM Curve Simulation'!$B$9:$F$258,4)</f>
        <v>0.074095411695795</v>
      </c>
      <c r="F193" s="376" t="n">
        <f aca="false">VLOOKUP(B193,'PJM Curve Simulation'!$B$9:$F$258,5)</f>
        <v>0.325088672012529</v>
      </c>
      <c r="G193" s="376" t="n">
        <f aca="false">(B193-$B$1)/365.25</f>
        <v>15.3237508555784</v>
      </c>
      <c r="H193" s="376" t="n">
        <f aca="false">SQRT(G193)</f>
        <v>3.91455627824896</v>
      </c>
      <c r="I193" s="376" t="n">
        <f aca="false">IF($I$2=0,0,-(D193^2)/2)</f>
        <v>0</v>
      </c>
      <c r="J193" s="421" t="n">
        <f aca="false">IF(K182=1,C193,EXP(I193*G193+D193*$I$2*H193)*C193)</f>
        <v>4.47741379310345</v>
      </c>
    </row>
    <row r="194" customFormat="false" ht="15.75" hidden="false" customHeight="false" outlineLevel="0" collapsed="false">
      <c r="B194" s="405" t="n">
        <f aca="false">'Revenues &amp; Expenses'!K194</f>
        <v>42217</v>
      </c>
      <c r="C194" s="377" t="n">
        <f aca="false">'Fuel Curve'!F194</f>
        <v>4.56793103448276</v>
      </c>
      <c r="D194" s="422" t="n">
        <f aca="false">'Fuel Curve'!D194</f>
        <v>0.176</v>
      </c>
      <c r="E194" s="407" t="n">
        <f aca="false">VLOOKUP(B194,'PJM Curve Simulation'!$B$9:$F$258,4)</f>
        <v>0.074090238247446</v>
      </c>
      <c r="F194" s="376" t="n">
        <f aca="false">VLOOKUP(B194,'PJM Curve Simulation'!$B$9:$F$258,5)</f>
        <v>0.323112453345802</v>
      </c>
      <c r="G194" s="376" t="n">
        <f aca="false">(B194-$B$1)/365.25</f>
        <v>15.4086242299795</v>
      </c>
      <c r="H194" s="376" t="n">
        <f aca="false">SQRT(G194)</f>
        <v>3.9253820489195</v>
      </c>
      <c r="I194" s="376" t="n">
        <f aca="false">IF($I$2=0,0,-(D194^2)/2)</f>
        <v>0</v>
      </c>
      <c r="J194" s="421" t="n">
        <f aca="false">IF(K183=1,C194,EXP(I194*G194+D194*$I$2*H194)*C194)</f>
        <v>4.56793103448276</v>
      </c>
    </row>
    <row r="195" customFormat="false" ht="15.75" hidden="false" customHeight="false" outlineLevel="0" collapsed="false">
      <c r="B195" s="405" t="n">
        <f aca="false">'Revenues &amp; Expenses'!K195</f>
        <v>42248</v>
      </c>
      <c r="C195" s="377" t="n">
        <f aca="false">'Fuel Curve'!F195</f>
        <v>4.66275862068966</v>
      </c>
      <c r="D195" s="422" t="n">
        <f aca="false">'Fuel Curve'!D195</f>
        <v>0.176</v>
      </c>
      <c r="E195" s="407" t="n">
        <f aca="false">VLOOKUP(B195,'PJM Curve Simulation'!$B$9:$F$258,4)</f>
        <v>0.074085064799107</v>
      </c>
      <c r="F195" s="376" t="n">
        <f aca="false">VLOOKUP(B195,'PJM Curve Simulation'!$B$9:$F$258,5)</f>
        <v>0.321148520152884</v>
      </c>
      <c r="G195" s="376" t="n">
        <f aca="false">(B195-$B$1)/365.25</f>
        <v>15.4934976043806</v>
      </c>
      <c r="H195" s="376" t="n">
        <f aca="false">SQRT(G195)</f>
        <v>3.93617804531001</v>
      </c>
      <c r="I195" s="376" t="n">
        <f aca="false">IF($I$2=0,0,-(D195^2)/2)</f>
        <v>0</v>
      </c>
      <c r="J195" s="421" t="n">
        <f aca="false">IF(K184=1,C195,EXP(I195*G195+D195*$I$2*H195)*C195)</f>
        <v>4.66275862068966</v>
      </c>
    </row>
    <row r="196" customFormat="false" ht="15.75" hidden="false" customHeight="false" outlineLevel="0" collapsed="false">
      <c r="B196" s="405" t="n">
        <f aca="false">'Revenues &amp; Expenses'!K196</f>
        <v>42278</v>
      </c>
      <c r="C196" s="377" t="n">
        <f aca="false">'Fuel Curve'!F196</f>
        <v>4.75534482758621</v>
      </c>
      <c r="D196" s="422" t="n">
        <f aca="false">'Fuel Curve'!D196</f>
        <v>0.176</v>
      </c>
      <c r="E196" s="407" t="n">
        <f aca="false">VLOOKUP(B196,'PJM Curve Simulation'!$B$9:$F$258,4)</f>
        <v>0.074080058236206</v>
      </c>
      <c r="F196" s="376" t="n">
        <f aca="false">VLOOKUP(B196,'PJM Curve Simulation'!$B$9:$F$258,5)</f>
        <v>0.319259563589729</v>
      </c>
      <c r="G196" s="376" t="n">
        <f aca="false">(B196-$B$1)/365.25</f>
        <v>15.5756331279945</v>
      </c>
      <c r="H196" s="376" t="n">
        <f aca="false">SQRT(G196)</f>
        <v>3.94659766482404</v>
      </c>
      <c r="I196" s="376" t="n">
        <f aca="false">IF($I$2=0,0,-(D196^2)/2)</f>
        <v>0</v>
      </c>
      <c r="J196" s="421" t="n">
        <f aca="false">IF(K185=1,C196,EXP(I196*G196+D196*$I$2*H196)*C196)</f>
        <v>4.75534482758621</v>
      </c>
    </row>
    <row r="197" customFormat="false" ht="15.75" hidden="false" customHeight="false" outlineLevel="0" collapsed="false">
      <c r="B197" s="405" t="n">
        <f aca="false">'Revenues &amp; Expenses'!K197</f>
        <v>42309</v>
      </c>
      <c r="C197" s="377" t="n">
        <f aca="false">'Fuel Curve'!F197</f>
        <v>4.80465517241379</v>
      </c>
      <c r="D197" s="422" t="n">
        <f aca="false">'Fuel Curve'!D197</f>
        <v>0.176</v>
      </c>
      <c r="E197" s="407" t="n">
        <f aca="false">VLOOKUP(B197,'PJM Curve Simulation'!$B$9:$F$258,4)</f>
        <v>0.074074884787884</v>
      </c>
      <c r="F197" s="376" t="n">
        <f aca="false">VLOOKUP(B197,'PJM Curve Simulation'!$B$9:$F$258,5)</f>
        <v>0.317319577796264</v>
      </c>
      <c r="G197" s="376" t="n">
        <f aca="false">(B197-$B$1)/365.25</f>
        <v>15.6605065023956</v>
      </c>
      <c r="H197" s="376" t="n">
        <f aca="false">SQRT(G197)</f>
        <v>3.95733578337695</v>
      </c>
      <c r="I197" s="376" t="n">
        <f aca="false">IF($I$2=0,0,-(D197^2)/2)</f>
        <v>0</v>
      </c>
      <c r="J197" s="421" t="n">
        <f aca="false">IF(K186=1,C197,EXP(I197*G197+D197*$I$2*H197)*C197)</f>
        <v>4.80465517241379</v>
      </c>
    </row>
    <row r="198" customFormat="false" ht="15.75" hidden="false" customHeight="false" outlineLevel="0" collapsed="false">
      <c r="B198" s="405" t="n">
        <f aca="false">'Revenues &amp; Expenses'!K198</f>
        <v>42339</v>
      </c>
      <c r="C198" s="377" t="n">
        <f aca="false">'Fuel Curve'!F198</f>
        <v>4.84741379310345</v>
      </c>
      <c r="D198" s="422" t="n">
        <f aca="false">'Fuel Curve'!D198</f>
        <v>0.176</v>
      </c>
      <c r="E198" s="407" t="n">
        <f aca="false">VLOOKUP(B198,'PJM Curve Simulation'!$B$9:$F$258,4)</f>
        <v>0.074069878225</v>
      </c>
      <c r="F198" s="376" t="n">
        <f aca="false">VLOOKUP(B198,'PJM Curve Simulation'!$B$9:$F$258,5)</f>
        <v>0.315453651409921</v>
      </c>
      <c r="G198" s="376" t="n">
        <f aca="false">(B198-$B$1)/365.25</f>
        <v>15.7426420260096</v>
      </c>
      <c r="H198" s="376" t="n">
        <f aca="false">SQRT(G198)</f>
        <v>3.96769984071497</v>
      </c>
      <c r="I198" s="376" t="n">
        <f aca="false">IF($I$2=0,0,-(D198^2)/2)</f>
        <v>0</v>
      </c>
      <c r="J198" s="421" t="n">
        <f aca="false">IF(K187=1,C198,EXP(I198*G198+D198*$I$2*H198)*C198)</f>
        <v>4.84741379310345</v>
      </c>
    </row>
    <row r="199" customFormat="false" ht="15.75" hidden="false" customHeight="false" outlineLevel="0" collapsed="false">
      <c r="B199" s="405" t="n">
        <f aca="false">'Revenues &amp; Expenses'!K199</f>
        <v>42370</v>
      </c>
      <c r="C199" s="377" t="n">
        <f aca="false">'Fuel Curve'!F199</f>
        <v>4.79017241379311</v>
      </c>
      <c r="D199" s="422" t="n">
        <f aca="false">'Fuel Curve'!D199</f>
        <v>0.176</v>
      </c>
      <c r="E199" s="407" t="n">
        <f aca="false">VLOOKUP(B199,'PJM Curve Simulation'!$B$9:$F$258,4)</f>
        <v>0.074064704776695</v>
      </c>
      <c r="F199" s="376" t="n">
        <f aca="false">VLOOKUP(B199,'PJM Curve Simulation'!$B$9:$F$258,5)</f>
        <v>0.313537314873403</v>
      </c>
      <c r="G199" s="376" t="n">
        <f aca="false">(B199-$B$1)/365.25</f>
        <v>15.8275154004107</v>
      </c>
      <c r="H199" s="376" t="n">
        <f aca="false">SQRT(G199)</f>
        <v>3.97838100241929</v>
      </c>
      <c r="I199" s="376" t="n">
        <f aca="false">IF($I$2=0,0,-(D199^2)/2)</f>
        <v>0</v>
      </c>
      <c r="J199" s="421" t="n">
        <f aca="false">IF(K188=1,C199,EXP(I199*G199+D199*$I$2*H199)*C199)</f>
        <v>4.79017241379311</v>
      </c>
    </row>
    <row r="200" customFormat="false" ht="15.75" hidden="false" customHeight="false" outlineLevel="0" collapsed="false">
      <c r="B200" s="405" t="n">
        <f aca="false">'Revenues &amp; Expenses'!K200</f>
        <v>42401</v>
      </c>
      <c r="C200" s="377" t="n">
        <f aca="false">'Fuel Curve'!F200</f>
        <v>4.69103448275862</v>
      </c>
      <c r="D200" s="422" t="n">
        <f aca="false">'Fuel Curve'!D200</f>
        <v>0.176</v>
      </c>
      <c r="E200" s="407" t="n">
        <f aca="false">VLOOKUP(B200,'PJM Curve Simulation'!$B$9:$F$258,4)</f>
        <v>0.074059531328399</v>
      </c>
      <c r="F200" s="376" t="n">
        <f aca="false">VLOOKUP(B200,'PJM Curve Simulation'!$B$9:$F$258,5)</f>
        <v>0.311632883769179</v>
      </c>
      <c r="G200" s="376" t="n">
        <f aca="false">(B200-$B$1)/365.25</f>
        <v>15.9123887748118</v>
      </c>
      <c r="H200" s="376" t="n">
        <f aca="false">SQRT(G200)</f>
        <v>3.98903356401169</v>
      </c>
      <c r="I200" s="376" t="n">
        <f aca="false">IF($I$2=0,0,-(D200^2)/2)</f>
        <v>0</v>
      </c>
      <c r="J200" s="421" t="n">
        <f aca="false">IF(K189=1,C200,EXP(I200*G200+D200*$I$2*H200)*C200)</f>
        <v>4.69103448275862</v>
      </c>
    </row>
    <row r="201" customFormat="false" ht="15.75" hidden="false" customHeight="false" outlineLevel="0" collapsed="false">
      <c r="B201" s="405" t="n">
        <f aca="false">'Revenues &amp; Expenses'!K201</f>
        <v>42430</v>
      </c>
      <c r="C201" s="377" t="n">
        <f aca="false">'Fuel Curve'!F201</f>
        <v>4.59396551724138</v>
      </c>
      <c r="D201" s="422" t="n">
        <f aca="false">'Fuel Curve'!D201</f>
        <v>0.176</v>
      </c>
      <c r="E201" s="407" t="n">
        <f aca="false">VLOOKUP(B201,'PJM Curve Simulation'!$B$9:$F$258,4)</f>
        <v>0.07405469165097</v>
      </c>
      <c r="F201" s="376" t="n">
        <f aca="false">VLOOKUP(B201,'PJM Curve Simulation'!$B$9:$F$258,5)</f>
        <v>0.309862030345046</v>
      </c>
      <c r="G201" s="376" t="n">
        <f aca="false">(B201-$B$1)/365.25</f>
        <v>15.9917864476386</v>
      </c>
      <c r="H201" s="376" t="n">
        <f aca="false">SQRT(G201)</f>
        <v>3.99897317415841</v>
      </c>
      <c r="I201" s="376" t="n">
        <f aca="false">IF($I$2=0,0,-(D201^2)/2)</f>
        <v>0</v>
      </c>
      <c r="J201" s="421" t="n">
        <f aca="false">IF(K190=1,C201,EXP(I201*G201+D201*$I$2*H201)*C201)</f>
        <v>4.59396551724138</v>
      </c>
    </row>
    <row r="202" customFormat="false" ht="15.75" hidden="false" customHeight="false" outlineLevel="0" collapsed="false">
      <c r="B202" s="405" t="n">
        <f aca="false">'Revenues &amp; Expenses'!K202</f>
        <v>42461</v>
      </c>
      <c r="C202" s="377" t="n">
        <f aca="false">'Fuel Curve'!F202</f>
        <v>4.49396551724138</v>
      </c>
      <c r="D202" s="422" t="n">
        <f aca="false">'Fuel Curve'!D202</f>
        <v>0.176</v>
      </c>
      <c r="E202" s="407" t="n">
        <f aca="false">VLOOKUP(B202,'PJM Curve Simulation'!$B$9:$F$258,4)</f>
        <v>0.074049518202691</v>
      </c>
      <c r="F202" s="376" t="n">
        <f aca="false">VLOOKUP(B202,'PJM Curve Simulation'!$B$9:$F$258,5)</f>
        <v>0.307980427883324</v>
      </c>
      <c r="G202" s="376" t="n">
        <f aca="false">(B202-$B$1)/365.25</f>
        <v>16.0766598220397</v>
      </c>
      <c r="H202" s="376" t="n">
        <f aca="false">SQRT(G202)</f>
        <v>4.00957102718479</v>
      </c>
      <c r="I202" s="376" t="n">
        <f aca="false">IF($I$2=0,0,-(D202^2)/2)</f>
        <v>0</v>
      </c>
      <c r="J202" s="421" t="n">
        <f aca="false">IF(K191=1,C202,EXP(I202*G202+D202*$I$2*H202)*C202)</f>
        <v>4.49396551724138</v>
      </c>
    </row>
    <row r="203" customFormat="false" ht="15.75" hidden="false" customHeight="false" outlineLevel="0" collapsed="false">
      <c r="B203" s="405" t="n">
        <f aca="false">'Revenues &amp; Expenses'!K203</f>
        <v>42491</v>
      </c>
      <c r="C203" s="377" t="n">
        <f aca="false">'Fuel Curve'!F203</f>
        <v>4.42672413793104</v>
      </c>
      <c r="D203" s="422" t="n">
        <f aca="false">'Fuel Curve'!D203</f>
        <v>0.176</v>
      </c>
      <c r="E203" s="407" t="n">
        <f aca="false">VLOOKUP(B203,'PJM Curve Simulation'!$B$9:$F$258,4)</f>
        <v>0.074044511639849</v>
      </c>
      <c r="F203" s="376" t="n">
        <f aca="false">VLOOKUP(B203,'PJM Curve Simulation'!$B$9:$F$258,5)</f>
        <v>0.306170648809578</v>
      </c>
      <c r="G203" s="376" t="n">
        <f aca="false">(B203-$B$1)/365.25</f>
        <v>16.1587953456537</v>
      </c>
      <c r="H203" s="376" t="n">
        <f aca="false">SQRT(G203)</f>
        <v>4.01980041117139</v>
      </c>
      <c r="I203" s="376" t="n">
        <f aca="false">IF($I$2=0,0,-(D203^2)/2)</f>
        <v>0</v>
      </c>
      <c r="J203" s="421" t="n">
        <f aca="false">IF(K192=1,C203,EXP(I203*G203+D203*$I$2*H203)*C203)</f>
        <v>4.42672413793104</v>
      </c>
    </row>
    <row r="204" customFormat="false" ht="15.75" hidden="false" customHeight="false" outlineLevel="0" collapsed="false">
      <c r="B204" s="405" t="n">
        <f aca="false">'Revenues &amp; Expenses'!K204</f>
        <v>42522</v>
      </c>
      <c r="C204" s="377" t="n">
        <f aca="false">'Fuel Curve'!F204</f>
        <v>4.42017241379311</v>
      </c>
      <c r="D204" s="422" t="n">
        <f aca="false">'Fuel Curve'!D204</f>
        <v>0.176</v>
      </c>
      <c r="E204" s="407" t="n">
        <f aca="false">VLOOKUP(B204,'PJM Curve Simulation'!$B$9:$F$258,4)</f>
        <v>0.074039338191588</v>
      </c>
      <c r="F204" s="376" t="n">
        <f aca="false">VLOOKUP(B204,'PJM Curve Simulation'!$B$9:$F$258,5)</f>
        <v>0.304311969053413</v>
      </c>
      <c r="G204" s="376" t="n">
        <f aca="false">(B204-$B$1)/365.25</f>
        <v>16.2436687200548</v>
      </c>
      <c r="H204" s="376" t="n">
        <f aca="false">SQRT(G204)</f>
        <v>4.03034349901528</v>
      </c>
      <c r="I204" s="376" t="n">
        <f aca="false">IF($I$2=0,0,-(D204^2)/2)</f>
        <v>0</v>
      </c>
      <c r="J204" s="421" t="n">
        <f aca="false">IF(K193=1,C204,EXP(I204*G204+D204*$I$2*H204)*C204)</f>
        <v>4.42017241379311</v>
      </c>
    </row>
    <row r="205" customFormat="false" ht="15.75" hidden="false" customHeight="false" outlineLevel="0" collapsed="false">
      <c r="B205" s="405" t="n">
        <f aca="false">'Revenues &amp; Expenses'!K205</f>
        <v>42552</v>
      </c>
      <c r="C205" s="377" t="n">
        <f aca="false">'Fuel Curve'!F205</f>
        <v>4.47741379310345</v>
      </c>
      <c r="D205" s="422" t="n">
        <f aca="false">'Fuel Curve'!D205</f>
        <v>0.176</v>
      </c>
      <c r="E205" s="407" t="n">
        <f aca="false">VLOOKUP(B205,'PJM Curve Simulation'!$B$9:$F$258,4)</f>
        <v>0.074034331628763</v>
      </c>
      <c r="F205" s="376" t="n">
        <f aca="false">VLOOKUP(B205,'PJM Curve Simulation'!$B$9:$F$258,5)</f>
        <v>0.302524234830668</v>
      </c>
      <c r="G205" s="376" t="n">
        <f aca="false">(B205-$B$1)/365.25</f>
        <v>16.3258042436687</v>
      </c>
      <c r="H205" s="376" t="n">
        <f aca="false">SQRT(G205)</f>
        <v>4.04052029368356</v>
      </c>
      <c r="I205" s="376" t="n">
        <f aca="false">IF($I$2=0,0,-(D205^2)/2)</f>
        <v>0</v>
      </c>
      <c r="J205" s="421" t="n">
        <f aca="false">IF(K194=1,C205,EXP(I205*G205+D205*$I$2*H205)*C205)</f>
        <v>4.47741379310345</v>
      </c>
    </row>
    <row r="206" customFormat="false" ht="15.75" hidden="false" customHeight="false" outlineLevel="0" collapsed="false">
      <c r="B206" s="405" t="n">
        <f aca="false">'Revenues &amp; Expenses'!K206</f>
        <v>42583</v>
      </c>
      <c r="C206" s="377" t="n">
        <f aca="false">'Fuel Curve'!F206</f>
        <v>4.56793103448276</v>
      </c>
      <c r="D206" s="422" t="n">
        <f aca="false">'Fuel Curve'!D206</f>
        <v>0.176</v>
      </c>
      <c r="E206" s="407" t="n">
        <f aca="false">VLOOKUP(B206,'PJM Curve Simulation'!$B$9:$F$258,4)</f>
        <v>0.074029158180519</v>
      </c>
      <c r="F206" s="376" t="n">
        <f aca="false">VLOOKUP(B206,'PJM Curve Simulation'!$B$9:$F$258,5)</f>
        <v>0.30068819264278</v>
      </c>
      <c r="G206" s="376" t="n">
        <f aca="false">(B206-$B$1)/365.25</f>
        <v>16.4106776180698</v>
      </c>
      <c r="H206" s="376" t="n">
        <f aca="false">SQRT(G206)</f>
        <v>4.05100945667494</v>
      </c>
      <c r="I206" s="376" t="n">
        <f aca="false">IF($I$2=0,0,-(D206^2)/2)</f>
        <v>0</v>
      </c>
      <c r="J206" s="421" t="n">
        <f aca="false">IF(K195=1,C206,EXP(I206*G206+D206*$I$2*H206)*C206)</f>
        <v>4.56793103448276</v>
      </c>
    </row>
    <row r="207" customFormat="false" ht="15.75" hidden="false" customHeight="false" outlineLevel="0" collapsed="false">
      <c r="B207" s="405" t="n">
        <f aca="false">'Revenues &amp; Expenses'!K207</f>
        <v>42614</v>
      </c>
      <c r="C207" s="377" t="n">
        <f aca="false">'Fuel Curve'!F207</f>
        <v>4.66275862068966</v>
      </c>
      <c r="D207" s="422" t="n">
        <f aca="false">'Fuel Curve'!D207</f>
        <v>0.176</v>
      </c>
      <c r="E207" s="407" t="n">
        <f aca="false">VLOOKUP(B207,'PJM Curve Simulation'!$B$9:$F$258,4)</f>
        <v>0.074023984732284</v>
      </c>
      <c r="F207" s="376" t="n">
        <f aca="false">VLOOKUP(B207,'PJM Curve Simulation'!$B$9:$F$258,5)</f>
        <v>0.298863546680356</v>
      </c>
      <c r="G207" s="376" t="n">
        <f aca="false">(B207-$B$1)/365.25</f>
        <v>16.4955509924709</v>
      </c>
      <c r="H207" s="376" t="n">
        <f aca="false">SQRT(G207)</f>
        <v>4.06147153042723</v>
      </c>
      <c r="I207" s="376" t="n">
        <f aca="false">IF($I$2=0,0,-(D207^2)/2)</f>
        <v>0</v>
      </c>
      <c r="J207" s="421" t="n">
        <f aca="false">IF(K196=1,C207,EXP(I207*G207+D207*$I$2*H207)*C207)</f>
        <v>4.66275862068966</v>
      </c>
    </row>
    <row r="208" customFormat="false" ht="15.75" hidden="false" customHeight="false" outlineLevel="0" collapsed="false">
      <c r="B208" s="405" t="n">
        <f aca="false">'Revenues &amp; Expenses'!K208</f>
        <v>42644</v>
      </c>
      <c r="C208" s="377" t="n">
        <f aca="false">'Fuel Curve'!F208</f>
        <v>4.75534482758621</v>
      </c>
      <c r="D208" s="422" t="n">
        <f aca="false">'Fuel Curve'!D208</f>
        <v>0.176</v>
      </c>
      <c r="E208" s="407" t="n">
        <f aca="false">VLOOKUP(B208,'PJM Curve Simulation'!$B$9:$F$258,4)</f>
        <v>0.074018978169484</v>
      </c>
      <c r="F208" s="376" t="n">
        <f aca="false">VLOOKUP(B208,'PJM Curve Simulation'!$B$9:$F$258,5)</f>
        <v>0.297108542947644</v>
      </c>
      <c r="G208" s="376" t="n">
        <f aca="false">(B208-$B$1)/365.25</f>
        <v>16.5776865160849</v>
      </c>
      <c r="H208" s="376" t="n">
        <f aca="false">SQRT(G208)</f>
        <v>4.07157052205717</v>
      </c>
      <c r="I208" s="376" t="n">
        <f aca="false">IF($I$2=0,0,-(D208^2)/2)</f>
        <v>0</v>
      </c>
      <c r="J208" s="421" t="n">
        <f aca="false">IF(K197=1,C208,EXP(I208*G208+D208*$I$2*H208)*C208)</f>
        <v>4.75534482758621</v>
      </c>
    </row>
    <row r="209" customFormat="false" ht="15.75" hidden="false" customHeight="false" outlineLevel="0" collapsed="false">
      <c r="B209" s="405" t="n">
        <f aca="false">'Revenues &amp; Expenses'!K209</f>
        <v>42675</v>
      </c>
      <c r="C209" s="377" t="n">
        <f aca="false">'Fuel Curve'!F209</f>
        <v>4.80465517241379</v>
      </c>
      <c r="D209" s="422" t="n">
        <f aca="false">'Fuel Curve'!D209</f>
        <v>0.176</v>
      </c>
      <c r="E209" s="407" t="n">
        <f aca="false">VLOOKUP(B209,'PJM Curve Simulation'!$B$9:$F$258,4)</f>
        <v>0.074013804721266</v>
      </c>
      <c r="F209" s="376" t="n">
        <f aca="false">VLOOKUP(B209,'PJM Curve Simulation'!$B$9:$F$258,5)</f>
        <v>0.295306111336586</v>
      </c>
      <c r="G209" s="376" t="n">
        <f aca="false">(B209-$B$1)/365.25</f>
        <v>16.662559890486</v>
      </c>
      <c r="H209" s="376" t="n">
        <f aca="false">SQRT(G209)</f>
        <v>4.08197989834418</v>
      </c>
      <c r="I209" s="376" t="n">
        <f aca="false">IF($I$2=0,0,-(D209^2)/2)</f>
        <v>0</v>
      </c>
      <c r="J209" s="421" t="n">
        <f aca="false">IF(K198=1,C209,EXP(I209*G209+D209*$I$2*H209)*C209)</f>
        <v>4.80465517241379</v>
      </c>
    </row>
    <row r="210" customFormat="false" ht="15.75" hidden="false" customHeight="false" outlineLevel="0" collapsed="false">
      <c r="B210" s="405" t="n">
        <f aca="false">'Revenues &amp; Expenses'!K210</f>
        <v>42705</v>
      </c>
      <c r="C210" s="377" t="n">
        <f aca="false">'Fuel Curve'!F210</f>
        <v>4.84741379310345</v>
      </c>
      <c r="D210" s="422" t="n">
        <f aca="false">'Fuel Curve'!D210</f>
        <v>0.176</v>
      </c>
      <c r="E210" s="407" t="n">
        <f aca="false">VLOOKUP(B210,'PJM Curve Simulation'!$B$9:$F$258,4)</f>
        <v>0.074008798158483</v>
      </c>
      <c r="F210" s="376" t="n">
        <f aca="false">VLOOKUP(B210,'PJM Curve Simulation'!$B$9:$F$258,5)</f>
        <v>0.293572471312034</v>
      </c>
      <c r="G210" s="376" t="n">
        <f aca="false">(B210-$B$1)/365.25</f>
        <v>16.7446954140999</v>
      </c>
      <c r="H210" s="376" t="n">
        <f aca="false">SQRT(G210)</f>
        <v>4.09202827630748</v>
      </c>
      <c r="I210" s="376" t="n">
        <f aca="false">IF($I$2=0,0,-(D210^2)/2)</f>
        <v>0</v>
      </c>
      <c r="J210" s="421" t="n">
        <f aca="false">IF(K199=1,C210,EXP(I210*G210+D210*$I$2*H210)*C210)</f>
        <v>4.84741379310345</v>
      </c>
    </row>
    <row r="211" customFormat="false" ht="15.75" hidden="false" customHeight="false" outlineLevel="0" collapsed="false">
      <c r="B211" s="405" t="n">
        <f aca="false">'Revenues &amp; Expenses'!K211</f>
        <v>42736</v>
      </c>
      <c r="C211" s="377" t="n">
        <f aca="false">'Fuel Curve'!F211</f>
        <v>4.79017241379311</v>
      </c>
      <c r="D211" s="422" t="n">
        <f aca="false">'Fuel Curve'!D211</f>
        <v>0.176</v>
      </c>
      <c r="E211" s="407" t="n">
        <f aca="false">VLOOKUP(B211,'PJM Curve Simulation'!$B$9:$F$258,4)</f>
        <v>0.074003624710283</v>
      </c>
      <c r="F211" s="376" t="n">
        <f aca="false">VLOOKUP(B211,'PJM Curve Simulation'!$B$9:$F$258,5)</f>
        <v>0.291791977898877</v>
      </c>
      <c r="G211" s="376" t="n">
        <f aca="false">(B211-$B$1)/365.25</f>
        <v>16.829568788501</v>
      </c>
      <c r="H211" s="376" t="n">
        <f aca="false">SQRT(G211)</f>
        <v>4.10238574350353</v>
      </c>
      <c r="I211" s="376" t="n">
        <f aca="false">IF($I$2=0,0,-(D211^2)/2)</f>
        <v>0</v>
      </c>
      <c r="J211" s="421" t="n">
        <f aca="false">IF(K200=1,C211,EXP(I211*G211+D211*$I$2*H211)*C211)</f>
        <v>4.79017241379311</v>
      </c>
    </row>
    <row r="212" customFormat="false" ht="15.75" hidden="false" customHeight="false" outlineLevel="0" collapsed="false">
      <c r="B212" s="405" t="n">
        <f aca="false">'Revenues &amp; Expenses'!K212</f>
        <v>42767</v>
      </c>
      <c r="C212" s="377" t="n">
        <f aca="false">'Fuel Curve'!F212</f>
        <v>4.69103448275862</v>
      </c>
      <c r="D212" s="422" t="n">
        <f aca="false">'Fuel Curve'!D212</f>
        <v>0.176</v>
      </c>
      <c r="E212" s="407" t="n">
        <f aca="false">VLOOKUP(B212,'PJM Curve Simulation'!$B$9:$F$258,4)</f>
        <v>0.073998451262091</v>
      </c>
      <c r="F212" s="376" t="n">
        <f aca="false">VLOOKUP(B212,'PJM Curve Simulation'!$B$9:$F$258,5)</f>
        <v>0.290022528699086</v>
      </c>
      <c r="G212" s="376" t="n">
        <f aca="false">(B212-$B$1)/365.25</f>
        <v>16.9144421629021</v>
      </c>
      <c r="H212" s="376" t="n">
        <f aca="false">SQRT(G212)</f>
        <v>4.11271712653595</v>
      </c>
      <c r="I212" s="376" t="n">
        <f aca="false">IF($I$2=0,0,-(D212^2)/2)</f>
        <v>0</v>
      </c>
      <c r="J212" s="421" t="n">
        <f aca="false">IF(K201=1,C212,EXP(I212*G212+D212*$I$2*H212)*C212)</f>
        <v>4.69103448275862</v>
      </c>
    </row>
    <row r="213" customFormat="false" ht="15.75" hidden="false" customHeight="false" outlineLevel="0" collapsed="false">
      <c r="B213" s="405" t="n">
        <f aca="false">'Revenues &amp; Expenses'!K213</f>
        <v>42795</v>
      </c>
      <c r="C213" s="377" t="n">
        <f aca="false">'Fuel Curve'!F213</f>
        <v>4.59396551724138</v>
      </c>
      <c r="D213" s="422" t="n">
        <f aca="false">'Fuel Curve'!D213</f>
        <v>0.176</v>
      </c>
      <c r="E213" s="407" t="n">
        <f aca="false">VLOOKUP(B213,'PJM Curve Simulation'!$B$9:$F$258,4)</f>
        <v>0.073993778470185</v>
      </c>
      <c r="F213" s="376" t="n">
        <f aca="false">VLOOKUP(B213,'PJM Curve Simulation'!$B$9:$F$258,5)</f>
        <v>0.288433751053627</v>
      </c>
      <c r="G213" s="376" t="n">
        <f aca="false">(B213-$B$1)/365.25</f>
        <v>16.9911019849418</v>
      </c>
      <c r="H213" s="376" t="n">
        <f aca="false">SQRT(G213)</f>
        <v>4.12202644156267</v>
      </c>
      <c r="I213" s="376" t="n">
        <f aca="false">IF($I$2=0,0,-(D213^2)/2)</f>
        <v>0</v>
      </c>
      <c r="J213" s="421" t="n">
        <f aca="false">IF(K202=1,C213,EXP(I213*G213+D213*$I$2*H213)*C213)</f>
        <v>4.59396551724138</v>
      </c>
    </row>
    <row r="214" customFormat="false" ht="15.75" hidden="false" customHeight="false" outlineLevel="0" collapsed="false">
      <c r="B214" s="405" t="n">
        <f aca="false">'Revenues &amp; Expenses'!K214</f>
        <v>42826</v>
      </c>
      <c r="C214" s="377" t="n">
        <f aca="false">'Fuel Curve'!F214</f>
        <v>4.49396551724138</v>
      </c>
      <c r="D214" s="422" t="n">
        <f aca="false">'Fuel Curve'!D214</f>
        <v>0.176</v>
      </c>
      <c r="E214" s="407" t="n">
        <f aca="false">VLOOKUP(B214,'PJM Curve Simulation'!$B$9:$F$258,4)</f>
        <v>0.07398860502201</v>
      </c>
      <c r="F214" s="376" t="n">
        <f aca="false">VLOOKUP(B214,'PJM Curve Simulation'!$B$9:$F$258,5)</f>
        <v>0.286685128578311</v>
      </c>
      <c r="G214" s="376" t="n">
        <f aca="false">(B214-$B$1)/365.25</f>
        <v>17.0759753593429</v>
      </c>
      <c r="H214" s="376" t="n">
        <f aca="false">SQRT(G214)</f>
        <v>4.13230872023654</v>
      </c>
      <c r="I214" s="376" t="n">
        <f aca="false">IF($I$2=0,0,-(D214^2)/2)</f>
        <v>0</v>
      </c>
      <c r="J214" s="421" t="n">
        <f aca="false">IF(K203=1,C214,EXP(I214*G214+D214*$I$2*H214)*C214)</f>
        <v>4.49396551724138</v>
      </c>
    </row>
    <row r="215" customFormat="false" ht="15.75" hidden="false" customHeight="false" outlineLevel="0" collapsed="false">
      <c r="B215" s="405" t="n">
        <f aca="false">'Revenues &amp; Expenses'!K215</f>
        <v>42856</v>
      </c>
      <c r="C215" s="377" t="n">
        <f aca="false">'Fuel Curve'!F215</f>
        <v>4.42672413793104</v>
      </c>
      <c r="D215" s="422" t="n">
        <f aca="false">'Fuel Curve'!D215</f>
        <v>0.176</v>
      </c>
      <c r="E215" s="407" t="n">
        <f aca="false">VLOOKUP(B215,'PJM Curve Simulation'!$B$9:$F$258,4)</f>
        <v>0.073983598459268</v>
      </c>
      <c r="F215" s="376" t="n">
        <f aca="false">VLOOKUP(B215,'PJM Curve Simulation'!$B$9:$F$258,5)</f>
        <v>0.285003237343373</v>
      </c>
      <c r="G215" s="376" t="n">
        <f aca="false">(B215-$B$1)/365.25</f>
        <v>17.1581108829569</v>
      </c>
      <c r="H215" s="376" t="n">
        <f aca="false">SQRT(G215)</f>
        <v>4.14223501058992</v>
      </c>
      <c r="I215" s="376" t="n">
        <f aca="false">IF($I$2=0,0,-(D215^2)/2)</f>
        <v>0</v>
      </c>
      <c r="J215" s="421" t="n">
        <f aca="false">IF(K204=1,C215,EXP(I215*G215+D215*$I$2*H215)*C215)</f>
        <v>4.42672413793104</v>
      </c>
    </row>
    <row r="216" customFormat="false" ht="15.75" hidden="false" customHeight="false" outlineLevel="0" collapsed="false">
      <c r="B216" s="405" t="n">
        <f aca="false">'Revenues &amp; Expenses'!K216</f>
        <v>42887</v>
      </c>
      <c r="C216" s="377" t="n">
        <f aca="false">'Fuel Curve'!F216</f>
        <v>4.42017241379311</v>
      </c>
      <c r="D216" s="422" t="n">
        <f aca="false">'Fuel Curve'!D216</f>
        <v>0.176</v>
      </c>
      <c r="E216" s="407" t="n">
        <f aca="false">VLOOKUP(B216,'PJM Curve Simulation'!$B$9:$F$258,4)</f>
        <v>0.073978425011111</v>
      </c>
      <c r="F216" s="376" t="n">
        <f aca="false">VLOOKUP(B216,'PJM Curve Simulation'!$B$9:$F$258,5)</f>
        <v>0.283275884436665</v>
      </c>
      <c r="G216" s="376" t="n">
        <f aca="false">(B216-$B$1)/365.25</f>
        <v>17.242984257358</v>
      </c>
      <c r="H216" s="376" t="n">
        <f aca="false">SQRT(G216)</f>
        <v>4.15246724940221</v>
      </c>
      <c r="I216" s="376" t="n">
        <f aca="false">IF($I$2=0,0,-(D216^2)/2)</f>
        <v>0</v>
      </c>
      <c r="J216" s="421" t="n">
        <f aca="false">IF(K205=1,C216,EXP(I216*G216+D216*$I$2*H216)*C216)</f>
        <v>4.42017241379311</v>
      </c>
    </row>
    <row r="217" customFormat="false" ht="15.75" hidden="false" customHeight="false" outlineLevel="0" collapsed="false">
      <c r="B217" s="405" t="n">
        <f aca="false">'Revenues &amp; Expenses'!K217</f>
        <v>42917</v>
      </c>
      <c r="C217" s="377" t="n">
        <f aca="false">'Fuel Curve'!F217</f>
        <v>4.47741379310345</v>
      </c>
      <c r="D217" s="422" t="n">
        <f aca="false">'Fuel Curve'!D217</f>
        <v>0.176</v>
      </c>
      <c r="E217" s="407" t="n">
        <f aca="false">VLOOKUP(B217,'PJM Curve Simulation'!$B$9:$F$258,4)</f>
        <v>0.073973418448387</v>
      </c>
      <c r="F217" s="376" t="n">
        <f aca="false">VLOOKUP(B217,'PJM Curve Simulation'!$B$9:$F$258,5)</f>
        <v>0.281614448416695</v>
      </c>
      <c r="G217" s="376" t="n">
        <f aca="false">(B217-$B$1)/365.25</f>
        <v>17.3251197809719</v>
      </c>
      <c r="H217" s="376" t="n">
        <f aca="false">SQRT(G217)</f>
        <v>4.16234546631727</v>
      </c>
      <c r="I217" s="376" t="n">
        <f aca="false">IF($I$2=0,0,-(D217^2)/2)</f>
        <v>0</v>
      </c>
      <c r="J217" s="421" t="n">
        <f aca="false">IF(K206=1,C217,EXP(I217*G217+D217*$I$2*H217)*C217)</f>
        <v>4.47741379310345</v>
      </c>
    </row>
    <row r="218" customFormat="false" ht="15.75" hidden="false" customHeight="false" outlineLevel="0" collapsed="false">
      <c r="B218" s="405" t="n">
        <f aca="false">'Revenues &amp; Expenses'!K218</f>
        <v>42948</v>
      </c>
      <c r="C218" s="377" t="n">
        <f aca="false">'Fuel Curve'!F218</f>
        <v>4.56793103448276</v>
      </c>
      <c r="D218" s="422" t="n">
        <f aca="false">'Fuel Curve'!D218</f>
        <v>0.176</v>
      </c>
      <c r="E218" s="407" t="n">
        <f aca="false">VLOOKUP(B218,'PJM Curve Simulation'!$B$9:$F$258,4)</f>
        <v>0.073968245000246</v>
      </c>
      <c r="F218" s="376" t="n">
        <f aca="false">VLOOKUP(B218,'PJM Curve Simulation'!$B$9:$F$258,5)</f>
        <v>0.27990810089895</v>
      </c>
      <c r="G218" s="376" t="n">
        <f aca="false">(B218-$B$1)/365.25</f>
        <v>17.409993155373</v>
      </c>
      <c r="H218" s="376" t="n">
        <f aca="false">SQRT(G218)</f>
        <v>4.17252838880373</v>
      </c>
      <c r="I218" s="376" t="n">
        <f aca="false">IF($I$2=0,0,-(D218^2)/2)</f>
        <v>0</v>
      </c>
      <c r="J218" s="421" t="n">
        <f aca="false">IF(K207=1,C218,EXP(I218*G218+D218*$I$2*H218)*C218)</f>
        <v>4.56793103448276</v>
      </c>
    </row>
    <row r="219" customFormat="false" ht="15.75" hidden="false" customHeight="false" outlineLevel="0" collapsed="false">
      <c r="B219" s="405" t="n">
        <f aca="false">'Revenues &amp; Expenses'!K219</f>
        <v>42979</v>
      </c>
      <c r="C219" s="377" t="n">
        <f aca="false">'Fuel Curve'!F219</f>
        <v>4.66275862068966</v>
      </c>
      <c r="D219" s="422" t="n">
        <f aca="false">'Fuel Curve'!D219</f>
        <v>0.176</v>
      </c>
      <c r="E219" s="407" t="n">
        <f aca="false">VLOOKUP(B219,'PJM Curve Simulation'!$B$9:$F$258,4)</f>
        <v>0.073963071552115</v>
      </c>
      <c r="F219" s="376" t="n">
        <f aca="false">VLOOKUP(B219,'PJM Curve Simulation'!$B$9:$F$258,5)</f>
        <v>0.278212328083229</v>
      </c>
      <c r="G219" s="376" t="n">
        <f aca="false">(B219-$B$1)/365.25</f>
        <v>17.4948665297741</v>
      </c>
      <c r="H219" s="376" t="n">
        <f aca="false">SQRT(G219)</f>
        <v>4.18268652061975</v>
      </c>
      <c r="I219" s="376" t="n">
        <f aca="false">IF($I$2=0,0,-(D219^2)/2)</f>
        <v>0</v>
      </c>
      <c r="J219" s="421" t="n">
        <f aca="false">IF(K208=1,C219,EXP(I219*G219+D219*$I$2*H219)*C219)</f>
        <v>4.66275862068966</v>
      </c>
    </row>
    <row r="220" customFormat="false" ht="15.75" hidden="false" customHeight="false" outlineLevel="0" collapsed="false">
      <c r="B220" s="405" t="n">
        <f aca="false">'Revenues &amp; Expenses'!K220</f>
        <v>43009</v>
      </c>
      <c r="C220" s="377" t="n">
        <f aca="false">'Fuel Curve'!F220</f>
        <v>4.75534482758621</v>
      </c>
      <c r="D220" s="422" t="n">
        <f aca="false">'Fuel Curve'!D220</f>
        <v>0.176</v>
      </c>
      <c r="E220" s="407" t="n">
        <f aca="false">VLOOKUP(B220,'PJM Curve Simulation'!$B$9:$F$258,4)</f>
        <v>0.073958064989417</v>
      </c>
      <c r="F220" s="376" t="n">
        <f aca="false">VLOOKUP(B220,'PJM Curve Simulation'!$B$9:$F$258,5)</f>
        <v>0.276581263098544</v>
      </c>
      <c r="G220" s="376" t="n">
        <f aca="false">(B220-$B$1)/365.25</f>
        <v>17.5770020533881</v>
      </c>
      <c r="H220" s="376" t="n">
        <f aca="false">SQRT(G220)</f>
        <v>4.19249353647541</v>
      </c>
      <c r="I220" s="376" t="n">
        <f aca="false">IF($I$2=0,0,-(D220^2)/2)</f>
        <v>0</v>
      </c>
      <c r="J220" s="421" t="n">
        <f aca="false">IF(K209=1,C220,EXP(I220*G220+D220*$I$2*H220)*C220)</f>
        <v>4.75534482758621</v>
      </c>
    </row>
    <row r="221" customFormat="false" ht="15.75" hidden="false" customHeight="false" outlineLevel="0" collapsed="false">
      <c r="B221" s="405" t="n">
        <f aca="false">'Revenues &amp; Expenses'!K221</f>
        <v>43040</v>
      </c>
      <c r="C221" s="377" t="n">
        <f aca="false">'Fuel Curve'!F221</f>
        <v>4.80465517241379</v>
      </c>
      <c r="D221" s="422" t="n">
        <f aca="false">'Fuel Curve'!D221</f>
        <v>0.176</v>
      </c>
      <c r="E221" s="407" t="n">
        <f aca="false">VLOOKUP(B221,'PJM Curve Simulation'!$B$9:$F$258,4)</f>
        <v>0.073952891541303</v>
      </c>
      <c r="F221" s="376" t="n">
        <f aca="false">VLOOKUP(B221,'PJM Curve Simulation'!$B$9:$F$258,5)</f>
        <v>0.274906103552325</v>
      </c>
      <c r="G221" s="376" t="n">
        <f aca="false">(B221-$B$1)/365.25</f>
        <v>17.6618754277892</v>
      </c>
      <c r="H221" s="376" t="n">
        <f aca="false">SQRT(G221)</f>
        <v>4.20260341071926</v>
      </c>
      <c r="I221" s="376" t="n">
        <f aca="false">IF($I$2=0,0,-(D221^2)/2)</f>
        <v>0</v>
      </c>
      <c r="J221" s="421" t="n">
        <f aca="false">IF(K210=1,C221,EXP(I221*G221+D221*$I$2*H221)*C221)</f>
        <v>4.80465517241379</v>
      </c>
    </row>
    <row r="222" customFormat="false" ht="15.75" hidden="false" customHeight="false" outlineLevel="0" collapsed="false">
      <c r="B222" s="405" t="n">
        <f aca="false">'Revenues &amp; Expenses'!K222</f>
        <v>43070</v>
      </c>
      <c r="C222" s="377" t="n">
        <f aca="false">'Fuel Curve'!F222</f>
        <v>4.84741379310345</v>
      </c>
      <c r="D222" s="422" t="n">
        <f aca="false">'Fuel Curve'!D222</f>
        <v>0.176</v>
      </c>
      <c r="E222" s="407" t="n">
        <f aca="false">VLOOKUP(B222,'PJM Curve Simulation'!$B$9:$F$258,4)</f>
        <v>0.07394788497862</v>
      </c>
      <c r="F222" s="376" t="n">
        <f aca="false">VLOOKUP(B222,'PJM Curve Simulation'!$B$9:$F$258,5)</f>
        <v>0.273294862689371</v>
      </c>
      <c r="G222" s="376" t="n">
        <f aca="false">(B222-$B$1)/365.25</f>
        <v>17.7440109514031</v>
      </c>
      <c r="H222" s="376" t="n">
        <f aca="false">SQRT(G222)</f>
        <v>4.21236405732021</v>
      </c>
      <c r="I222" s="376" t="n">
        <f aca="false">IF($I$2=0,0,-(D222^2)/2)</f>
        <v>0</v>
      </c>
      <c r="J222" s="421" t="n">
        <f aca="false">IF(K211=1,C222,EXP(I222*G222+D222*$I$2*H222)*C222)</f>
        <v>4.84741379310345</v>
      </c>
    </row>
    <row r="223" customFormat="false" ht="15.75" hidden="false" customHeight="false" outlineLevel="0" collapsed="false">
      <c r="B223" s="405" t="n">
        <f aca="false">'Revenues &amp; Expenses'!K223</f>
        <v>43101</v>
      </c>
      <c r="C223" s="377" t="n">
        <f aca="false">'Fuel Curve'!F223</f>
        <v>4.79017241379311</v>
      </c>
      <c r="D223" s="422" t="n">
        <f aca="false">'Fuel Curve'!D223</f>
        <v>0.176</v>
      </c>
      <c r="E223" s="407" t="n">
        <f aca="false">VLOOKUP(B223,'PJM Curve Simulation'!$B$9:$F$258,4)</f>
        <v>0.073942711530524</v>
      </c>
      <c r="F223" s="376" t="n">
        <f aca="false">VLOOKUP(B223,'PJM Curve Simulation'!$B$9:$F$258,5)</f>
        <v>0.271640060544694</v>
      </c>
      <c r="G223" s="376" t="n">
        <f aca="false">(B223-$B$1)/365.25</f>
        <v>17.8288843258042</v>
      </c>
      <c r="H223" s="376" t="n">
        <f aca="false">SQRT(G223)</f>
        <v>4.22242635528487</v>
      </c>
      <c r="I223" s="376" t="n">
        <f aca="false">IF($I$2=0,0,-(D223^2)/2)</f>
        <v>0</v>
      </c>
      <c r="J223" s="421" t="n">
        <f aca="false">IF(K212=1,C223,EXP(I223*G223+D223*$I$2*H223)*C223)</f>
        <v>4.79017241379311</v>
      </c>
    </row>
    <row r="224" customFormat="false" ht="15.75" hidden="false" customHeight="false" outlineLevel="0" collapsed="false">
      <c r="B224" s="405" t="n">
        <f aca="false">'Revenues &amp; Expenses'!K224</f>
        <v>43132</v>
      </c>
      <c r="C224" s="377" t="n">
        <f aca="false">'Fuel Curve'!F224</f>
        <v>4.69103448275862</v>
      </c>
      <c r="D224" s="422" t="n">
        <f aca="false">'Fuel Curve'!D224</f>
        <v>0.176</v>
      </c>
      <c r="E224" s="407" t="n">
        <f aca="false">VLOOKUP(B224,'PJM Curve Simulation'!$B$9:$F$258,4)</f>
        <v>0.073937538082437</v>
      </c>
      <c r="F224" s="376" t="n">
        <f aca="false">VLOOKUP(B224,'PJM Curve Simulation'!$B$9:$F$258,5)</f>
        <v>0.269995506947846</v>
      </c>
      <c r="G224" s="376" t="n">
        <f aca="false">(B224-$B$1)/365.25</f>
        <v>17.9137577002053</v>
      </c>
      <c r="H224" s="376" t="n">
        <f aca="false">SQRT(G224)</f>
        <v>4.23246473112362</v>
      </c>
      <c r="I224" s="376" t="n">
        <f aca="false">IF($I$2=0,0,-(D224^2)/2)</f>
        <v>0</v>
      </c>
      <c r="J224" s="421" t="n">
        <f aca="false">IF(K213=1,C224,EXP(I224*G224+D224*$I$2*H224)*C224)</f>
        <v>4.69103448275862</v>
      </c>
    </row>
    <row r="225" customFormat="false" ht="15.75" hidden="false" customHeight="false" outlineLevel="0" collapsed="false">
      <c r="B225" s="405" t="n">
        <f aca="false">'Revenues &amp; Expenses'!K225</f>
        <v>43160</v>
      </c>
      <c r="C225" s="377" t="n">
        <f aca="false">'Fuel Curve'!F225</f>
        <v>4.59396551724138</v>
      </c>
      <c r="D225" s="422" t="n">
        <f aca="false">'Fuel Curve'!D225</f>
        <v>0.176</v>
      </c>
      <c r="E225" s="407" t="n">
        <f aca="false">VLOOKUP(B225,'PJM Curve Simulation'!$B$9:$F$258,4)</f>
        <v>0.073932865290623</v>
      </c>
      <c r="F225" s="376" t="n">
        <f aca="false">VLOOKUP(B225,'PJM Curve Simulation'!$B$9:$F$258,5)</f>
        <v>0.268518858616475</v>
      </c>
      <c r="G225" s="376" t="n">
        <f aca="false">(B225-$B$1)/365.25</f>
        <v>17.990417522245</v>
      </c>
      <c r="H225" s="376" t="n">
        <f aca="false">SQRT(G225)</f>
        <v>4.24151123094647</v>
      </c>
      <c r="I225" s="376" t="n">
        <f aca="false">IF($I$2=0,0,-(D225^2)/2)</f>
        <v>0</v>
      </c>
      <c r="J225" s="421" t="n">
        <f aca="false">IF(K214=1,C225,EXP(I225*G225+D225*$I$2*H225)*C225)</f>
        <v>4.59396551724138</v>
      </c>
    </row>
    <row r="226" customFormat="false" ht="15.75" hidden="false" customHeight="false" outlineLevel="0" collapsed="false">
      <c r="B226" s="405" t="n">
        <f aca="false">'Revenues &amp; Expenses'!K226</f>
        <v>43191</v>
      </c>
      <c r="C226" s="377" t="n">
        <f aca="false">'Fuel Curve'!F226</f>
        <v>4.49396551724138</v>
      </c>
      <c r="D226" s="422" t="n">
        <f aca="false">'Fuel Curve'!D226</f>
        <v>0.176</v>
      </c>
      <c r="E226" s="407" t="n">
        <f aca="false">VLOOKUP(B226,'PJM Curve Simulation'!$B$9:$F$258,4)</f>
        <v>0.073927691842552</v>
      </c>
      <c r="F226" s="376" t="n">
        <f aca="false">VLOOKUP(B226,'PJM Curve Simulation'!$B$9:$F$258,5)</f>
        <v>0.266893631577935</v>
      </c>
      <c r="G226" s="376" t="n">
        <f aca="false">(B226-$B$1)/365.25</f>
        <v>18.0752908966461</v>
      </c>
      <c r="H226" s="376" t="n">
        <f aca="false">SQRT(G226)</f>
        <v>4.25150454505768</v>
      </c>
      <c r="I226" s="376" t="n">
        <f aca="false">IF($I$2=0,0,-(D226^2)/2)</f>
        <v>0</v>
      </c>
      <c r="J226" s="421" t="n">
        <f aca="false">IF(K215=1,C226,EXP(I226*G226+D226*$I$2*H226)*C226)</f>
        <v>4.49396551724138</v>
      </c>
    </row>
    <row r="227" customFormat="false" ht="15.75" hidden="false" customHeight="false" outlineLevel="0" collapsed="false">
      <c r="B227" s="405" t="n">
        <f aca="false">'Revenues &amp; Expenses'!K227</f>
        <v>43221</v>
      </c>
      <c r="C227" s="377" t="n">
        <f aca="false">'Fuel Curve'!F227</f>
        <v>4.42672413793104</v>
      </c>
      <c r="D227" s="422" t="n">
        <f aca="false">'Fuel Curve'!D227</f>
        <v>0.176</v>
      </c>
      <c r="E227" s="407" t="n">
        <f aca="false">VLOOKUP(B227,'PJM Curve Simulation'!$B$9:$F$258,4)</f>
        <v>0.073922685279911</v>
      </c>
      <c r="F227" s="376" t="n">
        <f aca="false">VLOOKUP(B227,'PJM Curve Simulation'!$B$9:$F$258,5)</f>
        <v>0.265330411762718</v>
      </c>
      <c r="G227" s="376" t="n">
        <f aca="false">(B227-$B$1)/365.25</f>
        <v>18.1574264202601</v>
      </c>
      <c r="H227" s="376" t="n">
        <f aca="false">SQRT(G227)</f>
        <v>4.26115317962874</v>
      </c>
      <c r="I227" s="376" t="n">
        <f aca="false">IF($I$2=0,0,-(D227^2)/2)</f>
        <v>0</v>
      </c>
      <c r="J227" s="421" t="n">
        <f aca="false">IF(K216=1,C227,EXP(I227*G227+D227*$I$2*H227)*C227)</f>
        <v>4.42672413793104</v>
      </c>
    </row>
    <row r="228" customFormat="false" ht="15.75" hidden="false" customHeight="false" outlineLevel="0" collapsed="false">
      <c r="B228" s="405" t="n">
        <f aca="false">'Revenues &amp; Expenses'!K228</f>
        <v>43252</v>
      </c>
      <c r="C228" s="377" t="n">
        <f aca="false">'Fuel Curve'!F228</f>
        <v>4.42017241379311</v>
      </c>
      <c r="D228" s="422" t="n">
        <f aca="false">'Fuel Curve'!D228</f>
        <v>0.176</v>
      </c>
      <c r="E228" s="407" t="n">
        <f aca="false">VLOOKUP(B228,'PJM Curve Simulation'!$B$9:$F$258,4)</f>
        <v>0.073917511831858</v>
      </c>
      <c r="F228" s="376" t="n">
        <f aca="false">VLOOKUP(B228,'PJM Curve Simulation'!$B$9:$F$258,5)</f>
        <v>0.26372492259241</v>
      </c>
      <c r="G228" s="376" t="n">
        <f aca="false">(B228-$B$1)/365.25</f>
        <v>18.2422997946612</v>
      </c>
      <c r="H228" s="376" t="n">
        <f aca="false">SQRT(G228)</f>
        <v>4.27110053670728</v>
      </c>
      <c r="I228" s="376" t="n">
        <f aca="false">IF($I$2=0,0,-(D228^2)/2)</f>
        <v>0</v>
      </c>
      <c r="J228" s="421" t="n">
        <f aca="false">IF(K217=1,C228,EXP(I228*G228+D228*$I$2*H228)*C228)</f>
        <v>4.42017241379311</v>
      </c>
    </row>
    <row r="229" customFormat="false" ht="15.75" hidden="false" customHeight="false" outlineLevel="0" collapsed="false">
      <c r="B229" s="405" t="n">
        <f aca="false">'Revenues &amp; Expenses'!K229</f>
        <v>43282</v>
      </c>
      <c r="C229" s="377" t="n">
        <f aca="false">'Fuel Curve'!F229</f>
        <v>4.47741379310345</v>
      </c>
      <c r="D229" s="422" t="n">
        <f aca="false">'Fuel Curve'!D229</f>
        <v>0.176</v>
      </c>
      <c r="E229" s="407" t="n">
        <f aca="false">VLOOKUP(B229,'PJM Curve Simulation'!$B$9:$F$258,4)</f>
        <v>0.073912505269235</v>
      </c>
      <c r="F229" s="376" t="n">
        <f aca="false">VLOOKUP(B229,'PJM Curve Simulation'!$B$9:$F$258,5)</f>
        <v>0.262180685114484</v>
      </c>
      <c r="G229" s="376" t="n">
        <f aca="false">(B229-$B$1)/365.25</f>
        <v>18.3244353182752</v>
      </c>
      <c r="H229" s="376" t="n">
        <f aca="false">SQRT(G229)</f>
        <v>4.28070500248209</v>
      </c>
      <c r="I229" s="376" t="n">
        <f aca="false">IF($I$2=0,0,-(D229^2)/2)</f>
        <v>0</v>
      </c>
      <c r="J229" s="421" t="n">
        <f aca="false">IF(K218=1,C229,EXP(I229*G229+D229*$I$2*H229)*C229)</f>
        <v>4.47741379310345</v>
      </c>
    </row>
    <row r="230" customFormat="false" ht="15.75" hidden="false" customHeight="false" outlineLevel="0" collapsed="false">
      <c r="B230" s="405" t="n">
        <f aca="false">'Revenues &amp; Expenses'!K230</f>
        <v>43313</v>
      </c>
      <c r="C230" s="377" t="n">
        <f aca="false">'Fuel Curve'!F230</f>
        <v>4.56793103448276</v>
      </c>
      <c r="D230" s="422" t="n">
        <f aca="false">'Fuel Curve'!D230</f>
        <v>0.176</v>
      </c>
      <c r="E230" s="407" t="n">
        <f aca="false">VLOOKUP(B230,'PJM Curve Simulation'!$B$9:$F$258,4)</f>
        <v>0.073907331821199</v>
      </c>
      <c r="F230" s="376" t="n">
        <f aca="false">VLOOKUP(B230,'PJM Curve Simulation'!$B$9:$F$258,5)</f>
        <v>0.260594689023033</v>
      </c>
      <c r="G230" s="376" t="n">
        <f aca="false">(B230-$B$1)/365.25</f>
        <v>18.4093086926762</v>
      </c>
      <c r="H230" s="376" t="n">
        <f aca="false">SQRT(G230)</f>
        <v>4.29060703079136</v>
      </c>
      <c r="I230" s="376" t="n">
        <f aca="false">IF($I$2=0,0,-(D230^2)/2)</f>
        <v>0</v>
      </c>
      <c r="J230" s="421" t="n">
        <f aca="false">IF(K219=1,C230,EXP(I230*G230+D230*$I$2*H230)*C230)</f>
        <v>4.56793103448276</v>
      </c>
    </row>
    <row r="231" customFormat="false" ht="15.75" hidden="false" customHeight="false" outlineLevel="0" collapsed="false">
      <c r="B231" s="405" t="n">
        <f aca="false">'Revenues &amp; Expenses'!K231</f>
        <v>43344</v>
      </c>
      <c r="C231" s="377" t="n">
        <f aca="false">'Fuel Curve'!F231</f>
        <v>4.66275862068966</v>
      </c>
      <c r="D231" s="422" t="n">
        <f aca="false">'Fuel Curve'!D231</f>
        <v>0.176</v>
      </c>
      <c r="E231" s="407" t="n">
        <f aca="false">VLOOKUP(B231,'PJM Curve Simulation'!$B$9:$F$258,4)</f>
        <v>0.073902158373172</v>
      </c>
      <c r="F231" s="376" t="n">
        <f aca="false">VLOOKUP(B231,'PJM Curve Simulation'!$B$9:$F$258,5)</f>
        <v>0.259018506433269</v>
      </c>
      <c r="G231" s="376" t="n">
        <f aca="false">(B231-$B$1)/365.25</f>
        <v>18.4941820670773</v>
      </c>
      <c r="H231" s="376" t="n">
        <f aca="false">SQRT(G231)</f>
        <v>4.30048625937548</v>
      </c>
      <c r="I231" s="376" t="n">
        <f aca="false">IF($I$2=0,0,-(D231^2)/2)</f>
        <v>0</v>
      </c>
      <c r="J231" s="421" t="n">
        <f aca="false">IF(K220=1,C231,EXP(I231*G231+D231*$I$2*H231)*C231)</f>
        <v>4.66275862068966</v>
      </c>
    </row>
    <row r="232" customFormat="false" ht="15.75" hidden="false" customHeight="false" outlineLevel="0" collapsed="false">
      <c r="B232" s="405" t="n">
        <f aca="false">'Revenues &amp; Expenses'!K232</f>
        <v>43374</v>
      </c>
      <c r="C232" s="377" t="n">
        <f aca="false">'Fuel Curve'!F232</f>
        <v>4.75534482758621</v>
      </c>
      <c r="D232" s="422" t="n">
        <f aca="false">'Fuel Curve'!D232</f>
        <v>0.176</v>
      </c>
      <c r="E232" s="407" t="n">
        <f aca="false">VLOOKUP(B232,'PJM Curve Simulation'!$B$9:$F$258,4)</f>
        <v>0.073897151810573</v>
      </c>
      <c r="F232" s="376" t="n">
        <f aca="false">VLOOKUP(B232,'PJM Curve Simulation'!$B$9:$F$258,5)</f>
        <v>0.257502453786801</v>
      </c>
      <c r="G232" s="376" t="n">
        <f aca="false">(B232-$B$1)/365.25</f>
        <v>18.5763175906913</v>
      </c>
      <c r="H232" s="376" t="n">
        <f aca="false">SQRT(G232)</f>
        <v>4.31002524246568</v>
      </c>
      <c r="I232" s="376" t="n">
        <f aca="false">IF($I$2=0,0,-(D232^2)/2)</f>
        <v>0</v>
      </c>
      <c r="J232" s="421" t="n">
        <f aca="false">IF(K221=1,C232,EXP(I232*G232+D232*$I$2*H232)*C232)</f>
        <v>4.75534482758621</v>
      </c>
    </row>
    <row r="233" customFormat="false" ht="15.75" hidden="false" customHeight="false" outlineLevel="0" collapsed="false">
      <c r="B233" s="405" t="n">
        <f aca="false">'Revenues &amp; Expenses'!K233</f>
        <v>43405</v>
      </c>
      <c r="C233" s="377" t="n">
        <f aca="false">'Fuel Curve'!F233</f>
        <v>4.80465517241379</v>
      </c>
      <c r="D233" s="422" t="n">
        <f aca="false">'Fuel Curve'!D233</f>
        <v>0.176</v>
      </c>
      <c r="E233" s="407" t="n">
        <f aca="false">VLOOKUP(B233,'PJM Curve Simulation'!$B$9:$F$258,4)</f>
        <v>0.073891978362564</v>
      </c>
      <c r="F233" s="376" t="n">
        <f aca="false">VLOOKUP(B233,'PJM Curve Simulation'!$B$9:$F$258,5)</f>
        <v>0.255945400928866</v>
      </c>
      <c r="G233" s="376" t="n">
        <f aca="false">(B233-$B$1)/365.25</f>
        <v>18.6611909650924</v>
      </c>
      <c r="H233" s="376" t="n">
        <f aca="false">SQRT(G233)</f>
        <v>4.31986006313774</v>
      </c>
      <c r="I233" s="376" t="n">
        <f aca="false">IF($I$2=0,0,-(D233^2)/2)</f>
        <v>0</v>
      </c>
      <c r="J233" s="421" t="n">
        <f aca="false">IF(K222=1,C233,EXP(I233*G233+D233*$I$2*H233)*C233)</f>
        <v>4.80465517241379</v>
      </c>
    </row>
    <row r="234" customFormat="false" ht="15.75" hidden="false" customHeight="false" outlineLevel="0" collapsed="false">
      <c r="B234" s="405" t="n">
        <f aca="false">'Revenues &amp; Expenses'!K234</f>
        <v>43435</v>
      </c>
      <c r="C234" s="377" t="n">
        <f aca="false">'Fuel Curve'!F234</f>
        <v>4.84741379310345</v>
      </c>
      <c r="D234" s="422" t="n">
        <f aca="false">'Fuel Curve'!D234</f>
        <v>0.176</v>
      </c>
      <c r="E234" s="407" t="n">
        <f aca="false">VLOOKUP(B234,'PJM Curve Simulation'!$B$9:$F$258,4)</f>
        <v>0.073886971799982</v>
      </c>
      <c r="F234" s="376" t="n">
        <f aca="false">VLOOKUP(B234,'PJM Curve Simulation'!$B$9:$F$258,5)</f>
        <v>0.25444774583403</v>
      </c>
      <c r="G234" s="376" t="n">
        <f aca="false">(B234-$B$1)/365.25</f>
        <v>18.7433264887064</v>
      </c>
      <c r="H234" s="376" t="n">
        <f aca="false">SQRT(G234)</f>
        <v>4.32935635963435</v>
      </c>
      <c r="I234" s="376" t="n">
        <f aca="false">IF($I$2=0,0,-(D234^2)/2)</f>
        <v>0</v>
      </c>
      <c r="J234" s="421" t="n">
        <f aca="false">IF(K223=1,C234,EXP(I234*G234+D234*$I$2*H234)*C234)</f>
        <v>4.84741379310345</v>
      </c>
    </row>
    <row r="235" customFormat="false" ht="15.75" hidden="false" customHeight="false" outlineLevel="0" collapsed="false">
      <c r="B235" s="405" t="n">
        <f aca="false">'Revenues &amp; Expenses'!K235</f>
        <v>43466</v>
      </c>
      <c r="C235" s="377" t="n">
        <f aca="false">'Fuel Curve'!F235</f>
        <v>4.79017241379311</v>
      </c>
      <c r="D235" s="422" t="n">
        <f aca="false">'Fuel Curve'!D235</f>
        <v>0.176</v>
      </c>
      <c r="E235" s="407" t="n">
        <f aca="false">VLOOKUP(B235,'PJM Curve Simulation'!$B$9:$F$258,4)</f>
        <v>0.073881798352</v>
      </c>
      <c r="F235" s="376" t="n">
        <f aca="false">VLOOKUP(B235,'PJM Curve Simulation'!$B$9:$F$258,5)</f>
        <v>0.252909585609196</v>
      </c>
      <c r="G235" s="376" t="n">
        <f aca="false">(B235-$B$1)/365.25</f>
        <v>18.8281998631075</v>
      </c>
      <c r="H235" s="376" t="n">
        <f aca="false">SQRT(G235)</f>
        <v>4.33914736591274</v>
      </c>
      <c r="I235" s="376" t="n">
        <f aca="false">IF($I$2=0,0,-(D235^2)/2)</f>
        <v>0</v>
      </c>
      <c r="J235" s="421" t="n">
        <f aca="false">IF(K224=1,C235,EXP(I235*G235+D235*$I$2*H235)*C235)</f>
        <v>4.79017241379311</v>
      </c>
    </row>
    <row r="236" customFormat="false" ht="15.75" hidden="false" customHeight="false" outlineLevel="0" collapsed="false">
      <c r="B236" s="405" t="n">
        <f aca="false">'Revenues &amp; Expenses'!K236</f>
        <v>43497</v>
      </c>
      <c r="C236" s="377" t="n">
        <f aca="false">'Fuel Curve'!F236</f>
        <v>4.69103448275862</v>
      </c>
      <c r="D236" s="422" t="n">
        <f aca="false">'Fuel Curve'!D236</f>
        <v>0.176</v>
      </c>
      <c r="E236" s="407" t="n">
        <f aca="false">VLOOKUP(B236,'PJM Curve Simulation'!$B$9:$F$258,4)</f>
        <v>0.073876624904006</v>
      </c>
      <c r="F236" s="376" t="n">
        <f aca="false">VLOOKUP(B236,'PJM Curve Simulation'!$B$9:$F$258,5)</f>
        <v>0.25138093665711</v>
      </c>
      <c r="G236" s="376" t="n">
        <f aca="false">(B236-$B$1)/365.25</f>
        <v>18.9130732375086</v>
      </c>
      <c r="H236" s="376" t="n">
        <f aca="false">SQRT(G236)</f>
        <v>4.34891632909953</v>
      </c>
      <c r="I236" s="376" t="n">
        <f aca="false">IF($I$2=0,0,-(D236^2)/2)</f>
        <v>0</v>
      </c>
      <c r="J236" s="421" t="n">
        <f aca="false">IF(K225=1,C236,EXP(I236*G236+D236*$I$2*H236)*C236)</f>
        <v>4.69103448275862</v>
      </c>
    </row>
    <row r="237" customFormat="false" ht="15.75" hidden="false" customHeight="false" outlineLevel="0" collapsed="false">
      <c r="B237" s="405" t="n">
        <f aca="false">'Revenues &amp; Expenses'!K237</f>
        <v>43525</v>
      </c>
      <c r="C237" s="377" t="n">
        <f aca="false">'Fuel Curve'!F237</f>
        <v>4.59396551724138</v>
      </c>
      <c r="D237" s="422" t="n">
        <f aca="false">'Fuel Curve'!D237</f>
        <v>0.176</v>
      </c>
      <c r="E237" s="407" t="n">
        <f aca="false">VLOOKUP(B237,'PJM Curve Simulation'!$B$9:$F$258,4)</f>
        <v>0.073871952112287</v>
      </c>
      <c r="F237" s="376" t="n">
        <f aca="false">VLOOKUP(B237,'PJM Curve Simulation'!$B$9:$F$258,5)</f>
        <v>0.25000834664271</v>
      </c>
      <c r="G237" s="376" t="n">
        <f aca="false">(B237-$B$1)/365.25</f>
        <v>18.9897330595483</v>
      </c>
      <c r="H237" s="376" t="n">
        <f aca="false">SQRT(G237)</f>
        <v>4.35772108556161</v>
      </c>
      <c r="I237" s="376" t="n">
        <f aca="false">IF($I$2=0,0,-(D237^2)/2)</f>
        <v>0</v>
      </c>
      <c r="J237" s="421" t="n">
        <f aca="false">IF(K226=1,C237,EXP(I237*G237+D237*$I$2*H237)*C237)</f>
        <v>4.59396551724138</v>
      </c>
    </row>
    <row r="238" customFormat="false" ht="15.75" hidden="false" customHeight="false" outlineLevel="0" collapsed="false">
      <c r="B238" s="405" t="n">
        <f aca="false">'Revenues &amp; Expenses'!K238</f>
        <v>43556</v>
      </c>
      <c r="C238" s="377" t="n">
        <f aca="false">'Fuel Curve'!F238</f>
        <v>4.49396551724138</v>
      </c>
      <c r="D238" s="422" t="n">
        <f aca="false">'Fuel Curve'!D238</f>
        <v>0.176</v>
      </c>
      <c r="E238" s="407" t="n">
        <f aca="false">VLOOKUP(B238,'PJM Curve Simulation'!$B$9:$F$258,4)</f>
        <v>0.07386677866432</v>
      </c>
      <c r="F238" s="376" t="n">
        <f aca="false">VLOOKUP(B238,'PJM Curve Simulation'!$B$9:$F$258,5)</f>
        <v>0.248497634154361</v>
      </c>
      <c r="G238" s="376" t="n">
        <f aca="false">(B238-$B$1)/365.25</f>
        <v>19.0746064339494</v>
      </c>
      <c r="H238" s="376" t="n">
        <f aca="false">SQRT(G238)</f>
        <v>4.3674485038692</v>
      </c>
      <c r="I238" s="376" t="n">
        <f aca="false">IF($I$2=0,0,-(D238^2)/2)</f>
        <v>0</v>
      </c>
      <c r="J238" s="421" t="n">
        <f aca="false">IF(K227=1,C238,EXP(I238*G238+D238*$I$2*H238)*C238)</f>
        <v>4.49396551724138</v>
      </c>
    </row>
    <row r="239" customFormat="false" ht="15.75" hidden="false" customHeight="false" outlineLevel="0" collapsed="false">
      <c r="B239" s="405" t="n">
        <f aca="false">'Revenues &amp; Expenses'!K239</f>
        <v>43586</v>
      </c>
      <c r="C239" s="377" t="n">
        <f aca="false">'Fuel Curve'!F239</f>
        <v>4.42672413793104</v>
      </c>
      <c r="D239" s="422" t="n">
        <f aca="false">'Fuel Curve'!D239</f>
        <v>0.176</v>
      </c>
      <c r="E239" s="407" t="n">
        <f aca="false">VLOOKUP(B239,'PJM Curve Simulation'!$B$9:$F$258,4)</f>
        <v>0.07386177210178</v>
      </c>
      <c r="F239" s="376" t="n">
        <f aca="false">VLOOKUP(B239,'PJM Curve Simulation'!$B$9:$F$258,5)</f>
        <v>0.247044545897405</v>
      </c>
      <c r="G239" s="376" t="n">
        <f aca="false">(B239-$B$1)/365.25</f>
        <v>19.1567419575633</v>
      </c>
      <c r="H239" s="376" t="n">
        <f aca="false">SQRT(G239)</f>
        <v>4.37684155042918</v>
      </c>
      <c r="I239" s="376" t="n">
        <f aca="false">IF($I$2=0,0,-(D239^2)/2)</f>
        <v>0</v>
      </c>
      <c r="J239" s="421" t="n">
        <f aca="false">IF(K228=1,C239,EXP(I239*G239+D239*$I$2*H239)*C239)</f>
        <v>4.42672413793104</v>
      </c>
    </row>
    <row r="240" customFormat="false" ht="15.75" hidden="false" customHeight="false" outlineLevel="0" collapsed="false">
      <c r="B240" s="405" t="n">
        <f aca="false">'Revenues &amp; Expenses'!K240</f>
        <v>43617</v>
      </c>
      <c r="C240" s="377" t="n">
        <f aca="false">'Fuel Curve'!F240</f>
        <v>4.42017241379311</v>
      </c>
      <c r="D240" s="422" t="n">
        <f aca="false">'Fuel Curve'!D240</f>
        <v>0.176</v>
      </c>
      <c r="E240" s="407" t="n">
        <f aca="false">VLOOKUP(B240,'PJM Curve Simulation'!$B$9:$F$258,4)</f>
        <v>0.073856598653831</v>
      </c>
      <c r="F240" s="376" t="n">
        <f aca="false">VLOOKUP(B240,'PJM Curve Simulation'!$B$9:$F$258,5)</f>
        <v>0.245552151936625</v>
      </c>
      <c r="G240" s="376" t="n">
        <f aca="false">(B240-$B$1)/365.25</f>
        <v>19.2416153319644</v>
      </c>
      <c r="H240" s="376" t="n">
        <f aca="false">SQRT(G240)</f>
        <v>4.38652656802218</v>
      </c>
      <c r="I240" s="376" t="n">
        <f aca="false">IF($I$2=0,0,-(D240^2)/2)</f>
        <v>0</v>
      </c>
      <c r="J240" s="421" t="n">
        <f aca="false">IF(K229=1,C240,EXP(I240*G240+D240*$I$2*H240)*C240)</f>
        <v>4.42017241379311</v>
      </c>
    </row>
    <row r="241" customFormat="false" ht="15.75" hidden="false" customHeight="false" outlineLevel="0" collapsed="false">
      <c r="B241" s="405" t="n">
        <f aca="false">'Revenues &amp; Expenses'!K241</f>
        <v>43647</v>
      </c>
      <c r="C241" s="377" t="n">
        <f aca="false">'Fuel Curve'!F241</f>
        <v>4.47741379310345</v>
      </c>
      <c r="D241" s="422" t="n">
        <f aca="false">'Fuel Curve'!D241</f>
        <v>0.176</v>
      </c>
      <c r="E241" s="407" t="n">
        <f aca="false">VLOOKUP(B241,'PJM Curve Simulation'!$B$9:$F$258,4)</f>
        <v>0.073851592091307</v>
      </c>
      <c r="F241" s="376" t="n">
        <f aca="false">VLOOKUP(B241,'PJM Curve Simulation'!$B$9:$F$258,5)</f>
        <v>0.244116681171432</v>
      </c>
      <c r="G241" s="376" t="n">
        <f aca="false">(B241-$B$1)/365.25</f>
        <v>19.3237508555784</v>
      </c>
      <c r="H241" s="376" t="n">
        <f aca="false">SQRT(G241)</f>
        <v>4.39587884905605</v>
      </c>
      <c r="I241" s="376" t="n">
        <f aca="false">IF($I$2=0,0,-(D241^2)/2)</f>
        <v>0</v>
      </c>
      <c r="J241" s="421" t="n">
        <f aca="false">IF(K230=1,C241,EXP(I241*G241+D241*$I$2*H241)*C241)</f>
        <v>4.47741379310345</v>
      </c>
    </row>
    <row r="242" customFormat="false" ht="15.75" hidden="false" customHeight="false" outlineLevel="0" collapsed="false">
      <c r="B242" s="405" t="n">
        <f aca="false">'Revenues &amp; Expenses'!K242</f>
        <v>43678</v>
      </c>
      <c r="C242" s="377" t="n">
        <f aca="false">'Fuel Curve'!F242</f>
        <v>4.56793103448276</v>
      </c>
      <c r="D242" s="422" t="n">
        <f aca="false">'Fuel Curve'!D242</f>
        <v>0.176</v>
      </c>
      <c r="E242" s="407" t="n">
        <f aca="false">VLOOKUP(B242,'PJM Curve Simulation'!$B$9:$F$258,4)</f>
        <v>0.073846418643376</v>
      </c>
      <c r="F242" s="376" t="n">
        <f aca="false">VLOOKUP(B242,'PJM Curve Simulation'!$B$9:$F$258,5)</f>
        <v>0.24264237889093</v>
      </c>
      <c r="G242" s="376" t="n">
        <f aca="false">(B242-$B$1)/365.25</f>
        <v>19.4086242299795</v>
      </c>
      <c r="H242" s="376" t="n">
        <f aca="false">SQRT(G242)</f>
        <v>4.4055220156049</v>
      </c>
      <c r="I242" s="376" t="n">
        <f aca="false">IF($I$2=0,0,-(D242^2)/2)</f>
        <v>0</v>
      </c>
      <c r="J242" s="421" t="n">
        <f aca="false">IF(K231=1,C242,EXP(I242*G242+D242*$I$2*H242)*C242)</f>
        <v>4.56793103448276</v>
      </c>
    </row>
    <row r="243" customFormat="false" ht="15.75" hidden="false" customHeight="false" outlineLevel="0" collapsed="false">
      <c r="B243" s="405" t="n">
        <f aca="false">'Revenues &amp; Expenses'!K243</f>
        <v>43709</v>
      </c>
      <c r="C243" s="377" t="n">
        <f aca="false">'Fuel Curve'!F243</f>
        <v>4.66275862068966</v>
      </c>
      <c r="D243" s="422" t="n">
        <f aca="false">'Fuel Curve'!D243</f>
        <v>0.176</v>
      </c>
      <c r="E243" s="407" t="n">
        <f aca="false">VLOOKUP(B243,'PJM Curve Simulation'!$B$9:$F$258,4)</f>
        <v>0.073841245195453</v>
      </c>
      <c r="F243" s="376" t="n">
        <f aca="false">VLOOKUP(B243,'PJM Curve Simulation'!$B$9:$F$258,5)</f>
        <v>0.24117718472775</v>
      </c>
      <c r="G243" s="376" t="n">
        <f aca="false">(B243-$B$1)/365.25</f>
        <v>19.4934976043806</v>
      </c>
      <c r="H243" s="376" t="n">
        <f aca="false">SQRT(G243)</f>
        <v>4.41514412045412</v>
      </c>
      <c r="I243" s="376" t="n">
        <f aca="false">IF($I$2=0,0,-(D243^2)/2)</f>
        <v>0</v>
      </c>
      <c r="J243" s="421" t="n">
        <f aca="false">IF(K232=1,C243,EXP(I243*G243+D243*$I$2*H243)*C243)</f>
        <v>4.66275862068966</v>
      </c>
    </row>
    <row r="244" customFormat="false" ht="15.75" hidden="false" customHeight="false" outlineLevel="0" collapsed="false">
      <c r="B244" s="405" t="n">
        <f aca="false">'Revenues &amp; Expenses'!K244</f>
        <v>43739</v>
      </c>
      <c r="C244" s="377" t="n">
        <f aca="false">'Fuel Curve'!F244</f>
        <v>4.75534482758621</v>
      </c>
      <c r="D244" s="422" t="n">
        <f aca="false">'Fuel Curve'!D244</f>
        <v>0.176</v>
      </c>
      <c r="E244" s="407" t="n">
        <f aca="false">VLOOKUP(B244,'PJM Curve Simulation'!$B$9:$F$258,4)</f>
        <v>0.073836238632955</v>
      </c>
      <c r="F244" s="376" t="n">
        <f aca="false">VLOOKUP(B244,'PJM Curve Simulation'!$B$9:$F$258,5)</f>
        <v>0.239767872896411</v>
      </c>
      <c r="G244" s="376" t="n">
        <f aca="false">(B244-$B$1)/365.25</f>
        <v>19.5756331279945</v>
      </c>
      <c r="H244" s="376" t="n">
        <f aca="false">SQRT(G244)</f>
        <v>4.42443591071162</v>
      </c>
      <c r="I244" s="376" t="n">
        <f aca="false">IF($I$2=0,0,-(D244^2)/2)</f>
        <v>0</v>
      </c>
      <c r="J244" s="421" t="n">
        <f aca="false">IF(K233=1,C244,EXP(I244*G244+D244*$I$2*H244)*C244)</f>
        <v>4.75534482758621</v>
      </c>
    </row>
    <row r="245" customFormat="false" ht="15.75" hidden="false" customHeight="false" outlineLevel="0" collapsed="false">
      <c r="B245" s="405" t="n">
        <f aca="false">'Revenues &amp; Expenses'!K245</f>
        <v>43770</v>
      </c>
      <c r="C245" s="377" t="n">
        <f aca="false">'Fuel Curve'!F245</f>
        <v>4.80465517241379</v>
      </c>
      <c r="D245" s="422" t="n">
        <f aca="false">'Fuel Curve'!D245</f>
        <v>0.176</v>
      </c>
      <c r="E245" s="407" t="n">
        <f aca="false">VLOOKUP(B245,'PJM Curve Simulation'!$B$9:$F$258,4)</f>
        <v>0.073831065185049</v>
      </c>
      <c r="F245" s="376" t="n">
        <f aca="false">VLOOKUP(B245,'PJM Curve Simulation'!$B$9:$F$258,5)</f>
        <v>0.238320433690611</v>
      </c>
      <c r="G245" s="376" t="n">
        <f aca="false">(B245-$B$1)/365.25</f>
        <v>19.6605065023956</v>
      </c>
      <c r="H245" s="376" t="n">
        <f aca="false">SQRT(G245)</f>
        <v>4.43401697136982</v>
      </c>
      <c r="I245" s="376" t="n">
        <f aca="false">IF($I$2=0,0,-(D245^2)/2)</f>
        <v>0</v>
      </c>
      <c r="J245" s="421" t="n">
        <f aca="false">IF(K234=1,C245,EXP(I245*G245+D245*$I$2*H245)*C245)</f>
        <v>4.80465517241379</v>
      </c>
    </row>
    <row r="246" customFormat="false" ht="15.75" hidden="false" customHeight="false" outlineLevel="0" collapsed="false">
      <c r="B246" s="405" t="n">
        <f aca="false">'Revenues &amp; Expenses'!K246</f>
        <v>43800</v>
      </c>
      <c r="C246" s="377" t="n">
        <f aca="false">'Fuel Curve'!F246</f>
        <v>4.84741379310345</v>
      </c>
      <c r="D246" s="422" t="n">
        <f aca="false">'Fuel Curve'!D246</f>
        <v>0.176</v>
      </c>
      <c r="E246" s="407" t="n">
        <f aca="false">VLOOKUP(B246,'PJM Curve Simulation'!$B$9:$F$258,4)</f>
        <v>0.073826058622568</v>
      </c>
      <c r="F246" s="376" t="n">
        <f aca="false">VLOOKUP(B246,'PJM Curve Simulation'!$B$9:$F$258,5)</f>
        <v>0.236928197415367</v>
      </c>
      <c r="G246" s="376" t="n">
        <f aca="false">(B246-$B$1)/365.25</f>
        <v>19.7426420260096</v>
      </c>
      <c r="H246" s="376" t="n">
        <f aca="false">SQRT(G246)</f>
        <v>4.44326929478842</v>
      </c>
      <c r="I246" s="376" t="n">
        <f aca="false">IF($I$2=0,0,-(D246^2)/2)</f>
        <v>0</v>
      </c>
      <c r="J246" s="421" t="n">
        <f aca="false">IF(K235=1,C246,EXP(I246*G246+D246*$I$2*H246)*C246)</f>
        <v>4.84741379310345</v>
      </c>
    </row>
    <row r="247" customFormat="false" ht="15.75" hidden="false" customHeight="false" outlineLevel="0" collapsed="false">
      <c r="B247" s="405" t="n">
        <f aca="false">'Revenues &amp; Expenses'!K247</f>
        <v>43831</v>
      </c>
      <c r="C247" s="377" t="n">
        <f aca="false">'Fuel Curve'!F247</f>
        <v>4.79017241379311</v>
      </c>
      <c r="D247" s="422" t="n">
        <f aca="false">'Fuel Curve'!D247</f>
        <v>0.176</v>
      </c>
      <c r="E247" s="407" t="n">
        <f aca="false">VLOOKUP(B247,'PJM Curve Simulation'!$B$9:$F$258,4)</f>
        <v>0.07382088517468</v>
      </c>
      <c r="F247" s="376" t="n">
        <f aca="false">VLOOKUP(B247,'PJM Curve Simulation'!$B$9:$F$258,5)</f>
        <v>0.235498293436497</v>
      </c>
      <c r="G247" s="376" t="n">
        <f aca="false">(B247-$B$1)/365.25</f>
        <v>19.8275154004107</v>
      </c>
      <c r="H247" s="376" t="n">
        <f aca="false">SQRT(G247)</f>
        <v>4.45280983205107</v>
      </c>
      <c r="I247" s="376" t="n">
        <f aca="false">IF($I$2=0,0,-(D247^2)/2)</f>
        <v>0</v>
      </c>
      <c r="J247" s="421" t="n">
        <f aca="false">IF(K236=1,C247,EXP(I247*G247+D247*$I$2*H247)*C247)</f>
        <v>4.79017241379311</v>
      </c>
    </row>
    <row r="248" customFormat="false" ht="15.75" hidden="false" customHeight="false" outlineLevel="0" collapsed="false">
      <c r="B248" s="405" t="n">
        <f aca="false">'Revenues &amp; Expenses'!K248</f>
        <v>43862</v>
      </c>
      <c r="C248" s="377" t="n">
        <f aca="false">'Fuel Curve'!F248</f>
        <v>4.69103448275862</v>
      </c>
      <c r="D248" s="422" t="n">
        <f aca="false">'Fuel Curve'!D248</f>
        <v>0.176</v>
      </c>
      <c r="E248" s="407" t="n">
        <f aca="false">VLOOKUP(B248,'PJM Curve Simulation'!$B$9:$F$258,4)</f>
        <v>0.0738157117268</v>
      </c>
      <c r="F248" s="376" t="n">
        <f aca="false">VLOOKUP(B248,'PJM Curve Simulation'!$B$9:$F$258,5)</f>
        <v>0.234077217485193</v>
      </c>
      <c r="G248" s="376" t="n">
        <f aca="false">(B248-$B$1)/365.25</f>
        <v>19.9123887748118</v>
      </c>
      <c r="H248" s="376" t="n">
        <f aca="false">SQRT(G248)</f>
        <v>4.46232997152965</v>
      </c>
      <c r="I248" s="376" t="n">
        <f aca="false">IF($I$2=0,0,-(D248^2)/2)</f>
        <v>0</v>
      </c>
      <c r="J248" s="421" t="n">
        <f aca="false">IF(K237=1,C248,EXP(I248*G248+D248*$I$2*H248)*C248)</f>
        <v>4.69103448275862</v>
      </c>
    </row>
    <row r="249" customFormat="false" ht="15.75" hidden="false" customHeight="false" outlineLevel="0" collapsed="false">
      <c r="B249" s="405" t="n">
        <f aca="false">'Revenues &amp; Expenses'!K249</f>
        <v>43891</v>
      </c>
      <c r="C249" s="377" t="n">
        <f aca="false">'Fuel Curve'!F249</f>
        <v>4.59396551724138</v>
      </c>
      <c r="D249" s="422" t="n">
        <f aca="false">'Fuel Curve'!D249</f>
        <v>0.176</v>
      </c>
      <c r="E249" s="407" t="n">
        <f aca="false">VLOOKUP(B249,'PJM Curve Simulation'!$B$9:$F$258,4)</f>
        <v>0.07381087204976</v>
      </c>
      <c r="F249" s="376" t="n">
        <f aca="false">VLOOKUP(B249,'PJM Curve Simulation'!$B$9:$F$258,5)</f>
        <v>0.232755766607559</v>
      </c>
      <c r="G249" s="376" t="n">
        <f aca="false">(B249-$B$1)/365.25</f>
        <v>19.9917864476386</v>
      </c>
      <c r="H249" s="376" t="n">
        <f aca="false">SQRT(G249)</f>
        <v>4.47121755762774</v>
      </c>
      <c r="I249" s="376" t="n">
        <f aca="false">IF($I$2=0,0,-(D249^2)/2)</f>
        <v>0</v>
      </c>
      <c r="J249" s="421" t="n">
        <f aca="false">IF(K238=1,C249,EXP(I249*G249+D249*$I$2*H249)*C249)</f>
        <v>4.59396551724138</v>
      </c>
    </row>
    <row r="250" customFormat="false" ht="15.75" hidden="false" customHeight="false" outlineLevel="0" collapsed="false">
      <c r="B250" s="405" t="n">
        <f aca="false">'Revenues &amp; Expenses'!K250</f>
        <v>43922</v>
      </c>
      <c r="C250" s="377" t="n">
        <f aca="false">'Fuel Curve'!F250</f>
        <v>4.49396551724138</v>
      </c>
      <c r="D250" s="422" t="n">
        <f aca="false">'Fuel Curve'!D250</f>
        <v>0.176</v>
      </c>
      <c r="E250" s="407" t="n">
        <f aca="false">VLOOKUP(B250,'PJM Curve Simulation'!$B$9:$F$258,4)</f>
        <v>0.073799890656808</v>
      </c>
      <c r="F250" s="376" t="n">
        <f aca="false">VLOOKUP(B250,'PJM Curve Simulation'!$B$9:$F$258,5)</f>
        <v>0.231377793425829</v>
      </c>
      <c r="G250" s="376" t="n">
        <f aca="false">(B250-$B$1)/365.25</f>
        <v>20.0766598220397</v>
      </c>
      <c r="H250" s="376" t="n">
        <f aca="false">SQRT(G250)</f>
        <v>4.4806985863858</v>
      </c>
      <c r="I250" s="376" t="n">
        <f aca="false">IF($I$2=0,0,-(D250^2)/2)</f>
        <v>0</v>
      </c>
      <c r="J250" s="421" t="n">
        <f aca="false">IF(K239=1,C250,EXP(I250*G250+D250*$I$2*H250)*C250)</f>
        <v>4.49396551724138</v>
      </c>
    </row>
    <row r="251" customFormat="false" ht="15.75" hidden="false" customHeight="false" outlineLevel="0" collapsed="false">
      <c r="B251" s="405" t="n">
        <f aca="false">'Revenues &amp; Expenses'!K251</f>
        <v>43952</v>
      </c>
      <c r="C251" s="377" t="n">
        <f aca="false">'Fuel Curve'!F251</f>
        <v>4.42672413793104</v>
      </c>
      <c r="D251" s="422" t="n">
        <f aca="false">'Fuel Curve'!D251</f>
        <v>0.176</v>
      </c>
      <c r="E251" s="407" t="n">
        <f aca="false">VLOOKUP(B251,'PJM Curve Simulation'!$B$9:$F$258,4)</f>
        <v>0.073788182619301</v>
      </c>
      <c r="F251" s="376" t="n">
        <f aca="false">VLOOKUP(B251,'PJM Curve Simulation'!$B$9:$F$258,5)</f>
        <v>0.23005729622688</v>
      </c>
      <c r="G251" s="376" t="n">
        <f aca="false">(B251-$B$1)/365.25</f>
        <v>20.1587953456537</v>
      </c>
      <c r="H251" s="376" t="n">
        <f aca="false">SQRT(G251)</f>
        <v>4.48985471320105</v>
      </c>
      <c r="I251" s="376" t="n">
        <f aca="false">IF($I$2=0,0,-(D251^2)/2)</f>
        <v>0</v>
      </c>
      <c r="J251" s="421" t="n">
        <f aca="false">IF(K240=1,C251,EXP(I251*G251+D251*$I$2*H251)*C251)</f>
        <v>4.42672413793104</v>
      </c>
    </row>
    <row r="252" customFormat="false" ht="15.75" hidden="false" customHeight="false" outlineLevel="0" collapsed="false">
      <c r="B252" s="405" t="n">
        <f aca="false">'Revenues &amp; Expenses'!K252</f>
        <v>43983</v>
      </c>
      <c r="C252" s="377" t="n">
        <f aca="false">'Fuel Curve'!F252</f>
        <v>4.42017241379311</v>
      </c>
      <c r="D252" s="422" t="n">
        <f aca="false">'Fuel Curve'!D252</f>
        <v>0.176</v>
      </c>
      <c r="E252" s="407" t="n">
        <f aca="false">VLOOKUP(B252,'PJM Curve Simulation'!$B$9:$F$258,4)</f>
        <v>0.073776084313925</v>
      </c>
      <c r="F252" s="376" t="n">
        <f aca="false">VLOOKUP(B252,'PJM Curve Simulation'!$B$9:$F$258,5)</f>
        <v>0.228701145128967</v>
      </c>
      <c r="G252" s="376" t="n">
        <f aca="false">(B252-$B$1)/365.25</f>
        <v>20.2436687200548</v>
      </c>
      <c r="H252" s="376" t="n">
        <f aca="false">SQRT(G252)</f>
        <v>4.4992964694555</v>
      </c>
      <c r="I252" s="376" t="n">
        <f aca="false">IF($I$2=0,0,-(D252^2)/2)</f>
        <v>0</v>
      </c>
      <c r="J252" s="421" t="n">
        <f aca="false">IF(K241=1,C252,EXP(I252*G252+D252*$I$2*H252)*C252)</f>
        <v>4.42017241379311</v>
      </c>
    </row>
    <row r="253" customFormat="false" ht="15.75" hidden="false" customHeight="false" outlineLevel="0" collapsed="false">
      <c r="B253" s="405" t="n">
        <f aca="false">'Revenues &amp; Expenses'!K253</f>
        <v>44013</v>
      </c>
      <c r="C253" s="377" t="n">
        <f aca="false">'Fuel Curve'!F253</f>
        <v>4.47741379310345</v>
      </c>
      <c r="D253" s="422" t="n">
        <f aca="false">'Fuel Curve'!D253</f>
        <v>0.176</v>
      </c>
      <c r="E253" s="407" t="n">
        <f aca="false">VLOOKUP(B253,'PJM Curve Simulation'!$B$9:$F$258,4)</f>
        <v>0.07376437627651</v>
      </c>
      <c r="F253" s="376" t="n">
        <f aca="false">VLOOKUP(B253,'PJM Curve Simulation'!$B$9:$F$258,5)</f>
        <v>0.227396782077709</v>
      </c>
      <c r="G253" s="376" t="n">
        <f aca="false">(B253-$B$1)/365.25</f>
        <v>20.3258042436687</v>
      </c>
      <c r="H253" s="376" t="n">
        <f aca="false">SQRT(G253)</f>
        <v>4.50841482604127</v>
      </c>
      <c r="I253" s="376" t="n">
        <f aca="false">IF($I$2=0,0,-(D253^2)/2)</f>
        <v>0</v>
      </c>
      <c r="J253" s="421" t="n">
        <f aca="false">IF(K242=1,C253,EXP(I253*G253+D253*$I$2*H253)*C253)</f>
        <v>4.47741379310345</v>
      </c>
    </row>
    <row r="254" customFormat="false" ht="15.75" hidden="false" customHeight="false" outlineLevel="0" collapsed="false">
      <c r="B254" s="405" t="n">
        <f aca="false">'Revenues &amp; Expenses'!K254</f>
        <v>44044</v>
      </c>
      <c r="C254" s="377" t="n">
        <f aca="false">'Fuel Curve'!F254</f>
        <v>4.56793103448276</v>
      </c>
      <c r="D254" s="422" t="n">
        <f aca="false">'Fuel Curve'!D254</f>
        <v>0.176</v>
      </c>
      <c r="E254" s="407" t="n">
        <f aca="false">VLOOKUP(B254,'PJM Curve Simulation'!$B$9:$F$258,4)</f>
        <v>0.073752277971228</v>
      </c>
      <c r="F254" s="376" t="n">
        <f aca="false">VLOOKUP(B254,'PJM Curve Simulation'!$B$9:$F$258,5)</f>
        <v>0.226057195914463</v>
      </c>
      <c r="G254" s="376" t="n">
        <f aca="false">(B254-$B$1)/365.25</f>
        <v>20.4106776180698</v>
      </c>
      <c r="H254" s="376" t="n">
        <f aca="false">SQRT(G254)</f>
        <v>4.51781779381039</v>
      </c>
      <c r="I254" s="376" t="n">
        <f aca="false">IF($I$2=0,0,-(D254^2)/2)</f>
        <v>0</v>
      </c>
      <c r="J254" s="421" t="n">
        <f aca="false">IF(K243=1,C254,EXP(I254*G254+D254*$I$2*H254)*C254)</f>
        <v>4.56793103448276</v>
      </c>
    </row>
    <row r="255" customFormat="false" ht="15.75" hidden="false" customHeight="false" outlineLevel="0" collapsed="false">
      <c r="B255" s="405" t="n">
        <f aca="false">'Revenues &amp; Expenses'!K255</f>
        <v>44075</v>
      </c>
      <c r="C255" s="377" t="n">
        <f aca="false">'Fuel Curve'!F255</f>
        <v>4.66275862068966</v>
      </c>
      <c r="D255" s="422" t="n">
        <f aca="false">'Fuel Curve'!D255</f>
        <v>0.176</v>
      </c>
      <c r="E255" s="407" t="n">
        <f aca="false">VLOOKUP(B255,'PJM Curve Simulation'!$B$9:$F$258,4)</f>
        <v>0.073740179666</v>
      </c>
      <c r="F255" s="376" t="n">
        <f aca="false">VLOOKUP(B255,'PJM Curve Simulation'!$B$9:$F$258,5)</f>
        <v>0.224725946612535</v>
      </c>
      <c r="G255" s="376" t="n">
        <f aca="false">(B255-$B$1)/365.25</f>
        <v>20.4955509924709</v>
      </c>
      <c r="H255" s="376" t="n">
        <f aca="false">SQRT(G255)</f>
        <v>4.52720123171821</v>
      </c>
      <c r="I255" s="376" t="n">
        <f aca="false">IF($I$2=0,0,-(D255^2)/2)</f>
        <v>0</v>
      </c>
      <c r="J255" s="421" t="n">
        <f aca="false">IF(K244=1,C255,EXP(I255*G255+D255*$I$2*H255)*C255)</f>
        <v>4.66275862068966</v>
      </c>
    </row>
    <row r="256" customFormat="false" ht="15.75" hidden="false" customHeight="false" outlineLevel="0" collapsed="false">
      <c r="B256" s="405" t="n">
        <f aca="false">'Revenues &amp; Expenses'!K256</f>
        <v>44105</v>
      </c>
      <c r="C256" s="377" t="n">
        <f aca="false">'Fuel Curve'!F256</f>
        <v>4.75534482758621</v>
      </c>
      <c r="D256" s="422" t="n">
        <f aca="false">'Fuel Curve'!D256</f>
        <v>0.176</v>
      </c>
      <c r="E256" s="407" t="n">
        <f aca="false">VLOOKUP(B256,'PJM Curve Simulation'!$B$9:$F$258,4)</f>
        <v>0.073728471628718</v>
      </c>
      <c r="F256" s="376" t="n">
        <f aca="false">VLOOKUP(B256,'PJM Curve Simulation'!$B$9:$F$258,5)</f>
        <v>0.22344552744093</v>
      </c>
      <c r="G256" s="376" t="n">
        <f aca="false">(B256-$B$1)/365.25</f>
        <v>20.5776865160849</v>
      </c>
      <c r="H256" s="376" t="n">
        <f aca="false">SQRT(G256)</f>
        <v>4.53626349720614</v>
      </c>
      <c r="I256" s="376" t="n">
        <f aca="false">IF($I$2=0,0,-(D256^2)/2)</f>
        <v>0</v>
      </c>
      <c r="J256" s="421" t="n">
        <f aca="false">IF(K245=1,C256,EXP(I256*G256+D256*$I$2*H256)*C256)</f>
        <v>4.75534482758621</v>
      </c>
    </row>
    <row r="257" customFormat="false" ht="15.75" hidden="false" customHeight="false" outlineLevel="0" collapsed="false">
      <c r="B257" s="405" t="n">
        <f aca="false">'Revenues &amp; Expenses'!K257</f>
        <v>44136</v>
      </c>
      <c r="C257" s="377" t="n">
        <f aca="false">'Fuel Curve'!F257</f>
        <v>4.80465517241379</v>
      </c>
      <c r="D257" s="422" t="n">
        <f aca="false">'Fuel Curve'!D257</f>
        <v>0.176</v>
      </c>
      <c r="E257" s="407" t="n">
        <f aca="false">VLOOKUP(B257,'PJM Curve Simulation'!$B$9:$F$258,4)</f>
        <v>0.07371637332358</v>
      </c>
      <c r="F257" s="376" t="n">
        <f aca="false">VLOOKUP(B257,'PJM Curve Simulation'!$B$9:$F$258,5)</f>
        <v>0.222130524573187</v>
      </c>
      <c r="G257" s="376" t="n">
        <f aca="false">(B257-$B$1)/365.25</f>
        <v>20.662559890486</v>
      </c>
      <c r="H257" s="376" t="n">
        <f aca="false">SQRT(G257)</f>
        <v>4.54560885806137</v>
      </c>
      <c r="I257" s="376" t="n">
        <f aca="false">IF($I$2=0,0,-(D257^2)/2)</f>
        <v>0</v>
      </c>
      <c r="J257" s="421" t="n">
        <f aca="false">IF(K246=1,C257,EXP(I257*G257+D257*$I$2*H257)*C257)</f>
        <v>4.80465517241379</v>
      </c>
    </row>
    <row r="258" customFormat="false" ht="15.75" hidden="false" customHeight="false" outlineLevel="0" collapsed="false">
      <c r="B258" s="405" t="n">
        <f aca="false">'Revenues &amp; Expenses'!K258</f>
        <v>44166</v>
      </c>
      <c r="C258" s="377" t="n">
        <f aca="false">'Fuel Curve'!F258</f>
        <v>4.84741379310345</v>
      </c>
      <c r="D258" s="422" t="n">
        <f aca="false">'Fuel Curve'!D258</f>
        <v>0.176</v>
      </c>
      <c r="E258" s="407" t="n">
        <f aca="false">VLOOKUP(B258,'PJM Curve Simulation'!$B$9:$F$258,4)</f>
        <v>0.073704665286396</v>
      </c>
      <c r="F258" s="376" t="n">
        <f aca="false">VLOOKUP(B258,'PJM Curve Simulation'!$B$9:$F$258,5)</f>
        <v>0.22086572693959</v>
      </c>
      <c r="G258" s="376" t="n">
        <f aca="false">(B258-$B$1)/365.25</f>
        <v>20.7446954140999</v>
      </c>
      <c r="H258" s="376" t="n">
        <f aca="false">SQRT(G258)</f>
        <v>4.55463449840928</v>
      </c>
      <c r="I258" s="376" t="n">
        <f aca="false">IF($I$2=0,0,-(D258^2)/2)</f>
        <v>0</v>
      </c>
      <c r="J258" s="421" t="n">
        <f aca="false">IF(K247=1,C258,EXP(I258*G258+D258*$I$2*H258)*C258)</f>
        <v>4.84741379310345</v>
      </c>
    </row>
    <row r="259" customFormat="false" ht="15.75" hidden="false" customHeight="false" outlineLevel="0" collapsed="false">
      <c r="B259" s="405" t="n">
        <f aca="false">'Revenues &amp; Expenses'!K259</f>
        <v>44197</v>
      </c>
    </row>
    <row r="260" customFormat="false" ht="15.75" hidden="false" customHeight="false" outlineLevel="0" collapsed="false">
      <c r="B260" s="405"/>
    </row>
    <row r="261" customFormat="false" ht="15.75" hidden="false" customHeight="false" outlineLevel="0" collapsed="false">
      <c r="B261" s="405"/>
    </row>
    <row r="262" customFormat="false" ht="15.75" hidden="false" customHeight="false" outlineLevel="0" collapsed="false">
      <c r="B262" s="405"/>
    </row>
    <row r="263" customFormat="false" ht="15.75" hidden="false" customHeight="false" outlineLevel="0" collapsed="false">
      <c r="B263" s="405"/>
    </row>
    <row r="264" customFormat="false" ht="15.75" hidden="false" customHeight="false" outlineLevel="0" collapsed="false">
      <c r="B264" s="405"/>
    </row>
    <row r="265" customFormat="false" ht="15.75" hidden="false" customHeight="false" outlineLevel="0" collapsed="false">
      <c r="B265" s="405"/>
    </row>
    <row r="266" customFormat="false" ht="15.75" hidden="false" customHeight="false" outlineLevel="0" collapsed="false">
      <c r="B266" s="405"/>
    </row>
    <row r="267" customFormat="false" ht="15.75" hidden="false" customHeight="false" outlineLevel="0" collapsed="false">
      <c r="B267" s="405"/>
    </row>
    <row r="268" customFormat="false" ht="15.75" hidden="false" customHeight="false" outlineLevel="0" collapsed="false">
      <c r="B268" s="405"/>
    </row>
    <row r="269" customFormat="false" ht="15.75" hidden="false" customHeight="false" outlineLevel="0" collapsed="false">
      <c r="B269" s="405"/>
    </row>
    <row r="270" customFormat="false" ht="15.75" hidden="false" customHeight="false" outlineLevel="0" collapsed="false">
      <c r="B270" s="405"/>
    </row>
    <row r="271" customFormat="false" ht="15.75" hidden="false" customHeight="false" outlineLevel="0" collapsed="false">
      <c r="B271" s="405"/>
    </row>
    <row r="272" customFormat="false" ht="15.75" hidden="false" customHeight="false" outlineLevel="0" collapsed="false">
      <c r="B272" s="405"/>
    </row>
    <row r="273" customFormat="false" ht="15.75" hidden="false" customHeight="false" outlineLevel="0" collapsed="false">
      <c r="B273" s="405"/>
    </row>
    <row r="274" customFormat="false" ht="15.75" hidden="false" customHeight="false" outlineLevel="0" collapsed="false">
      <c r="B274" s="405"/>
    </row>
    <row r="275" customFormat="false" ht="15.75" hidden="false" customHeight="false" outlineLevel="0" collapsed="false">
      <c r="B275" s="405"/>
    </row>
    <row r="276" customFormat="false" ht="15.75" hidden="false" customHeight="false" outlineLevel="0" collapsed="false">
      <c r="B276" s="405"/>
    </row>
    <row r="277" customFormat="false" ht="15.75" hidden="false" customHeight="false" outlineLevel="0" collapsed="false">
      <c r="B277" s="405"/>
    </row>
    <row r="278" customFormat="false" ht="15.75" hidden="false" customHeight="false" outlineLevel="0" collapsed="false">
      <c r="B278" s="405"/>
    </row>
    <row r="279" customFormat="false" ht="15.75" hidden="false" customHeight="false" outlineLevel="0" collapsed="false">
      <c r="B279" s="405"/>
    </row>
    <row r="280" customFormat="false" ht="15.75" hidden="false" customHeight="false" outlineLevel="0" collapsed="false">
      <c r="B280" s="405"/>
    </row>
    <row r="281" customFormat="false" ht="15.75" hidden="false" customHeight="false" outlineLevel="0" collapsed="false">
      <c r="B281" s="405"/>
    </row>
    <row r="282" customFormat="false" ht="15.75" hidden="false" customHeight="false" outlineLevel="0" collapsed="false">
      <c r="B282" s="405"/>
    </row>
    <row r="283" customFormat="false" ht="15.75" hidden="false" customHeight="false" outlineLevel="0" collapsed="false">
      <c r="B283" s="405"/>
    </row>
    <row r="284" customFormat="false" ht="15.75" hidden="false" customHeight="false" outlineLevel="0" collapsed="false">
      <c r="B284" s="405"/>
    </row>
    <row r="285" customFormat="false" ht="15.75" hidden="false" customHeight="false" outlineLevel="0" collapsed="false">
      <c r="B285" s="405"/>
    </row>
    <row r="286" customFormat="false" ht="15.75" hidden="false" customHeight="false" outlineLevel="0" collapsed="false">
      <c r="B286" s="405"/>
    </row>
    <row r="287" customFormat="false" ht="15.75" hidden="false" customHeight="false" outlineLevel="0" collapsed="false">
      <c r="B287" s="405"/>
    </row>
    <row r="288" customFormat="false" ht="15.75" hidden="false" customHeight="false" outlineLevel="0" collapsed="false">
      <c r="B288" s="405"/>
    </row>
    <row r="289" customFormat="false" ht="15.75" hidden="false" customHeight="false" outlineLevel="0" collapsed="false">
      <c r="B289" s="405"/>
    </row>
    <row r="290" customFormat="false" ht="15.75" hidden="false" customHeight="false" outlineLevel="0" collapsed="false">
      <c r="B290" s="405"/>
    </row>
    <row r="291" customFormat="false" ht="15.75" hidden="false" customHeight="false" outlineLevel="0" collapsed="false">
      <c r="B291" s="405"/>
    </row>
    <row r="292" customFormat="false" ht="15.75" hidden="false" customHeight="false" outlineLevel="0" collapsed="false">
      <c r="B292" s="405"/>
    </row>
    <row r="293" customFormat="false" ht="15.75" hidden="false" customHeight="false" outlineLevel="0" collapsed="false">
      <c r="B293" s="405"/>
    </row>
    <row r="294" customFormat="false" ht="15.75" hidden="false" customHeight="false" outlineLevel="0" collapsed="false">
      <c r="B294" s="405"/>
    </row>
    <row r="295" customFormat="false" ht="15.75" hidden="false" customHeight="false" outlineLevel="0" collapsed="false">
      <c r="B295" s="405"/>
    </row>
    <row r="296" customFormat="false" ht="15.75" hidden="false" customHeight="false" outlineLevel="0" collapsed="false">
      <c r="B296" s="405"/>
    </row>
    <row r="297" customFormat="false" ht="15.75" hidden="false" customHeight="false" outlineLevel="0" collapsed="false">
      <c r="B297" s="405"/>
    </row>
    <row r="298" customFormat="false" ht="15.75" hidden="false" customHeight="false" outlineLevel="0" collapsed="false">
      <c r="B298" s="405"/>
    </row>
    <row r="299" customFormat="false" ht="15.75" hidden="false" customHeight="false" outlineLevel="0" collapsed="false">
      <c r="B299" s="405"/>
    </row>
    <row r="300" customFormat="false" ht="15.75" hidden="false" customHeight="false" outlineLevel="0" collapsed="false">
      <c r="B300" s="405"/>
    </row>
    <row r="301" customFormat="false" ht="15.75" hidden="false" customHeight="false" outlineLevel="0" collapsed="false">
      <c r="B301" s="405"/>
    </row>
    <row r="302" customFormat="false" ht="15.75" hidden="false" customHeight="false" outlineLevel="0" collapsed="false">
      <c r="B302" s="405"/>
    </row>
    <row r="303" customFormat="false" ht="15.75" hidden="false" customHeight="false" outlineLevel="0" collapsed="false">
      <c r="B303" s="405"/>
    </row>
    <row r="304" customFormat="false" ht="15.75" hidden="false" customHeight="false" outlineLevel="0" collapsed="false">
      <c r="B304" s="405"/>
    </row>
    <row r="305" customFormat="false" ht="15.75" hidden="false" customHeight="false" outlineLevel="0" collapsed="false">
      <c r="B305" s="405"/>
    </row>
    <row r="306" customFormat="false" ht="15.75" hidden="false" customHeight="false" outlineLevel="0" collapsed="false">
      <c r="B306" s="405"/>
    </row>
    <row r="307" customFormat="false" ht="15.75" hidden="false" customHeight="false" outlineLevel="0" collapsed="false">
      <c r="B307" s="405"/>
    </row>
    <row r="308" customFormat="false" ht="15.75" hidden="false" customHeight="false" outlineLevel="0" collapsed="false">
      <c r="B308" s="405"/>
    </row>
    <row r="309" customFormat="false" ht="15.75" hidden="false" customHeight="false" outlineLevel="0" collapsed="false">
      <c r="B309" s="405"/>
    </row>
    <row r="310" customFormat="false" ht="15.75" hidden="false" customHeight="false" outlineLevel="0" collapsed="false">
      <c r="B310" s="405"/>
    </row>
    <row r="311" customFormat="false" ht="15.75" hidden="false" customHeight="false" outlineLevel="0" collapsed="false">
      <c r="B311" s="405"/>
    </row>
    <row r="312" customFormat="false" ht="15.75" hidden="false" customHeight="false" outlineLevel="0" collapsed="false">
      <c r="B312" s="405"/>
    </row>
    <row r="313" customFormat="false" ht="15.75" hidden="false" customHeight="false" outlineLevel="0" collapsed="false">
      <c r="B313" s="405"/>
    </row>
    <row r="314" customFormat="false" ht="15.75" hidden="false" customHeight="false" outlineLevel="0" collapsed="false">
      <c r="B314" s="405"/>
    </row>
    <row r="315" customFormat="false" ht="15.75" hidden="false" customHeight="false" outlineLevel="0" collapsed="false">
      <c r="B315" s="405"/>
    </row>
    <row r="316" customFormat="false" ht="15.75" hidden="false" customHeight="false" outlineLevel="0" collapsed="false">
      <c r="B316" s="405"/>
    </row>
    <row r="317" customFormat="false" ht="15.75" hidden="false" customHeight="false" outlineLevel="0" collapsed="false">
      <c r="B317" s="405"/>
    </row>
    <row r="318" customFormat="false" ht="15.75" hidden="false" customHeight="false" outlineLevel="0" collapsed="false">
      <c r="B318" s="405"/>
    </row>
    <row r="319" customFormat="false" ht="15.75" hidden="false" customHeight="false" outlineLevel="0" collapsed="false">
      <c r="B319" s="405"/>
    </row>
    <row r="320" customFormat="false" ht="15.75" hidden="false" customHeight="false" outlineLevel="0" collapsed="false">
      <c r="B320" s="405"/>
    </row>
    <row r="321" customFormat="false" ht="15.75" hidden="false" customHeight="false" outlineLevel="0" collapsed="false">
      <c r="B321" s="405"/>
    </row>
    <row r="322" customFormat="false" ht="15.75" hidden="false" customHeight="false" outlineLevel="0" collapsed="false">
      <c r="B322" s="405"/>
    </row>
    <row r="323" customFormat="false" ht="15.75" hidden="false" customHeight="false" outlineLevel="0" collapsed="false">
      <c r="B323" s="405"/>
    </row>
    <row r="324" customFormat="false" ht="15.75" hidden="false" customHeight="false" outlineLevel="0" collapsed="false">
      <c r="B324" s="405"/>
    </row>
    <row r="325" customFormat="false" ht="15.75" hidden="false" customHeight="false" outlineLevel="0" collapsed="false">
      <c r="B325" s="405"/>
    </row>
    <row r="326" customFormat="false" ht="15.75" hidden="false" customHeight="false" outlineLevel="0" collapsed="false">
      <c r="B326" s="405"/>
    </row>
    <row r="327" customFormat="false" ht="15.75" hidden="false" customHeight="false" outlineLevel="0" collapsed="false">
      <c r="B327" s="405"/>
    </row>
    <row r="328" customFormat="false" ht="15.75" hidden="false" customHeight="false" outlineLevel="0" collapsed="false">
      <c r="B328" s="405"/>
    </row>
    <row r="329" customFormat="false" ht="15.75" hidden="false" customHeight="false" outlineLevel="0" collapsed="false">
      <c r="B329" s="405"/>
    </row>
    <row r="330" customFormat="false" ht="15.75" hidden="false" customHeight="false" outlineLevel="0" collapsed="false">
      <c r="B330" s="405"/>
    </row>
    <row r="331" customFormat="false" ht="15.75" hidden="false" customHeight="false" outlineLevel="0" collapsed="false">
      <c r="B331" s="405"/>
    </row>
    <row r="332" customFormat="false" ht="15.75" hidden="false" customHeight="false" outlineLevel="0" collapsed="false">
      <c r="B332" s="405"/>
    </row>
    <row r="333" customFormat="false" ht="15.75" hidden="false" customHeight="false" outlineLevel="0" collapsed="false">
      <c r="B333" s="405"/>
    </row>
    <row r="334" customFormat="false" ht="15.75" hidden="false" customHeight="false" outlineLevel="0" collapsed="false">
      <c r="B334" s="405"/>
    </row>
    <row r="335" customFormat="false" ht="15.75" hidden="false" customHeight="false" outlineLevel="0" collapsed="false">
      <c r="B335" s="405"/>
    </row>
    <row r="336" customFormat="false" ht="15.75" hidden="false" customHeight="false" outlineLevel="0" collapsed="false">
      <c r="B336" s="405"/>
    </row>
    <row r="337" customFormat="false" ht="15.75" hidden="false" customHeight="false" outlineLevel="0" collapsed="false">
      <c r="B337" s="405"/>
    </row>
    <row r="338" customFormat="false" ht="15.75" hidden="false" customHeight="false" outlineLevel="0" collapsed="false">
      <c r="B338" s="405"/>
    </row>
    <row r="339" customFormat="false" ht="15.75" hidden="false" customHeight="false" outlineLevel="0" collapsed="false">
      <c r="B339" s="405"/>
    </row>
    <row r="340" customFormat="false" ht="15.75" hidden="false" customHeight="false" outlineLevel="0" collapsed="false">
      <c r="B340" s="405"/>
    </row>
    <row r="341" customFormat="false" ht="15.75" hidden="false" customHeight="false" outlineLevel="0" collapsed="false">
      <c r="B341" s="405"/>
    </row>
    <row r="342" customFormat="false" ht="15.75" hidden="false" customHeight="false" outlineLevel="0" collapsed="false">
      <c r="B342" s="405"/>
    </row>
    <row r="343" customFormat="false" ht="15.75" hidden="false" customHeight="false" outlineLevel="0" collapsed="false">
      <c r="B343" s="405"/>
    </row>
    <row r="344" customFormat="false" ht="15.75" hidden="false" customHeight="false" outlineLevel="0" collapsed="false">
      <c r="B344" s="405"/>
    </row>
    <row r="345" customFormat="false" ht="15.75" hidden="false" customHeight="false" outlineLevel="0" collapsed="false">
      <c r="B345" s="405"/>
    </row>
    <row r="346" customFormat="false" ht="15.75" hidden="false" customHeight="false" outlineLevel="0" collapsed="false">
      <c r="B346" s="405"/>
    </row>
    <row r="347" customFormat="false" ht="15.75" hidden="false" customHeight="false" outlineLevel="0" collapsed="false">
      <c r="B347" s="405"/>
    </row>
    <row r="348" customFormat="false" ht="15.75" hidden="false" customHeight="false" outlineLevel="0" collapsed="false">
      <c r="B348" s="405"/>
    </row>
    <row r="349" customFormat="false" ht="15.75" hidden="false" customHeight="false" outlineLevel="0" collapsed="false">
      <c r="B349" s="405"/>
    </row>
    <row r="350" customFormat="false" ht="15.75" hidden="false" customHeight="false" outlineLevel="0" collapsed="false">
      <c r="B350" s="405"/>
    </row>
    <row r="351" customFormat="false" ht="15.75" hidden="false" customHeight="false" outlineLevel="0" collapsed="false">
      <c r="B351" s="405"/>
    </row>
    <row r="352" customFormat="false" ht="15.75" hidden="false" customHeight="false" outlineLevel="0" collapsed="false">
      <c r="B352" s="405"/>
    </row>
    <row r="353" customFormat="false" ht="15.75" hidden="false" customHeight="false" outlineLevel="0" collapsed="false">
      <c r="B353" s="405"/>
    </row>
    <row r="354" customFormat="false" ht="15.75" hidden="false" customHeight="false" outlineLevel="0" collapsed="false">
      <c r="B354" s="405"/>
    </row>
    <row r="355" customFormat="false" ht="15.75" hidden="false" customHeight="false" outlineLevel="0" collapsed="false">
      <c r="B355" s="405"/>
    </row>
    <row r="356" customFormat="false" ht="15.75" hidden="false" customHeight="false" outlineLevel="0" collapsed="false">
      <c r="B356" s="405"/>
    </row>
    <row r="357" customFormat="false" ht="15.75" hidden="false" customHeight="false" outlineLevel="0" collapsed="false">
      <c r="B357" s="405"/>
    </row>
    <row r="358" customFormat="false" ht="15.75" hidden="false" customHeight="false" outlineLevel="0" collapsed="false">
      <c r="B358" s="405"/>
    </row>
    <row r="359" customFormat="false" ht="15.75" hidden="false" customHeight="false" outlineLevel="0" collapsed="false">
      <c r="B359" s="40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78"/>
  <sheetViews>
    <sheetView showFormulas="false" showGridLines="true" showRowColHeaders="true" showZeros="true" rightToLeft="false" tabSelected="false" showOutlineSymbols="true" defaultGridColor="true" view="normal" topLeftCell="K1" colorId="64" zoomScale="100" zoomScaleNormal="100" zoomScalePageLayoutView="100" workbookViewId="0">
      <selection pane="topLeft" activeCell="K2" activeCellId="0" sqref="K2"/>
    </sheetView>
  </sheetViews>
  <sheetFormatPr defaultColWidth="9.0546875" defaultRowHeight="16.5" customHeight="true" zeroHeight="false" outlineLevelRow="0" outlineLevelCol="0"/>
  <cols>
    <col collapsed="false" customWidth="true" hidden="true" outlineLevel="0" max="1" min="1" style="59" width="11.28"/>
    <col collapsed="false" customWidth="true" hidden="true" outlineLevel="0" max="2" min="2" style="59" width="0.85"/>
    <col collapsed="false" customWidth="true" hidden="true" outlineLevel="0" max="3" min="3" style="59" width="10.28"/>
    <col collapsed="false" customWidth="false" hidden="true" outlineLevel="0" max="8" min="4" style="59" width="9.06"/>
    <col collapsed="false" customWidth="true" hidden="true" outlineLevel="0" max="9" min="9" style="59" width="0.85"/>
    <col collapsed="false" customWidth="true" hidden="true" outlineLevel="0" max="10" min="10" style="59" width="2.99"/>
    <col collapsed="false" customWidth="true" hidden="false" outlineLevel="0" max="11" min="11" style="423" width="9.7"/>
    <col collapsed="false" customWidth="true" hidden="false" outlineLevel="0" max="13" min="12" style="59" width="9.14"/>
    <col collapsed="false" customWidth="true" hidden="false" outlineLevel="0" max="14" min="14" style="59" width="11.99"/>
    <col collapsed="false" customWidth="true" hidden="false" outlineLevel="0" max="15" min="15" style="424" width="9.99"/>
    <col collapsed="false" customWidth="true" hidden="false" outlineLevel="0" max="16" min="16" style="115" width="0.85"/>
    <col collapsed="false" customWidth="true" hidden="false" outlineLevel="0" max="17" min="17" style="59" width="10.13"/>
    <col collapsed="false" customWidth="true" hidden="false" outlineLevel="0" max="18" min="18" style="59" width="14.99"/>
    <col collapsed="false" customWidth="true" hidden="false" outlineLevel="0" max="19" min="19" style="59" width="16.84"/>
    <col collapsed="false" customWidth="true" hidden="false" outlineLevel="0" max="20" min="20" style="59" width="3.28"/>
    <col collapsed="false" customWidth="true" hidden="false" outlineLevel="0" max="21" min="21" style="115" width="0.7"/>
    <col collapsed="false" customWidth="true" hidden="false" outlineLevel="0" max="22" min="22" style="59" width="11.99"/>
    <col collapsed="false" customWidth="true" hidden="false" outlineLevel="0" max="23" min="23" style="59" width="0.85"/>
    <col collapsed="false" customWidth="true" hidden="false" outlineLevel="0" max="24" min="24" style="59" width="11.99"/>
    <col collapsed="false" customWidth="true" hidden="false" outlineLevel="0" max="25" min="25" style="115" width="0.85"/>
    <col collapsed="false" customWidth="true" hidden="false" outlineLevel="0" max="26" min="26" style="115" width="0.7"/>
    <col collapsed="false" customWidth="true" hidden="false" outlineLevel="0" max="27" min="27" style="59" width="6.7"/>
    <col collapsed="false" customWidth="true" hidden="false" outlineLevel="0" max="28" min="28" style="425" width="10.99"/>
    <col collapsed="false" customWidth="true" hidden="false" outlineLevel="0" max="29" min="29" style="425" width="12.14"/>
    <col collapsed="false" customWidth="true" hidden="false" outlineLevel="0" max="30" min="30" style="59" width="12.7"/>
    <col collapsed="false" customWidth="true" hidden="false" outlineLevel="0" max="31" min="31" style="426" width="0.85"/>
    <col collapsed="false" customWidth="true" hidden="false" outlineLevel="0" max="35" min="32" style="426" width="12.7"/>
    <col collapsed="false" customWidth="true" hidden="false" outlineLevel="0" max="36" min="36" style="426" width="15.41"/>
    <col collapsed="false" customWidth="true" hidden="false" outlineLevel="0" max="37" min="37" style="59" width="12.14"/>
    <col collapsed="false" customWidth="true" hidden="false" outlineLevel="0" max="39" min="38" style="59" width="10.99"/>
    <col collapsed="false" customWidth="true" hidden="false" outlineLevel="0" max="40" min="40" style="59" width="12.14"/>
    <col collapsed="false" customWidth="true" hidden="false" outlineLevel="0" max="41" min="41" style="59" width="9.99"/>
    <col collapsed="false" customWidth="true" hidden="false" outlineLevel="0" max="42" min="42" style="59" width="10.99"/>
    <col collapsed="false" customWidth="true" hidden="false" outlineLevel="0" max="43" min="43" style="59" width="11.99"/>
    <col collapsed="false" customWidth="true" hidden="false" outlineLevel="0" max="44" min="44" style="59" width="9.99"/>
    <col collapsed="false" customWidth="true" hidden="false" outlineLevel="0" max="45" min="45" style="59" width="12.99"/>
    <col collapsed="false" customWidth="true" hidden="false" outlineLevel="0" max="46" min="46" style="59" width="9.99"/>
    <col collapsed="false" customWidth="true" hidden="false" outlineLevel="0" max="48" min="47" style="59" width="11.99"/>
    <col collapsed="false" customWidth="true" hidden="false" outlineLevel="0" max="49" min="49" style="427" width="1.7"/>
    <col collapsed="false" customWidth="true" hidden="false" outlineLevel="0" max="50" min="50" style="59" width="9.28"/>
    <col collapsed="false" customWidth="true" hidden="false" outlineLevel="0" max="51" min="51" style="425" width="12.42"/>
    <col collapsed="false" customWidth="true" hidden="false" outlineLevel="0" max="52" min="52" style="425" width="13.99"/>
    <col collapsed="false" customWidth="true" hidden="false" outlineLevel="0" max="58" min="53" style="59" width="9.14"/>
    <col collapsed="false" customWidth="true" hidden="false" outlineLevel="0" max="59" min="59" style="59" width="12.7"/>
    <col collapsed="false" customWidth="true" hidden="false" outlineLevel="0" max="60" min="60" style="59" width="11.7"/>
    <col collapsed="false" customWidth="true" hidden="false" outlineLevel="0" max="61" min="61" style="59" width="9.14"/>
    <col collapsed="false" customWidth="true" hidden="false" outlineLevel="0" max="62" min="62" style="425" width="11.99"/>
    <col collapsed="false" customWidth="true" hidden="false" outlineLevel="0" max="63" min="63" style="59" width="11.99"/>
    <col collapsed="false" customWidth="true" hidden="false" outlineLevel="0" max="64" min="64" style="59" width="9.99"/>
    <col collapsed="false" customWidth="true" hidden="false" outlineLevel="0" max="65" min="65" style="59" width="11.56"/>
    <col collapsed="false" customWidth="true" hidden="false" outlineLevel="0" max="69" min="66" style="59" width="9.14"/>
    <col collapsed="false" customWidth="false" hidden="true" outlineLevel="0" max="110" min="70" style="63" width="9.06"/>
    <col collapsed="false" customWidth="false" hidden="true" outlineLevel="0" max="257" min="111" style="59" width="9.06"/>
    <col collapsed="false" customWidth="false" hidden="true" outlineLevel="0" max="16384" min="258" style="0" width="9.06"/>
  </cols>
  <sheetData>
    <row r="1" customFormat="false" ht="17.25" hidden="false" customHeight="false" outlineLevel="0" collapsed="false">
      <c r="A1" s="428"/>
      <c r="C1" s="115"/>
      <c r="D1" s="63"/>
      <c r="E1" s="63"/>
      <c r="F1" s="425"/>
      <c r="K1" s="429" t="n">
        <v>36589</v>
      </c>
      <c r="S1" s="430" t="s">
        <v>191</v>
      </c>
      <c r="T1" s="431" t="n">
        <v>44</v>
      </c>
      <c r="U1" s="425"/>
      <c r="AF1" s="432" t="n">
        <v>1</v>
      </c>
      <c r="AS1" s="433"/>
    </row>
    <row r="2" customFormat="false" ht="16.5" hidden="false" customHeight="false" outlineLevel="0" collapsed="false">
      <c r="A2" s="63"/>
      <c r="B2" s="63"/>
      <c r="C2" s="63"/>
      <c r="D2" s="63"/>
      <c r="E2" s="63"/>
      <c r="F2" s="425"/>
      <c r="R2" s="434" t="s">
        <v>73</v>
      </c>
      <c r="S2" s="431" t="n">
        <v>9579</v>
      </c>
      <c r="AY2" s="435" t="s">
        <v>192</v>
      </c>
      <c r="AZ2" s="435"/>
      <c r="BA2" s="435"/>
      <c r="BB2" s="435"/>
      <c r="BC2" s="435"/>
      <c r="BD2" s="435"/>
      <c r="BE2" s="435"/>
      <c r="BF2" s="435"/>
      <c r="BG2" s="435"/>
      <c r="BH2" s="435"/>
      <c r="BI2" s="435"/>
      <c r="BJ2" s="435"/>
      <c r="BL2" s="436"/>
      <c r="BM2" s="436"/>
      <c r="BN2" s="435" t="s">
        <v>193</v>
      </c>
      <c r="BO2" s="435"/>
      <c r="BP2" s="435"/>
      <c r="BQ2" s="435"/>
    </row>
    <row r="3" customFormat="false" ht="16.5" hidden="false" customHeight="false" outlineLevel="0" collapsed="false">
      <c r="A3" s="63"/>
      <c r="B3" s="63"/>
      <c r="C3" s="63"/>
      <c r="D3" s="437"/>
      <c r="E3" s="437"/>
      <c r="F3" s="425"/>
      <c r="G3" s="437"/>
      <c r="H3" s="437"/>
      <c r="I3" s="437"/>
      <c r="J3" s="63"/>
      <c r="K3" s="438"/>
      <c r="L3" s="63"/>
      <c r="M3" s="63"/>
      <c r="N3" s="63"/>
      <c r="P3" s="63"/>
      <c r="Q3" s="63"/>
      <c r="R3" s="439" t="s">
        <v>194</v>
      </c>
      <c r="S3" s="439" t="n">
        <v>310.66</v>
      </c>
      <c r="T3" s="63"/>
      <c r="U3" s="63"/>
      <c r="V3" s="63"/>
      <c r="W3" s="63"/>
      <c r="X3" s="440"/>
      <c r="Y3" s="63"/>
      <c r="Z3" s="63"/>
      <c r="AA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441" t="n">
        <v>250000</v>
      </c>
      <c r="AT3" s="63"/>
      <c r="AU3" s="63"/>
      <c r="AV3" s="63"/>
      <c r="AW3" s="442"/>
      <c r="AX3" s="63"/>
      <c r="BA3" s="63"/>
      <c r="BB3" s="63"/>
      <c r="BC3" s="63"/>
      <c r="BD3" s="63"/>
      <c r="BE3" s="63"/>
      <c r="BF3" s="63"/>
      <c r="BG3" s="63"/>
      <c r="BH3" s="63"/>
      <c r="BI3" s="63"/>
      <c r="BK3" s="63"/>
      <c r="BL3" s="63"/>
      <c r="BM3" s="63"/>
      <c r="BN3" s="63"/>
      <c r="BO3" s="63"/>
      <c r="BP3" s="63"/>
      <c r="BQ3" s="63"/>
    </row>
    <row r="4" customFormat="false" ht="16.5" hidden="false" customHeight="false" outlineLevel="0" collapsed="false">
      <c r="A4" s="63"/>
      <c r="B4" s="63"/>
      <c r="C4" s="63"/>
      <c r="D4" s="437"/>
      <c r="E4" s="437"/>
      <c r="F4" s="425"/>
      <c r="J4" s="63"/>
      <c r="K4" s="438"/>
      <c r="L4" s="63"/>
      <c r="M4" s="63"/>
      <c r="N4" s="63"/>
      <c r="P4" s="63"/>
      <c r="Q4" s="63"/>
      <c r="R4" s="439" t="s">
        <v>195</v>
      </c>
      <c r="S4" s="443" t="n">
        <v>0.98</v>
      </c>
      <c r="T4" s="63"/>
      <c r="U4" s="63"/>
      <c r="V4" s="63"/>
      <c r="W4" s="63"/>
      <c r="X4" s="440"/>
      <c r="Y4" s="63"/>
      <c r="Z4" s="63"/>
      <c r="AA4" s="63"/>
      <c r="AB4" s="444"/>
      <c r="AC4" s="63"/>
      <c r="AD4" s="445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446" t="n">
        <v>124666000</v>
      </c>
      <c r="AT4" s="63"/>
      <c r="AU4" s="63"/>
      <c r="AV4" s="63"/>
      <c r="AW4" s="442"/>
      <c r="AX4" s="63"/>
      <c r="BA4" s="63"/>
      <c r="BB4" s="63"/>
      <c r="BC4" s="63"/>
      <c r="BD4" s="63"/>
      <c r="BE4" s="63"/>
      <c r="BF4" s="63"/>
      <c r="BG4" s="63"/>
      <c r="BH4" s="63"/>
      <c r="BI4" s="63"/>
      <c r="BK4" s="63"/>
      <c r="BL4" s="63"/>
      <c r="BM4" s="63"/>
      <c r="BN4" s="63"/>
      <c r="BO4" s="63"/>
      <c r="BP4" s="63"/>
      <c r="BQ4" s="63"/>
    </row>
    <row r="5" customFormat="false" ht="17.25" hidden="false" customHeight="false" outlineLevel="0" collapsed="false">
      <c r="F5" s="444" t="s">
        <v>9</v>
      </c>
      <c r="G5" s="116" t="s">
        <v>196</v>
      </c>
      <c r="H5" s="116"/>
      <c r="J5" s="80"/>
      <c r="K5" s="428"/>
      <c r="L5" s="80"/>
      <c r="M5" s="80"/>
      <c r="N5" s="80"/>
      <c r="O5" s="447" t="n">
        <v>0.027</v>
      </c>
      <c r="P5" s="80"/>
      <c r="Q5" s="80"/>
      <c r="R5" s="448"/>
      <c r="S5" s="80"/>
      <c r="T5" s="80"/>
      <c r="U5" s="80"/>
      <c r="V5" s="80"/>
      <c r="W5" s="80"/>
      <c r="X5" s="448"/>
      <c r="Y5" s="80"/>
      <c r="Z5" s="80"/>
      <c r="AA5" s="80"/>
      <c r="AB5" s="444"/>
      <c r="AC5" s="444" t="s">
        <v>197</v>
      </c>
      <c r="AD5" s="80"/>
      <c r="AE5" s="80"/>
      <c r="AF5" s="80"/>
      <c r="AG5" s="80"/>
      <c r="AH5" s="80"/>
      <c r="AI5" s="80"/>
      <c r="AJ5" s="80"/>
      <c r="AK5" s="449" t="n">
        <f aca="false">0.6*1000000</f>
        <v>600000</v>
      </c>
      <c r="AL5" s="450" t="n">
        <f aca="false">1.53*1000000</f>
        <v>1530000</v>
      </c>
      <c r="AM5" s="451" t="n">
        <v>0.002</v>
      </c>
      <c r="AN5" s="450" t="n">
        <f aca="false">1.4*1000000</f>
        <v>1400000</v>
      </c>
      <c r="AO5" s="450" t="n">
        <f aca="false">0.3*1000000</f>
        <v>300000</v>
      </c>
      <c r="AP5" s="452" t="n">
        <f aca="false">558000/12+PMT(0.07/12,20*12,-6000000)*12/10^6</f>
        <v>46500.5582152336</v>
      </c>
      <c r="AQ5" s="80"/>
      <c r="AR5" s="446" t="n">
        <f aca="false">0.15*1000000</f>
        <v>150000</v>
      </c>
      <c r="AS5" s="453" t="n">
        <v>0.00291</v>
      </c>
      <c r="AT5" s="80"/>
      <c r="AU5" s="80"/>
      <c r="AV5" s="444"/>
      <c r="AW5" s="454"/>
      <c r="AX5" s="80"/>
      <c r="AY5" s="444"/>
      <c r="AZ5" s="444"/>
      <c r="BA5" s="80"/>
      <c r="BB5" s="455" t="n">
        <f aca="false">SUM(BB12:BB258)-SUM('Curve Analysis - Base Case'!C4:C250)</f>
        <v>0</v>
      </c>
      <c r="BC5" s="456" t="n">
        <f aca="false">SUM(BC12:BC258)-SUM('Curve Analysis - Base Case'!D4:D250)</f>
        <v>0</v>
      </c>
      <c r="BD5" s="80"/>
      <c r="BE5" s="80"/>
      <c r="BF5" s="80"/>
      <c r="BG5" s="80"/>
      <c r="BH5" s="80"/>
      <c r="BI5" s="80"/>
      <c r="BJ5" s="444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0"/>
      <c r="IA5" s="80"/>
      <c r="IB5" s="80"/>
      <c r="IC5" s="80"/>
      <c r="ID5" s="80"/>
      <c r="IE5" s="80"/>
      <c r="IF5" s="80"/>
      <c r="IG5" s="80"/>
      <c r="IH5" s="80"/>
      <c r="II5" s="80"/>
      <c r="IJ5" s="80"/>
      <c r="IK5" s="80"/>
      <c r="IL5" s="80"/>
      <c r="IM5" s="80"/>
      <c r="IN5" s="80"/>
      <c r="IO5" s="80"/>
      <c r="IP5" s="80"/>
      <c r="IQ5" s="80"/>
      <c r="IR5" s="80"/>
      <c r="IS5" s="80"/>
      <c r="IT5" s="80"/>
      <c r="IU5" s="80"/>
      <c r="IV5" s="80"/>
      <c r="IW5" s="80"/>
    </row>
    <row r="6" customFormat="false" ht="16.5" hidden="false" customHeight="false" outlineLevel="0" collapsed="false">
      <c r="A6" s="457" t="s">
        <v>198</v>
      </c>
      <c r="C6" s="458" t="s">
        <v>199</v>
      </c>
      <c r="E6" s="459" t="s">
        <v>62</v>
      </c>
      <c r="F6" s="460" t="s">
        <v>200</v>
      </c>
      <c r="G6" s="459" t="s">
        <v>200</v>
      </c>
      <c r="H6" s="459" t="s">
        <v>59</v>
      </c>
      <c r="J6" s="80"/>
      <c r="K6" s="428"/>
      <c r="L6" s="461" t="n">
        <v>36199</v>
      </c>
      <c r="M6" s="461"/>
      <c r="N6" s="80" t="s">
        <v>201</v>
      </c>
      <c r="O6" s="462" t="s">
        <v>181</v>
      </c>
      <c r="P6" s="80"/>
      <c r="Q6" s="456"/>
      <c r="R6" s="463" t="s">
        <v>202</v>
      </c>
      <c r="S6" s="80" t="s">
        <v>203</v>
      </c>
      <c r="T6" s="80"/>
      <c r="U6" s="80"/>
      <c r="V6" s="80" t="s">
        <v>89</v>
      </c>
      <c r="W6" s="80"/>
      <c r="X6" s="463" t="s">
        <v>202</v>
      </c>
      <c r="Y6" s="80"/>
      <c r="Z6" s="80"/>
      <c r="AA6" s="80"/>
      <c r="AB6" s="444" t="s">
        <v>204</v>
      </c>
      <c r="AC6" s="444" t="s">
        <v>120</v>
      </c>
      <c r="AD6" s="464" t="s">
        <v>197</v>
      </c>
      <c r="AE6" s="444"/>
      <c r="AF6" s="444" t="s">
        <v>8</v>
      </c>
      <c r="AG6" s="444" t="s">
        <v>205</v>
      </c>
      <c r="AH6" s="444" t="s">
        <v>158</v>
      </c>
      <c r="AI6" s="444" t="s">
        <v>59</v>
      </c>
      <c r="AJ6" s="444" t="s">
        <v>91</v>
      </c>
      <c r="AK6" s="80"/>
      <c r="AL6" s="80" t="s">
        <v>206</v>
      </c>
      <c r="AM6" s="80" t="s">
        <v>207</v>
      </c>
      <c r="AN6" s="80" t="s">
        <v>208</v>
      </c>
      <c r="AO6" s="80" t="s">
        <v>209</v>
      </c>
      <c r="AP6" s="80" t="s">
        <v>210</v>
      </c>
      <c r="AQ6" s="80" t="s">
        <v>59</v>
      </c>
      <c r="AR6" s="80"/>
      <c r="AS6" s="453" t="n">
        <v>0.0075</v>
      </c>
      <c r="AT6" s="465" t="n">
        <v>0.6</v>
      </c>
      <c r="AU6" s="80" t="s">
        <v>59</v>
      </c>
      <c r="AV6" s="444"/>
      <c r="AW6" s="454"/>
      <c r="AX6" s="80"/>
      <c r="AY6" s="444" t="s">
        <v>211</v>
      </c>
      <c r="AZ6" s="444" t="s">
        <v>212</v>
      </c>
      <c r="BA6" s="80"/>
      <c r="BB6" s="80" t="s">
        <v>157</v>
      </c>
      <c r="BC6" s="80"/>
      <c r="BD6" s="80"/>
      <c r="BE6" s="80"/>
      <c r="BF6" s="80" t="s">
        <v>157</v>
      </c>
      <c r="BG6" s="80" t="s">
        <v>213</v>
      </c>
      <c r="BH6" s="80" t="s">
        <v>214</v>
      </c>
      <c r="BI6" s="80"/>
      <c r="BJ6" s="466" t="s">
        <v>215</v>
      </c>
      <c r="BK6" s="80" t="s">
        <v>161</v>
      </c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  <c r="DA6" s="80"/>
      <c r="DB6" s="80"/>
      <c r="DC6" s="80"/>
      <c r="DD6" s="80"/>
      <c r="DE6" s="80"/>
      <c r="DF6" s="80"/>
      <c r="DG6" s="80"/>
      <c r="DH6" s="80"/>
      <c r="DI6" s="80"/>
      <c r="DJ6" s="80"/>
      <c r="DK6" s="80"/>
      <c r="DL6" s="80"/>
      <c r="DM6" s="80"/>
      <c r="DN6" s="80"/>
      <c r="DO6" s="80"/>
      <c r="DP6" s="80"/>
      <c r="DQ6" s="80"/>
      <c r="DR6" s="80"/>
      <c r="DS6" s="80"/>
      <c r="DT6" s="80"/>
      <c r="DU6" s="80"/>
      <c r="DV6" s="80"/>
      <c r="DW6" s="80"/>
      <c r="DX6" s="80"/>
      <c r="DY6" s="80"/>
      <c r="DZ6" s="80"/>
      <c r="EA6" s="80"/>
      <c r="EB6" s="80"/>
      <c r="EC6" s="80"/>
      <c r="ED6" s="80"/>
      <c r="EE6" s="80"/>
      <c r="EF6" s="80"/>
      <c r="EG6" s="80"/>
      <c r="EH6" s="80"/>
      <c r="EI6" s="80"/>
      <c r="EJ6" s="80"/>
      <c r="EK6" s="80"/>
      <c r="EL6" s="80"/>
      <c r="EM6" s="80"/>
      <c r="EN6" s="80"/>
      <c r="EO6" s="80"/>
      <c r="EP6" s="80"/>
      <c r="EQ6" s="80"/>
      <c r="ER6" s="80"/>
      <c r="ES6" s="80"/>
      <c r="ET6" s="80"/>
      <c r="EU6" s="80"/>
      <c r="EV6" s="80"/>
      <c r="EW6" s="80"/>
      <c r="EX6" s="80"/>
      <c r="EY6" s="80"/>
      <c r="EZ6" s="80"/>
      <c r="FA6" s="80"/>
      <c r="FB6" s="80"/>
      <c r="FC6" s="80"/>
      <c r="FD6" s="80"/>
      <c r="FE6" s="80"/>
      <c r="FF6" s="80"/>
      <c r="FG6" s="80"/>
      <c r="FH6" s="80"/>
      <c r="FI6" s="80"/>
      <c r="FJ6" s="80"/>
      <c r="FK6" s="80"/>
      <c r="FL6" s="80"/>
      <c r="FM6" s="80"/>
      <c r="FN6" s="80"/>
      <c r="FO6" s="80"/>
      <c r="FP6" s="80"/>
      <c r="FQ6" s="80"/>
      <c r="FR6" s="80"/>
      <c r="FS6" s="80"/>
      <c r="FT6" s="80"/>
      <c r="FU6" s="80"/>
      <c r="FV6" s="80"/>
      <c r="FW6" s="80"/>
      <c r="FX6" s="80"/>
      <c r="FY6" s="80"/>
      <c r="FZ6" s="80"/>
      <c r="GA6" s="80"/>
      <c r="GB6" s="80"/>
      <c r="GC6" s="80"/>
      <c r="GD6" s="80"/>
      <c r="GE6" s="80"/>
      <c r="GF6" s="80"/>
      <c r="GG6" s="80"/>
      <c r="GH6" s="80"/>
      <c r="GI6" s="80"/>
      <c r="GJ6" s="80"/>
      <c r="GK6" s="80"/>
      <c r="GL6" s="80"/>
      <c r="GM6" s="80"/>
      <c r="GN6" s="80"/>
      <c r="GO6" s="80"/>
      <c r="GP6" s="80"/>
      <c r="GQ6" s="80"/>
      <c r="GR6" s="80"/>
      <c r="GS6" s="80"/>
      <c r="GT6" s="80"/>
      <c r="GU6" s="80"/>
      <c r="GV6" s="80"/>
      <c r="GW6" s="80"/>
      <c r="GX6" s="80"/>
      <c r="GY6" s="80"/>
      <c r="GZ6" s="80"/>
      <c r="HA6" s="80"/>
      <c r="HB6" s="80"/>
      <c r="HC6" s="80"/>
      <c r="HD6" s="80"/>
      <c r="HE6" s="80"/>
      <c r="HF6" s="80"/>
      <c r="HG6" s="80"/>
      <c r="HH6" s="80"/>
      <c r="HI6" s="80"/>
      <c r="HJ6" s="80"/>
      <c r="HK6" s="80"/>
      <c r="HL6" s="80"/>
      <c r="HM6" s="80"/>
      <c r="HN6" s="80"/>
      <c r="HO6" s="80"/>
      <c r="HP6" s="80"/>
      <c r="HQ6" s="80"/>
      <c r="HR6" s="80"/>
      <c r="HS6" s="80"/>
      <c r="HT6" s="80"/>
      <c r="HU6" s="80"/>
      <c r="HV6" s="80"/>
      <c r="HW6" s="80"/>
      <c r="HX6" s="80"/>
      <c r="HY6" s="80"/>
      <c r="HZ6" s="80"/>
      <c r="IA6" s="80"/>
      <c r="IB6" s="80"/>
      <c r="IC6" s="80"/>
      <c r="ID6" s="80"/>
      <c r="IE6" s="80"/>
      <c r="IF6" s="80"/>
      <c r="IG6" s="80"/>
      <c r="IH6" s="80"/>
      <c r="II6" s="80"/>
      <c r="IJ6" s="80"/>
      <c r="IK6" s="80"/>
      <c r="IL6" s="80"/>
      <c r="IM6" s="80"/>
      <c r="IN6" s="80"/>
      <c r="IO6" s="80"/>
      <c r="IP6" s="80"/>
      <c r="IQ6" s="80"/>
      <c r="IR6" s="80"/>
      <c r="IS6" s="80"/>
      <c r="IT6" s="80"/>
      <c r="IU6" s="80"/>
      <c r="IV6" s="80"/>
      <c r="IW6" s="80"/>
    </row>
    <row r="7" customFormat="false" ht="17.25" hidden="false" customHeight="false" outlineLevel="0" collapsed="false">
      <c r="A7" s="59" t="n">
        <v>1</v>
      </c>
      <c r="C7" s="467" t="n">
        <v>31</v>
      </c>
      <c r="D7" s="468" t="s">
        <v>164</v>
      </c>
      <c r="E7" s="125" t="n">
        <v>36526</v>
      </c>
      <c r="F7" s="425" t="n">
        <v>21</v>
      </c>
      <c r="G7" s="433" t="n">
        <f aca="false">C7-F7</f>
        <v>10</v>
      </c>
      <c r="H7" s="433"/>
      <c r="J7" s="80"/>
      <c r="K7" s="469"/>
      <c r="L7" s="470" t="s">
        <v>216</v>
      </c>
      <c r="M7" s="470" t="s">
        <v>217</v>
      </c>
      <c r="N7" s="470" t="s">
        <v>187</v>
      </c>
      <c r="O7" s="471" t="s">
        <v>18</v>
      </c>
      <c r="P7" s="80"/>
      <c r="Q7" s="470" t="s">
        <v>218</v>
      </c>
      <c r="R7" s="472" t="s">
        <v>218</v>
      </c>
      <c r="S7" s="470" t="s">
        <v>219</v>
      </c>
      <c r="T7" s="470"/>
      <c r="U7" s="80"/>
      <c r="V7" s="470" t="s">
        <v>99</v>
      </c>
      <c r="W7" s="470"/>
      <c r="X7" s="472" t="s">
        <v>220</v>
      </c>
      <c r="Y7" s="80"/>
      <c r="Z7" s="80"/>
      <c r="AA7" s="470" t="s">
        <v>102</v>
      </c>
      <c r="AB7" s="473" t="s">
        <v>197</v>
      </c>
      <c r="AC7" s="473" t="s">
        <v>221</v>
      </c>
      <c r="AD7" s="472" t="s">
        <v>222</v>
      </c>
      <c r="AE7" s="470"/>
      <c r="AF7" s="470" t="s">
        <v>223</v>
      </c>
      <c r="AG7" s="470" t="s">
        <v>224</v>
      </c>
      <c r="AH7" s="470" t="s">
        <v>224</v>
      </c>
      <c r="AI7" s="470" t="s">
        <v>224</v>
      </c>
      <c r="AJ7" s="470" t="s">
        <v>223</v>
      </c>
      <c r="AK7" s="470" t="s">
        <v>225</v>
      </c>
      <c r="AL7" s="470" t="s">
        <v>226</v>
      </c>
      <c r="AM7" s="470" t="s">
        <v>100</v>
      </c>
      <c r="AN7" s="470" t="s">
        <v>227</v>
      </c>
      <c r="AO7" s="470" t="s">
        <v>228</v>
      </c>
      <c r="AP7" s="470" t="s">
        <v>229</v>
      </c>
      <c r="AQ7" s="470" t="s">
        <v>209</v>
      </c>
      <c r="AR7" s="470" t="s">
        <v>230</v>
      </c>
      <c r="AS7" s="470" t="s">
        <v>231</v>
      </c>
      <c r="AT7" s="470" t="s">
        <v>232</v>
      </c>
      <c r="AU7" s="470" t="s">
        <v>233</v>
      </c>
      <c r="AV7" s="470" t="s">
        <v>234</v>
      </c>
      <c r="AW7" s="474"/>
      <c r="AX7" s="470"/>
      <c r="AY7" s="473" t="s">
        <v>235</v>
      </c>
      <c r="AZ7" s="473" t="s">
        <v>236</v>
      </c>
      <c r="BA7" s="470"/>
      <c r="BB7" s="470" t="s">
        <v>63</v>
      </c>
      <c r="BC7" s="470" t="s">
        <v>90</v>
      </c>
      <c r="BD7" s="470" t="s">
        <v>186</v>
      </c>
      <c r="BE7" s="470" t="s">
        <v>237</v>
      </c>
      <c r="BF7" s="470" t="s">
        <v>185</v>
      </c>
      <c r="BG7" s="470" t="s">
        <v>238</v>
      </c>
      <c r="BH7" s="470" t="s">
        <v>178</v>
      </c>
      <c r="BI7" s="470"/>
      <c r="BJ7" s="475" t="s">
        <v>239</v>
      </c>
      <c r="BK7" s="470" t="s">
        <v>240</v>
      </c>
      <c r="BL7" s="470"/>
      <c r="BM7" s="470" t="s">
        <v>159</v>
      </c>
      <c r="BN7" s="470"/>
      <c r="BO7" s="470"/>
      <c r="BP7" s="470"/>
      <c r="BQ7" s="47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  <c r="IV7" s="80"/>
      <c r="IW7" s="80"/>
    </row>
    <row r="8" customFormat="false" ht="16.5" hidden="false" customHeight="false" outlineLevel="0" collapsed="false">
      <c r="A8" s="59" t="n">
        <f aca="false">A7+1</f>
        <v>2</v>
      </c>
      <c r="C8" s="476" t="n">
        <v>29</v>
      </c>
      <c r="D8" s="477" t="s">
        <v>165</v>
      </c>
      <c r="E8" s="125" t="n">
        <f aca="false">E7+C7</f>
        <v>36557</v>
      </c>
      <c r="F8" s="425" t="n">
        <v>21</v>
      </c>
      <c r="G8" s="433" t="n">
        <f aca="false">C8-F8</f>
        <v>8</v>
      </c>
      <c r="H8" s="433"/>
      <c r="J8" s="59" t="n">
        <f aca="false">K9-K8</f>
        <v>29</v>
      </c>
      <c r="K8" s="478" t="n">
        <v>36557</v>
      </c>
      <c r="L8" s="479"/>
      <c r="M8" s="479"/>
      <c r="N8" s="480"/>
      <c r="O8" s="127"/>
      <c r="P8" s="480"/>
      <c r="Q8" s="481"/>
      <c r="R8" s="482"/>
      <c r="S8" s="128"/>
      <c r="T8" s="483"/>
      <c r="U8" s="483"/>
      <c r="V8" s="128"/>
      <c r="W8" s="128"/>
      <c r="X8" s="484"/>
      <c r="Y8" s="483"/>
      <c r="Z8" s="483"/>
      <c r="AD8" s="485"/>
      <c r="AE8" s="425"/>
      <c r="AF8" s="425"/>
      <c r="AG8" s="425"/>
      <c r="AH8" s="425"/>
      <c r="AI8" s="425"/>
      <c r="AJ8" s="425"/>
      <c r="AM8" s="425"/>
      <c r="AX8" s="423" t="n">
        <f aca="false">K8</f>
        <v>36557</v>
      </c>
      <c r="BJ8" s="486"/>
    </row>
    <row r="9" customFormat="false" ht="16.5" hidden="false" customHeight="true" outlineLevel="0" collapsed="false">
      <c r="A9" s="59" t="n">
        <f aca="false">A8+1</f>
        <v>3</v>
      </c>
      <c r="C9" s="476" t="n">
        <v>31</v>
      </c>
      <c r="D9" s="477" t="s">
        <v>166</v>
      </c>
      <c r="E9" s="125" t="n">
        <f aca="false">E8+C8</f>
        <v>36586</v>
      </c>
      <c r="F9" s="425" t="n">
        <v>23</v>
      </c>
      <c r="G9" s="433" t="n">
        <f aca="false">C9-F9</f>
        <v>8</v>
      </c>
      <c r="H9" s="433"/>
      <c r="I9" s="116"/>
      <c r="J9" s="59" t="n">
        <f aca="false">K10-K9</f>
        <v>31</v>
      </c>
      <c r="K9" s="478" t="n">
        <v>36586</v>
      </c>
      <c r="L9" s="487" t="n">
        <v>0.059499514528595</v>
      </c>
      <c r="M9" s="488" t="n">
        <v>0.058667181517753</v>
      </c>
      <c r="N9" s="480" t="n">
        <f aca="false">(1+L9/2)^(-2*((K9+$T$1)-$K$1)/365.25)</f>
        <v>0.993440099072452</v>
      </c>
      <c r="O9" s="127" t="n">
        <f aca="false">VLOOKUP(K9,Inflation!$B$8:$C$266,2)</f>
        <v>1.00668271307928</v>
      </c>
      <c r="P9" s="480"/>
      <c r="Q9" s="481"/>
      <c r="R9" s="482"/>
      <c r="S9" s="128"/>
      <c r="T9" s="483"/>
      <c r="U9" s="483"/>
      <c r="V9" s="128"/>
      <c r="W9" s="128"/>
      <c r="X9" s="484"/>
      <c r="Y9" s="489"/>
      <c r="Z9" s="483"/>
      <c r="AD9" s="485"/>
      <c r="AE9" s="425"/>
      <c r="AF9" s="425"/>
      <c r="AG9" s="425"/>
      <c r="AH9" s="425"/>
      <c r="AI9" s="425"/>
      <c r="AJ9" s="425"/>
      <c r="AM9" s="425"/>
      <c r="AX9" s="423" t="n">
        <f aca="false">K9</f>
        <v>36586</v>
      </c>
      <c r="BJ9" s="486"/>
    </row>
    <row r="10" customFormat="false" ht="16.5" hidden="false" customHeight="true" outlineLevel="0" collapsed="false">
      <c r="A10" s="59" t="n">
        <f aca="false">A9+1</f>
        <v>4</v>
      </c>
      <c r="C10" s="476" t="n">
        <v>30</v>
      </c>
      <c r="D10" s="477" t="s">
        <v>167</v>
      </c>
      <c r="E10" s="125" t="n">
        <f aca="false">E9+C9</f>
        <v>36617</v>
      </c>
      <c r="F10" s="425" t="n">
        <v>20</v>
      </c>
      <c r="G10" s="433" t="n">
        <f aca="false">C10-F10</f>
        <v>10</v>
      </c>
      <c r="H10" s="433"/>
      <c r="I10" s="122"/>
      <c r="J10" s="59" t="n">
        <f aca="false">K11-K10</f>
        <v>30</v>
      </c>
      <c r="K10" s="478" t="n">
        <v>36617</v>
      </c>
      <c r="L10" s="490" t="n">
        <v>0.060428152685413</v>
      </c>
      <c r="M10" s="491" t="n">
        <v>0.058863659044766</v>
      </c>
      <c r="N10" s="480" t="n">
        <f aca="false">(1+L10/2)^(-2*((K10+$T$1)-$K$1)/365.25)</f>
        <v>0.98833308655731</v>
      </c>
      <c r="O10" s="127" t="n">
        <f aca="false">VLOOKUP(K10,Inflation!$B$8:$C$266,2)</f>
        <v>1.00892019355413</v>
      </c>
      <c r="P10" s="480"/>
      <c r="Q10" s="481"/>
      <c r="R10" s="482"/>
      <c r="S10" s="128"/>
      <c r="T10" s="483"/>
      <c r="U10" s="483"/>
      <c r="V10" s="128"/>
      <c r="W10" s="128"/>
      <c r="X10" s="484"/>
      <c r="Y10" s="489"/>
      <c r="Z10" s="483"/>
      <c r="AD10" s="485"/>
      <c r="AE10" s="425"/>
      <c r="AF10" s="425"/>
      <c r="AG10" s="425"/>
      <c r="AH10" s="425"/>
      <c r="AI10" s="425"/>
      <c r="AJ10" s="425"/>
      <c r="AM10" s="425"/>
      <c r="AU10" s="433"/>
      <c r="AX10" s="423" t="n">
        <f aca="false">K10</f>
        <v>36617</v>
      </c>
      <c r="BJ10" s="486"/>
    </row>
    <row r="11" customFormat="false" ht="16.5" hidden="false" customHeight="true" outlineLevel="0" collapsed="false">
      <c r="A11" s="59" t="n">
        <f aca="false">A10+1</f>
        <v>5</v>
      </c>
      <c r="C11" s="476" t="n">
        <v>31</v>
      </c>
      <c r="D11" s="477" t="s">
        <v>29</v>
      </c>
      <c r="E11" s="125" t="n">
        <f aca="false">E10+C10</f>
        <v>36647</v>
      </c>
      <c r="F11" s="425" t="n">
        <v>23</v>
      </c>
      <c r="G11" s="433" t="n">
        <f aca="false">C11-F11</f>
        <v>8</v>
      </c>
      <c r="H11" s="433"/>
      <c r="I11" s="433"/>
      <c r="J11" s="59" t="n">
        <f aca="false">K12-K11</f>
        <v>31</v>
      </c>
      <c r="K11" s="478" t="n">
        <v>36647</v>
      </c>
      <c r="L11" s="490" t="n">
        <v>0.061278503814639</v>
      </c>
      <c r="M11" s="491" t="n">
        <v>0.058863659044765</v>
      </c>
      <c r="N11" s="480" t="n">
        <f aca="false">(1+L11/2)^(-2*((K11+$T$1)-$K$1)/365.25)</f>
        <v>0.98328550576838</v>
      </c>
      <c r="O11" s="127" t="n">
        <f aca="false">VLOOKUP(K11,Inflation!$B$8:$C$266,2)</f>
        <v>1.01116264711415</v>
      </c>
      <c r="P11" s="480"/>
      <c r="Q11" s="481"/>
      <c r="R11" s="482"/>
      <c r="S11" s="128"/>
      <c r="T11" s="483"/>
      <c r="U11" s="483"/>
      <c r="V11" s="128"/>
      <c r="W11" s="128"/>
      <c r="X11" s="484"/>
      <c r="Y11" s="489"/>
      <c r="Z11" s="483"/>
      <c r="AD11" s="485"/>
      <c r="AE11" s="425"/>
      <c r="AF11" s="425"/>
      <c r="AG11" s="425"/>
      <c r="AH11" s="425"/>
      <c r="AI11" s="425"/>
      <c r="AJ11" s="425"/>
      <c r="AK11" s="433"/>
      <c r="AL11" s="433"/>
      <c r="AM11" s="425"/>
      <c r="AN11" s="433"/>
      <c r="AO11" s="433"/>
      <c r="AP11" s="433"/>
      <c r="AQ11" s="433"/>
      <c r="AR11" s="433"/>
      <c r="AS11" s="433"/>
      <c r="AT11" s="433"/>
      <c r="AU11" s="433"/>
      <c r="AX11" s="423" t="n">
        <f aca="false">K11</f>
        <v>36647</v>
      </c>
      <c r="BJ11" s="486"/>
    </row>
    <row r="12" customFormat="false" ht="16.5" hidden="false" customHeight="true" outlineLevel="0" collapsed="false">
      <c r="A12" s="59" t="n">
        <f aca="false">A11+1</f>
        <v>6</v>
      </c>
      <c r="C12" s="476" t="n">
        <v>30</v>
      </c>
      <c r="D12" s="477" t="s">
        <v>168</v>
      </c>
      <c r="E12" s="125" t="n">
        <f aca="false">E11+C11</f>
        <v>36678</v>
      </c>
      <c r="F12" s="425" t="n">
        <v>22</v>
      </c>
      <c r="G12" s="433" t="n">
        <f aca="false">C12-F12</f>
        <v>8</v>
      </c>
      <c r="H12" s="433"/>
      <c r="I12" s="433"/>
      <c r="J12" s="59" t="n">
        <f aca="false">K13-K12</f>
        <v>30</v>
      </c>
      <c r="K12" s="478" t="n">
        <v>36678</v>
      </c>
      <c r="L12" s="490" t="n">
        <v>0.062177946159863</v>
      </c>
      <c r="M12" s="491" t="n">
        <v>0.058863659044765</v>
      </c>
      <c r="N12" s="480" t="n">
        <f aca="false">(1+L12/2)^(-2*((K12+$T$1)-$K$1)/365.25)</f>
        <v>0.977950427546173</v>
      </c>
      <c r="O12" s="127" t="n">
        <f aca="false">VLOOKUP(K12,Inflation!$B$8:$C$266,2)</f>
        <v>1.01341008481266</v>
      </c>
      <c r="P12" s="480"/>
      <c r="Q12" s="481" t="n">
        <f aca="false">VLOOKUP(K12,'Fuel Curve'!$B$11:$F$268,5)</f>
        <v>5.45706896551724</v>
      </c>
      <c r="R12" s="482" t="n">
        <f aca="false">VLOOKUP(K12,'Fuel Curve Simulation'!$B$12:$J$258,9)</f>
        <v>5.45706896551724</v>
      </c>
      <c r="S12" s="481" t="n">
        <f aca="false">(R12*$S$2)/1000</f>
        <v>52.2732636206897</v>
      </c>
      <c r="T12" s="483"/>
      <c r="V12" s="128" t="n">
        <f aca="false">VLOOKUP(K12,PJM_01212000!$A$7:$C$259,3)</f>
        <v>58.0750007629395</v>
      </c>
      <c r="W12" s="128"/>
      <c r="X12" s="484" t="n">
        <f aca="false">'PJM Curve Simulation'!J12</f>
        <v>58.0750007629395</v>
      </c>
      <c r="Y12" s="489"/>
      <c r="AA12" s="59" t="n">
        <v>315</v>
      </c>
      <c r="AB12" s="425" t="n">
        <f aca="false">AA12*F12*16</f>
        <v>110880</v>
      </c>
      <c r="AC12" s="425" t="n">
        <f aca="false">VLOOKUP(K12,'Company Volumes'!$B$20:$C$259,2)</f>
        <v>12539.362295873</v>
      </c>
      <c r="AD12" s="485" t="n">
        <f aca="false">IF(X12&gt;S12+($AM$5*1000*O12),AA12*F12*16,0)</f>
        <v>110880</v>
      </c>
      <c r="AE12" s="425"/>
      <c r="AF12" s="425" t="n">
        <v>0</v>
      </c>
      <c r="AG12" s="425" t="n">
        <v>0</v>
      </c>
      <c r="AH12" s="425" t="n">
        <f aca="false">X12*AD12</f>
        <v>6439356.08459473</v>
      </c>
      <c r="AI12" s="425" t="n">
        <f aca="false">SUM(AF12:AH12)</f>
        <v>6439356.08459473</v>
      </c>
      <c r="AJ12" s="425" t="n">
        <f aca="false">(AD12*1000*$S$2)/1000000*R12</f>
        <v>5796059.47026207</v>
      </c>
      <c r="AK12" s="425" t="n">
        <f aca="false">($AK$5*O12)/12</f>
        <v>50670.5042406329</v>
      </c>
      <c r="AL12" s="425" t="n">
        <f aca="false">($AL$5*O12)/12</f>
        <v>129209.785813614</v>
      </c>
      <c r="AM12" s="425" t="n">
        <f aca="false">AD12*$AM$5*1000*O12</f>
        <v>224733.820408055</v>
      </c>
      <c r="AN12" s="425" t="n">
        <f aca="false">(($AN$5*O12)/12)*$S$4</f>
        <v>115866.553030247</v>
      </c>
      <c r="AO12" s="425" t="n">
        <f aca="false">($AO$5*O12)/12</f>
        <v>25335.2521203165</v>
      </c>
      <c r="AP12" s="433" t="n">
        <f aca="false">AP5</f>
        <v>46500.5582152336</v>
      </c>
      <c r="AQ12" s="492" t="n">
        <f aca="false">SUM(AK12:AP12)</f>
        <v>592316.473828099</v>
      </c>
      <c r="AR12" s="425" t="n">
        <f aca="false">($AR$5*O12)/12</f>
        <v>12667.6260601582</v>
      </c>
      <c r="AS12" s="59" t="n">
        <v>0</v>
      </c>
      <c r="AT12" s="425" t="n">
        <f aca="false">(AI12/100)*$AT$6*O12</f>
        <v>39154.2503749683</v>
      </c>
      <c r="AU12" s="433" t="n">
        <f aca="false">SUM(AJ12:AT12)-AQ12</f>
        <v>6440197.8205253</v>
      </c>
      <c r="AV12" s="433" t="n">
        <f aca="false">AI12-AU12</f>
        <v>-841.735930568539</v>
      </c>
      <c r="AW12" s="493"/>
      <c r="AX12" s="423" t="n">
        <f aca="false">K12</f>
        <v>36678</v>
      </c>
      <c r="BA12" s="126"/>
      <c r="BB12" s="481" t="n">
        <f aca="false">X12</f>
        <v>58.0750007629395</v>
      </c>
      <c r="BC12" s="481" t="n">
        <f aca="false">'Curve Analysis - Base Case'!D4</f>
        <v>54.300083790315</v>
      </c>
      <c r="BD12" s="479" t="n">
        <f aca="false">L12</f>
        <v>0.062177946159863</v>
      </c>
      <c r="BE12" s="479" t="n">
        <f aca="false">L12</f>
        <v>0.062177946159863</v>
      </c>
      <c r="BF12" s="489" t="n">
        <f aca="false">PJM_01212000!X12</f>
        <v>0.4285</v>
      </c>
      <c r="BG12" s="425" t="n">
        <f aca="false">(AX12+15)-$K$1</f>
        <v>104</v>
      </c>
      <c r="BH12" s="433" t="n">
        <f aca="false">AD12</f>
        <v>110880</v>
      </c>
      <c r="BJ12" s="486" t="e">
        <f aca="false">EURO(BB12,BC12,BD12,BE12,BF12,BG12,1,0)*BH12</f>
        <v>#NAME?</v>
      </c>
      <c r="BK12" s="433" t="n">
        <f aca="false">(AI12-AJ12)*N12</f>
        <v>629112.199025628</v>
      </c>
      <c r="BM12" s="433" t="e">
        <f aca="false">BJ12-BK12</f>
        <v>#NAME?</v>
      </c>
    </row>
    <row r="13" customFormat="false" ht="16.5" hidden="false" customHeight="true" outlineLevel="0" collapsed="false">
      <c r="A13" s="59" t="n">
        <f aca="false">A12+1</f>
        <v>7</v>
      </c>
      <c r="C13" s="476" t="n">
        <v>31</v>
      </c>
      <c r="D13" s="477" t="s">
        <v>169</v>
      </c>
      <c r="E13" s="125" t="n">
        <f aca="false">E12+C12</f>
        <v>36708</v>
      </c>
      <c r="F13" s="425" t="n">
        <v>21</v>
      </c>
      <c r="G13" s="433" t="n">
        <f aca="false">C13-F13</f>
        <v>10</v>
      </c>
      <c r="H13" s="433"/>
      <c r="I13" s="433"/>
      <c r="J13" s="59" t="n">
        <f aca="false">K14-K13</f>
        <v>31</v>
      </c>
      <c r="K13" s="478" t="n">
        <v>36708</v>
      </c>
      <c r="L13" s="490" t="n">
        <v>0.063156630597147</v>
      </c>
      <c r="M13" s="491" t="n">
        <v>0.059501889247316</v>
      </c>
      <c r="N13" s="480" t="n">
        <f aca="false">(1+L13/2)^(-2*((K13+$T$1)-$K$1)/365.25)</f>
        <v>0.972632441915619</v>
      </c>
      <c r="O13" s="127" t="n">
        <f aca="false">VLOOKUP(K13,Inflation!$B$8:$C$266,2)</f>
        <v>1.01566251772754</v>
      </c>
      <c r="P13" s="480"/>
      <c r="Q13" s="481" t="n">
        <f aca="false">VLOOKUP(K13,'Fuel Curve'!$B$11:$F$268,5)</f>
        <v>5.38465517241379</v>
      </c>
      <c r="R13" s="482" t="n">
        <f aca="false">VLOOKUP(K13,'Fuel Curve Simulation'!$B$12:$J$258,9)</f>
        <v>5.38465517241379</v>
      </c>
      <c r="S13" s="481" t="n">
        <f aca="false">(R13*$S$2)/1000</f>
        <v>51.5796118965517</v>
      </c>
      <c r="T13" s="483"/>
      <c r="V13" s="128" t="n">
        <f aca="false">VLOOKUP(K13,PJM_01212000!$A$7:$C$259,3)</f>
        <v>103.75</v>
      </c>
      <c r="W13" s="128"/>
      <c r="X13" s="484" t="n">
        <f aca="false">'PJM Curve Simulation'!J13</f>
        <v>103.75</v>
      </c>
      <c r="Y13" s="489"/>
      <c r="Z13" s="483"/>
      <c r="AA13" s="59" t="n">
        <f aca="false">AA12</f>
        <v>315</v>
      </c>
      <c r="AB13" s="425" t="n">
        <f aca="false">AA13*F13*16</f>
        <v>105840</v>
      </c>
      <c r="AC13" s="425" t="n">
        <f aca="false">VLOOKUP(K13,'Company Volumes'!$B$20:$C$259,2)</f>
        <v>19621.4999775397</v>
      </c>
      <c r="AD13" s="485" t="n">
        <f aca="false">IF(V13&gt;S13+($AM$5*1000*O13),AA13*F13*16,0)</f>
        <v>105840</v>
      </c>
      <c r="AE13" s="425"/>
      <c r="AF13" s="425" t="n">
        <v>0</v>
      </c>
      <c r="AG13" s="425" t="n">
        <v>0</v>
      </c>
      <c r="AH13" s="425" t="n">
        <f aca="false">X13*AD13</f>
        <v>10980900</v>
      </c>
      <c r="AI13" s="425" t="n">
        <f aca="false">SUM(AF13:AH13)</f>
        <v>10980900</v>
      </c>
      <c r="AJ13" s="425" t="n">
        <f aca="false">(AD13*1000*$S$2)/1000000*R13</f>
        <v>5459186.12313104</v>
      </c>
      <c r="AK13" s="425" t="n">
        <f aca="false">($AK$5*O13)/12</f>
        <v>50783.125886377</v>
      </c>
      <c r="AL13" s="425" t="n">
        <f aca="false">($AL$5*O13)/12</f>
        <v>129496.971010261</v>
      </c>
      <c r="AM13" s="425" t="n">
        <f aca="false">AD13*$AM$5*1000*O13</f>
        <v>214995.441752566</v>
      </c>
      <c r="AN13" s="425" t="n">
        <f aca="false">(($AN$5*O13)/12)*$S$4</f>
        <v>116124.081193515</v>
      </c>
      <c r="AO13" s="425" t="n">
        <f aca="false">($AO$5*O13)/12</f>
        <v>25391.5629431885</v>
      </c>
      <c r="AP13" s="425" t="n">
        <f aca="false">AP12</f>
        <v>46500.5582152336</v>
      </c>
      <c r="AQ13" s="433" t="n">
        <f aca="false">SUM(AK13:AP13)</f>
        <v>583291.741001142</v>
      </c>
      <c r="AR13" s="425" t="n">
        <f aca="false">($AR$5*O13)/12</f>
        <v>12695.7814715943</v>
      </c>
      <c r="AS13" s="59" t="n">
        <v>0</v>
      </c>
      <c r="AT13" s="425" t="n">
        <f aca="false">(AI13/100)*$AT$6*O13</f>
        <v>66917.3312454861</v>
      </c>
      <c r="AU13" s="433" t="n">
        <f aca="false">SUM(AJ13:AT13)-AQ13</f>
        <v>6122090.97684926</v>
      </c>
      <c r="AV13" s="433" t="n">
        <f aca="false">AI13-AU13</f>
        <v>4858809.02315074</v>
      </c>
      <c r="AW13" s="493"/>
      <c r="AX13" s="423" t="n">
        <f aca="false">K13</f>
        <v>36708</v>
      </c>
      <c r="BA13" s="126"/>
      <c r="BB13" s="481" t="n">
        <f aca="false">X13</f>
        <v>103.75</v>
      </c>
      <c r="BC13" s="481" t="n">
        <f aca="false">'Curve Analysis - Base Case'!D5</f>
        <v>53.6109369320068</v>
      </c>
      <c r="BD13" s="479" t="n">
        <f aca="false">L13</f>
        <v>0.063156630597147</v>
      </c>
      <c r="BE13" s="479" t="n">
        <f aca="false">L13</f>
        <v>0.063156630597147</v>
      </c>
      <c r="BF13" s="489" t="n">
        <f aca="false">PJM_01212000!X13</f>
        <v>0.55</v>
      </c>
      <c r="BG13" s="425" t="n">
        <f aca="false">(AX13+15)-$K$1</f>
        <v>134</v>
      </c>
      <c r="BH13" s="433" t="n">
        <f aca="false">AD13</f>
        <v>105840</v>
      </c>
      <c r="BJ13" s="486" t="e">
        <f aca="false">EURO(BB13,BC13,BD13,BE13,BF13,BG13,1,0)*BH13</f>
        <v>#NAME?</v>
      </c>
      <c r="BK13" s="433" t="n">
        <f aca="false">(AI13-AJ13)*N13</f>
        <v>5370598.05161842</v>
      </c>
      <c r="BM13" s="433" t="e">
        <f aca="false">BJ13-BK13</f>
        <v>#NAME?</v>
      </c>
    </row>
    <row r="14" customFormat="false" ht="16.5" hidden="false" customHeight="true" outlineLevel="0" collapsed="false">
      <c r="A14" s="59" t="n">
        <f aca="false">A13+1</f>
        <v>8</v>
      </c>
      <c r="C14" s="476" t="n">
        <v>31</v>
      </c>
      <c r="D14" s="477" t="s">
        <v>170</v>
      </c>
      <c r="E14" s="125" t="n">
        <f aca="false">E13+C13</f>
        <v>36739</v>
      </c>
      <c r="F14" s="425" t="n">
        <v>23</v>
      </c>
      <c r="G14" s="433" t="n">
        <f aca="false">C14-F14</f>
        <v>8</v>
      </c>
      <c r="H14" s="433"/>
      <c r="I14" s="433"/>
      <c r="J14" s="59" t="n">
        <f aca="false">K15-K14</f>
        <v>31</v>
      </c>
      <c r="K14" s="478" t="n">
        <v>36739</v>
      </c>
      <c r="L14" s="490" t="n">
        <v>0.063794910183085</v>
      </c>
      <c r="M14" s="491" t="n">
        <v>0.060184138469651</v>
      </c>
      <c r="N14" s="480" t="n">
        <f aca="false">(1+L14/2)^(-2*((K14+$T$1)-$K$1)/365.25)</f>
        <v>0.967195108750546</v>
      </c>
      <c r="O14" s="127" t="n">
        <f aca="false">VLOOKUP(K14,Inflation!$B$8:$C$266,2)</f>
        <v>1.0179199569613</v>
      </c>
      <c r="P14" s="480"/>
      <c r="Q14" s="481" t="n">
        <f aca="false">VLOOKUP(K14,'Fuel Curve'!$B$11:$F$268,5)</f>
        <v>5.39189655172414</v>
      </c>
      <c r="R14" s="482" t="n">
        <f aca="false">VLOOKUP(K14,'Fuel Curve Simulation'!$B$12:$J$258,9)</f>
        <v>5.39189655172414</v>
      </c>
      <c r="S14" s="481" t="n">
        <f aca="false">(R14*$S$2)/1000</f>
        <v>51.6489770689655</v>
      </c>
      <c r="T14" s="483"/>
      <c r="V14" s="128" t="n">
        <f aca="false">VLOOKUP(K14,PJM_01212000!$A$7:$C$259,3)</f>
        <v>90.75</v>
      </c>
      <c r="W14" s="128"/>
      <c r="X14" s="484" t="n">
        <f aca="false">'PJM Curve Simulation'!J14</f>
        <v>90.75</v>
      </c>
      <c r="Y14" s="489"/>
      <c r="Z14" s="483"/>
      <c r="AA14" s="59" t="n">
        <f aca="false">AA13</f>
        <v>315</v>
      </c>
      <c r="AB14" s="425" t="n">
        <f aca="false">AA14*F14*16</f>
        <v>115920</v>
      </c>
      <c r="AC14" s="425" t="n">
        <f aca="false">VLOOKUP(K14,'Company Volumes'!$B$20:$C$259,2)</f>
        <v>13080.9999853619</v>
      </c>
      <c r="AD14" s="485" t="n">
        <f aca="false">IF(V14&gt;S14+($AM$5*1000*O14),AA14*F14*16,0)</f>
        <v>115920</v>
      </c>
      <c r="AE14" s="425"/>
      <c r="AF14" s="425" t="n">
        <v>0</v>
      </c>
      <c r="AG14" s="425" t="n">
        <v>0</v>
      </c>
      <c r="AH14" s="425" t="n">
        <f aca="false">X14*AD14</f>
        <v>10519740</v>
      </c>
      <c r="AI14" s="425" t="n">
        <f aca="false">SUM(AF14:AH14)</f>
        <v>10519740</v>
      </c>
      <c r="AJ14" s="425" t="n">
        <f aca="false">(AD14*1000*$S$2)/1000000*R14</f>
        <v>5987149.42183448</v>
      </c>
      <c r="AK14" s="425" t="n">
        <f aca="false">($AK$5*O14)/12</f>
        <v>50895.9978480648</v>
      </c>
      <c r="AL14" s="425" t="n">
        <f aca="false">($AL$5*O14)/12</f>
        <v>129784.794512565</v>
      </c>
      <c r="AM14" s="425" t="n">
        <f aca="false">AD14*$AM$5*1000*O14</f>
        <v>235994.562821907</v>
      </c>
      <c r="AN14" s="425" t="n">
        <f aca="false">(($AN$5*O14)/12)*$S$4</f>
        <v>116382.181745908</v>
      </c>
      <c r="AO14" s="425" t="n">
        <f aca="false">($AO$5*O14)/12</f>
        <v>25447.9989240324</v>
      </c>
      <c r="AP14" s="425" t="n">
        <f aca="false">AP13</f>
        <v>46500.5582152336</v>
      </c>
      <c r="AQ14" s="433" t="n">
        <f aca="false">SUM(AK14:AP14)</f>
        <v>605006.094067712</v>
      </c>
      <c r="AR14" s="425" t="n">
        <f aca="false">($AR$5*O14)/12</f>
        <v>12723.9994620162</v>
      </c>
      <c r="AS14" s="59" t="n">
        <v>0</v>
      </c>
      <c r="AT14" s="425" t="n">
        <f aca="false">(AI14/100)*$AT$6*O14</f>
        <v>64249.5197282642</v>
      </c>
      <c r="AU14" s="433" t="n">
        <f aca="false">SUM(AJ14:AT14)-AQ14</f>
        <v>6669129.03509248</v>
      </c>
      <c r="AV14" s="433" t="n">
        <f aca="false">AI14-AU14</f>
        <v>3850610.96490753</v>
      </c>
      <c r="AW14" s="493"/>
      <c r="AX14" s="423" t="n">
        <f aca="false">K14</f>
        <v>36739</v>
      </c>
      <c r="BA14" s="126"/>
      <c r="BB14" s="481" t="n">
        <f aca="false">X14</f>
        <v>90.75</v>
      </c>
      <c r="BC14" s="481" t="n">
        <f aca="false">'Curve Analysis - Base Case'!D6</f>
        <v>53.6848169828881</v>
      </c>
      <c r="BD14" s="479" t="n">
        <f aca="false">L14</f>
        <v>0.063794910183085</v>
      </c>
      <c r="BE14" s="479" t="n">
        <f aca="false">L14</f>
        <v>0.063794910183085</v>
      </c>
      <c r="BF14" s="489" t="n">
        <f aca="false">PJM_01212000!X14</f>
        <v>0.52</v>
      </c>
      <c r="BG14" s="425" t="n">
        <f aca="false">(AX14+15)-$K$1</f>
        <v>165</v>
      </c>
      <c r="BH14" s="433" t="n">
        <f aca="false">AD14</f>
        <v>115920</v>
      </c>
      <c r="BJ14" s="486" t="e">
        <f aca="false">EURO(BB14,BC14,BD14,BE14,BF14,BG14,1,0)*BH14</f>
        <v>#NAME?</v>
      </c>
      <c r="BK14" s="433" t="n">
        <f aca="false">(AI14-AJ14)*N14</f>
        <v>4383899.4371705</v>
      </c>
      <c r="BM14" s="433" t="e">
        <f aca="false">BJ14-BK14</f>
        <v>#NAME?</v>
      </c>
    </row>
    <row r="15" customFormat="false" ht="16.5" hidden="false" customHeight="true" outlineLevel="0" collapsed="false">
      <c r="A15" s="59" t="n">
        <f aca="false">A14+1</f>
        <v>9</v>
      </c>
      <c r="C15" s="476" t="n">
        <v>30</v>
      </c>
      <c r="D15" s="477" t="s">
        <v>171</v>
      </c>
      <c r="E15" s="125" t="n">
        <f aca="false">E14+C14</f>
        <v>36770</v>
      </c>
      <c r="F15" s="425" t="n">
        <v>21</v>
      </c>
      <c r="G15" s="433" t="n">
        <f aca="false">C15-F15</f>
        <v>9</v>
      </c>
      <c r="H15" s="433"/>
      <c r="I15" s="433"/>
      <c r="J15" s="59" t="n">
        <f aca="false">K16-K15</f>
        <v>30</v>
      </c>
      <c r="K15" s="478" t="n">
        <v>36770</v>
      </c>
      <c r="L15" s="490" t="n">
        <v>0.064433189904138</v>
      </c>
      <c r="M15" s="491" t="n">
        <v>0.060866390939501</v>
      </c>
      <c r="N15" s="480" t="n">
        <f aca="false">(1+L15/2)^(-2*((K15+$T$1)-$K$1)/365.25)</f>
        <v>0.961687290353495</v>
      </c>
      <c r="O15" s="127" t="n">
        <f aca="false">VLOOKUP(K15,Inflation!$B$8:$C$266,2)</f>
        <v>1.02018241364111</v>
      </c>
      <c r="P15" s="480"/>
      <c r="Q15" s="481" t="n">
        <f aca="false">VLOOKUP(K15,'Fuel Curve'!$B$11:$F$268,5)</f>
        <v>5.40275862068966</v>
      </c>
      <c r="R15" s="482" t="n">
        <f aca="false">VLOOKUP(K15,'Fuel Curve Simulation'!$B$12:$J$258,9)</f>
        <v>5.40275862068966</v>
      </c>
      <c r="S15" s="481" t="n">
        <f aca="false">(R15*$S$2)/1000</f>
        <v>51.7530248275862</v>
      </c>
      <c r="T15" s="483"/>
      <c r="V15" s="128" t="n">
        <f aca="false">VLOOKUP(K15,PJM_01212000!$A$7:$C$259,3)</f>
        <v>35.5499992370606</v>
      </c>
      <c r="W15" s="128"/>
      <c r="X15" s="484" t="n">
        <f aca="false">'PJM Curve Simulation'!J15</f>
        <v>35.5499992370606</v>
      </c>
      <c r="Y15" s="489"/>
      <c r="Z15" s="483"/>
      <c r="AA15" s="59" t="n">
        <f aca="false">AA14</f>
        <v>315</v>
      </c>
      <c r="AB15" s="425" t="n">
        <f aca="false">AA15*F15*16</f>
        <v>105840</v>
      </c>
      <c r="AC15" s="425" t="n">
        <f aca="false">VLOOKUP(K15,'Company Volumes'!$B$20:$C$259,2)</f>
        <v>6674.24003292381</v>
      </c>
      <c r="AD15" s="485" t="n">
        <f aca="false">IF(V15&gt;S15+($AM$5*1000*O15),AA15*F15*16,0)</f>
        <v>0</v>
      </c>
      <c r="AE15" s="425"/>
      <c r="AF15" s="425" t="n">
        <v>0</v>
      </c>
      <c r="AG15" s="425" t="n">
        <v>0</v>
      </c>
      <c r="AH15" s="425" t="n">
        <f aca="false">X15*AD15</f>
        <v>0</v>
      </c>
      <c r="AI15" s="425" t="n">
        <f aca="false">SUM(AF15:AH15)</f>
        <v>0</v>
      </c>
      <c r="AJ15" s="425" t="n">
        <f aca="false">(AD15*1000*$S$2)/1000000*R15</f>
        <v>0</v>
      </c>
      <c r="AK15" s="425" t="n">
        <f aca="false">($AK$5*O15)/12</f>
        <v>51009.1206820555</v>
      </c>
      <c r="AL15" s="425" t="n">
        <f aca="false">($AL$5*O15)/12</f>
        <v>130073.257739241</v>
      </c>
      <c r="AM15" s="425" t="n">
        <f aca="false">AD15*$AM$5*1000*O15</f>
        <v>0</v>
      </c>
      <c r="AN15" s="425" t="n">
        <f aca="false">(($AN$5*O15)/12)*$S$4</f>
        <v>116640.855959634</v>
      </c>
      <c r="AO15" s="425" t="n">
        <f aca="false">($AO$5*O15)/12</f>
        <v>25504.5603410277</v>
      </c>
      <c r="AP15" s="425" t="n">
        <f aca="false">AP14</f>
        <v>46500.5582152336</v>
      </c>
      <c r="AQ15" s="433" t="n">
        <f aca="false">SUM(AK15:AP15)</f>
        <v>369728.352937192</v>
      </c>
      <c r="AR15" s="425" t="n">
        <f aca="false">($AR$5*O15)/12</f>
        <v>12752.2801705139</v>
      </c>
      <c r="AS15" s="59" t="n">
        <v>0</v>
      </c>
      <c r="AT15" s="425" t="n">
        <f aca="false">(AI15/100)*$AT$6*O15</f>
        <v>0</v>
      </c>
      <c r="AU15" s="433" t="n">
        <f aca="false">SUM(AJ15:AT15)-AQ15</f>
        <v>382480.633107706</v>
      </c>
      <c r="AV15" s="433" t="n">
        <f aca="false">AI15-AU15</f>
        <v>-382480.633107706</v>
      </c>
      <c r="AW15" s="493"/>
      <c r="AX15" s="423" t="n">
        <f aca="false">K15</f>
        <v>36770</v>
      </c>
      <c r="BA15" s="126"/>
      <c r="BB15" s="481" t="n">
        <f aca="false">X15</f>
        <v>35.5499992370606</v>
      </c>
      <c r="BC15" s="481" t="n">
        <f aca="false">'Curve Analysis - Base Case'!D7</f>
        <v>53.7933896548684</v>
      </c>
      <c r="BD15" s="479" t="n">
        <f aca="false">L15</f>
        <v>0.064433189904138</v>
      </c>
      <c r="BE15" s="479" t="n">
        <f aca="false">L15</f>
        <v>0.064433189904138</v>
      </c>
      <c r="BF15" s="489" t="n">
        <f aca="false">PJM_01212000!X15</f>
        <v>0.32</v>
      </c>
      <c r="BG15" s="425" t="n">
        <f aca="false">(AX15+15)-$K$1</f>
        <v>196</v>
      </c>
      <c r="BH15" s="433" t="n">
        <f aca="false">AD15</f>
        <v>0</v>
      </c>
      <c r="BJ15" s="486" t="e">
        <f aca="false">EURO(BB15,BC15,BD15,BE15,BF15,BG15,1,0)*BH15</f>
        <v>#NAME?</v>
      </c>
      <c r="BK15" s="433" t="n">
        <f aca="false">(AI15-AJ15)*N15</f>
        <v>0</v>
      </c>
      <c r="BM15" s="433" t="e">
        <f aca="false">BJ15-BK15</f>
        <v>#NAME?</v>
      </c>
    </row>
    <row r="16" customFormat="false" ht="16.5" hidden="false" customHeight="true" outlineLevel="0" collapsed="false">
      <c r="A16" s="59" t="n">
        <f aca="false">A15+1</f>
        <v>10</v>
      </c>
      <c r="C16" s="476" t="n">
        <v>31</v>
      </c>
      <c r="D16" s="477" t="s">
        <v>172</v>
      </c>
      <c r="E16" s="125" t="n">
        <f aca="false">E15+C15</f>
        <v>36800</v>
      </c>
      <c r="F16" s="425" t="n">
        <v>22</v>
      </c>
      <c r="G16" s="433" t="n">
        <f aca="false">C16-F16</f>
        <v>9</v>
      </c>
      <c r="H16" s="433"/>
      <c r="I16" s="433"/>
      <c r="J16" s="59" t="n">
        <f aca="false">K17-K16</f>
        <v>31</v>
      </c>
      <c r="K16" s="478" t="n">
        <v>36800</v>
      </c>
      <c r="L16" s="490" t="n">
        <v>0.065011694486706</v>
      </c>
      <c r="M16" s="491" t="n">
        <v>0.061056155646</v>
      </c>
      <c r="N16" s="480" t="n">
        <f aca="false">(1+L16/2)^(-2*((K16+$T$1)-$K$1)/365.25)</f>
        <v>0.95631687732409</v>
      </c>
      <c r="O16" s="127" t="n">
        <f aca="false">VLOOKUP(K16,Inflation!$B$8:$C$266,2)</f>
        <v>1.02244989891889</v>
      </c>
      <c r="P16" s="480"/>
      <c r="Q16" s="481" t="n">
        <f aca="false">VLOOKUP(K16,'Fuel Curve'!$B$11:$F$268,5)</f>
        <v>5.41724137931035</v>
      </c>
      <c r="R16" s="482" t="n">
        <f aca="false">VLOOKUP(K16,'Fuel Curve Simulation'!$B$12:$J$258,9)</f>
        <v>5.41724137931035</v>
      </c>
      <c r="S16" s="481" t="n">
        <f aca="false">(R16*$S$2)/1000</f>
        <v>51.8917551724138</v>
      </c>
      <c r="T16" s="483"/>
      <c r="V16" s="128" t="n">
        <f aca="false">VLOOKUP(K16,PJM_01212000!$A$7:$C$259,3)</f>
        <v>25.4500007629395</v>
      </c>
      <c r="W16" s="128"/>
      <c r="X16" s="484" t="n">
        <f aca="false">'PJM Curve Simulation'!J16</f>
        <v>25.4500007629395</v>
      </c>
      <c r="Y16" s="489"/>
      <c r="Z16" s="483"/>
      <c r="AA16" s="59" t="n">
        <f aca="false">AA15</f>
        <v>315</v>
      </c>
      <c r="AB16" s="425" t="n">
        <f aca="false">AA16*F16*16</f>
        <v>110880</v>
      </c>
      <c r="AC16" s="425" t="n">
        <f aca="false">VLOOKUP(K16,'Company Volumes'!$B$20:$C$259,2)</f>
        <v>1294.19873570794</v>
      </c>
      <c r="AD16" s="485" t="n">
        <f aca="false">IF(V16&gt;S16+($AM$5*1000*O16),AA16*F16*16,0)</f>
        <v>0</v>
      </c>
      <c r="AE16" s="425"/>
      <c r="AF16" s="425" t="n">
        <v>0</v>
      </c>
      <c r="AG16" s="425" t="n">
        <v>0</v>
      </c>
      <c r="AH16" s="425" t="n">
        <f aca="false">X16*AD16</f>
        <v>0</v>
      </c>
      <c r="AI16" s="425" t="n">
        <f aca="false">SUM(AF16:AH16)</f>
        <v>0</v>
      </c>
      <c r="AJ16" s="425" t="n">
        <f aca="false">(AD16*1000*$S$2)/1000000*R16</f>
        <v>0</v>
      </c>
      <c r="AK16" s="425" t="n">
        <f aca="false">($AK$5*O16)/12</f>
        <v>51122.4949459446</v>
      </c>
      <c r="AL16" s="425" t="n">
        <f aca="false">($AL$5*O16)/12</f>
        <v>130362.362112159</v>
      </c>
      <c r="AM16" s="425" t="n">
        <f aca="false">AD16*$AM$5*1000*O16</f>
        <v>0</v>
      </c>
      <c r="AN16" s="425" t="n">
        <f aca="false">(($AN$5*O16)/12)*$S$4</f>
        <v>116900.105109727</v>
      </c>
      <c r="AO16" s="425" t="n">
        <f aca="false">($AO$5*O16)/12</f>
        <v>25561.2474729723</v>
      </c>
      <c r="AP16" s="425" t="n">
        <f aca="false">AP15</f>
        <v>46500.5582152336</v>
      </c>
      <c r="AQ16" s="433" t="n">
        <f aca="false">SUM(AK16:AP16)</f>
        <v>370446.767856036</v>
      </c>
      <c r="AR16" s="425" t="n">
        <f aca="false">($AR$5*O16)/12</f>
        <v>12780.6237364861</v>
      </c>
      <c r="AS16" s="59" t="n">
        <v>0</v>
      </c>
      <c r="AT16" s="425" t="n">
        <f aca="false">(AI16/100)*$AT$6*O16</f>
        <v>0</v>
      </c>
      <c r="AU16" s="433" t="n">
        <f aca="false">SUM(AJ16:AT16)-AQ16</f>
        <v>383227.391592522</v>
      </c>
      <c r="AV16" s="433" t="n">
        <f aca="false">AI16-AU16</f>
        <v>-383227.391592522</v>
      </c>
      <c r="AW16" s="493"/>
      <c r="AX16" s="423" t="n">
        <f aca="false">K16</f>
        <v>36800</v>
      </c>
      <c r="BA16" s="126"/>
      <c r="BB16" s="481" t="n">
        <f aca="false">X16</f>
        <v>25.4500007629395</v>
      </c>
      <c r="BC16" s="481" t="n">
        <f aca="false">'Curve Analysis - Base Case'!D8</f>
        <v>53.9366549702516</v>
      </c>
      <c r="BD16" s="479" t="n">
        <f aca="false">L16</f>
        <v>0.065011694486706</v>
      </c>
      <c r="BE16" s="479" t="n">
        <f aca="false">L16</f>
        <v>0.065011694486706</v>
      </c>
      <c r="BF16" s="489" t="n">
        <f aca="false">PJM_01212000!X16</f>
        <v>0.21</v>
      </c>
      <c r="BG16" s="425" t="n">
        <f aca="false">(AX16+15)-$K$1</f>
        <v>226</v>
      </c>
      <c r="BH16" s="433" t="n">
        <f aca="false">AD16</f>
        <v>0</v>
      </c>
      <c r="BJ16" s="486" t="e">
        <f aca="false">EURO(BB16,BC16,BD16,BE16,BF16,BG16,1,0)*BH16</f>
        <v>#NAME?</v>
      </c>
      <c r="BK16" s="433" t="n">
        <f aca="false">(AI16-AJ16)*N16</f>
        <v>0</v>
      </c>
      <c r="BM16" s="433" t="e">
        <f aca="false">BJ16-BK16</f>
        <v>#NAME?</v>
      </c>
    </row>
    <row r="17" customFormat="false" ht="16.5" hidden="false" customHeight="false" outlineLevel="0" collapsed="false">
      <c r="A17" s="59" t="n">
        <f aca="false">A16+1</f>
        <v>11</v>
      </c>
      <c r="C17" s="476" t="n">
        <v>30</v>
      </c>
      <c r="D17" s="477" t="s">
        <v>173</v>
      </c>
      <c r="E17" s="125" t="n">
        <f aca="false">E16+C16</f>
        <v>36831</v>
      </c>
      <c r="F17" s="425" t="n">
        <v>22</v>
      </c>
      <c r="G17" s="433" t="n">
        <f aca="false">C17-F17</f>
        <v>8</v>
      </c>
      <c r="H17" s="433"/>
      <c r="I17" s="433"/>
      <c r="J17" s="59" t="n">
        <f aca="false">K18-K17</f>
        <v>30</v>
      </c>
      <c r="K17" s="478" t="n">
        <v>36831</v>
      </c>
      <c r="L17" s="490" t="n">
        <v>0.065536848233941</v>
      </c>
      <c r="M17" s="491" t="n">
        <v>0.061177451459186</v>
      </c>
      <c r="N17" s="480" t="n">
        <f aca="false">(1+L17/2)^(-2*((K17+$T$1)-$K$1)/365.25)</f>
        <v>0.950759489883635</v>
      </c>
      <c r="O17" s="127" t="n">
        <f aca="false">VLOOKUP(K17,Inflation!$B$8:$C$266,2)</f>
        <v>1.02472242397134</v>
      </c>
      <c r="P17" s="480"/>
      <c r="Q17" s="481" t="n">
        <f aca="false">VLOOKUP(K17,'Fuel Curve'!$B$11:$F$268,5)</f>
        <v>5.42810344827586</v>
      </c>
      <c r="R17" s="482" t="n">
        <f aca="false">VLOOKUP(K17,'Fuel Curve Simulation'!$B$12:$J$258,9)</f>
        <v>5.42810344827586</v>
      </c>
      <c r="S17" s="481" t="n">
        <f aca="false">(R17*$S$2)/1000</f>
        <v>51.9958029310345</v>
      </c>
      <c r="T17" s="483"/>
      <c r="V17" s="128" t="n">
        <f aca="false">VLOOKUP(K17,PJM_01212000!$A$7:$C$259,3)</f>
        <v>25.1499996185303</v>
      </c>
      <c r="W17" s="128"/>
      <c r="X17" s="484" t="n">
        <f aca="false">'PJM Curve Simulation'!J17</f>
        <v>25.1499996185303</v>
      </c>
      <c r="Y17" s="489"/>
      <c r="Z17" s="483"/>
      <c r="AA17" s="59" t="n">
        <f aca="false">AA16</f>
        <v>315</v>
      </c>
      <c r="AB17" s="425" t="n">
        <f aca="false">AA17*F17*16</f>
        <v>110880</v>
      </c>
      <c r="AC17" s="425" t="n">
        <f aca="false">VLOOKUP(K17,'Company Volumes'!$B$20:$C$259,2)</f>
        <v>2668.21728143175</v>
      </c>
      <c r="AD17" s="485" t="n">
        <f aca="false">IF(V17&gt;S17+($AM$5*1000*O17),AA17*F17*16,0)</f>
        <v>0</v>
      </c>
      <c r="AE17" s="425"/>
      <c r="AF17" s="425" t="n">
        <v>0</v>
      </c>
      <c r="AG17" s="425" t="n">
        <v>0</v>
      </c>
      <c r="AH17" s="425" t="n">
        <f aca="false">X17*AD17</f>
        <v>0</v>
      </c>
      <c r="AI17" s="425" t="n">
        <f aca="false">SUM(AF17:AH17)</f>
        <v>0</v>
      </c>
      <c r="AJ17" s="425" t="n">
        <f aca="false">(AD17*1000*$S$2)/1000000*R17</f>
        <v>0</v>
      </c>
      <c r="AK17" s="425" t="n">
        <f aca="false">($AK$5*O17)/12</f>
        <v>51236.1211985671</v>
      </c>
      <c r="AL17" s="425" t="n">
        <f aca="false">($AL$5*O17)/12</f>
        <v>130652.109056346</v>
      </c>
      <c r="AM17" s="425" t="n">
        <f aca="false">AD17*$AM$5*1000*O17</f>
        <v>0</v>
      </c>
      <c r="AN17" s="425" t="n">
        <f aca="false">(($AN$5*O17)/12)*$S$4</f>
        <v>117159.930474057</v>
      </c>
      <c r="AO17" s="425" t="n">
        <f aca="false">($AO$5*O17)/12</f>
        <v>25618.0605992835</v>
      </c>
      <c r="AP17" s="425" t="n">
        <f aca="false">AP16</f>
        <v>46500.5582152336</v>
      </c>
      <c r="AQ17" s="433" t="n">
        <f aca="false">SUM(AK17:AP17)</f>
        <v>371166.779543487</v>
      </c>
      <c r="AR17" s="425" t="n">
        <f aca="false">($AR$5*O17)/12</f>
        <v>12809.0302996418</v>
      </c>
      <c r="AS17" s="59" t="n">
        <v>0</v>
      </c>
      <c r="AT17" s="425" t="n">
        <f aca="false">(AI17/100)*$AT$6*O17</f>
        <v>0</v>
      </c>
      <c r="AU17" s="433" t="n">
        <f aca="false">SUM(AJ17:AT17)-AQ17</f>
        <v>383975.809843129</v>
      </c>
      <c r="AV17" s="433" t="n">
        <f aca="false">AI17-AU17</f>
        <v>-383975.809843129</v>
      </c>
      <c r="AW17" s="493"/>
      <c r="AX17" s="423" t="n">
        <f aca="false">K17</f>
        <v>36831</v>
      </c>
      <c r="BA17" s="126"/>
      <c r="BB17" s="481" t="n">
        <f aca="false">X17</f>
        <v>25.1499996185303</v>
      </c>
      <c r="BC17" s="481" t="n">
        <f aca="false">'Curve Analysis - Base Case'!D9</f>
        <v>54.0452477789772</v>
      </c>
      <c r="BD17" s="479" t="n">
        <f aca="false">L17</f>
        <v>0.065536848233941</v>
      </c>
      <c r="BE17" s="479" t="n">
        <f aca="false">L17</f>
        <v>0.065536848233941</v>
      </c>
      <c r="BF17" s="489" t="n">
        <f aca="false">PJM_01212000!X17</f>
        <v>0.2</v>
      </c>
      <c r="BG17" s="425" t="n">
        <f aca="false">(AX17+15)-$K$1</f>
        <v>257</v>
      </c>
      <c r="BH17" s="433" t="n">
        <f aca="false">AD17</f>
        <v>0</v>
      </c>
      <c r="BJ17" s="486" t="e">
        <f aca="false">EURO(BB17,BC17,BD17,BE17,BF17,BG17,1,0)*BH17</f>
        <v>#NAME?</v>
      </c>
      <c r="BK17" s="433" t="n">
        <f aca="false">(AI17-AJ17)*N17</f>
        <v>0</v>
      </c>
      <c r="BM17" s="433" t="e">
        <f aca="false">BJ17-BK17</f>
        <v>#NAME?</v>
      </c>
    </row>
    <row r="18" customFormat="false" ht="16.5" hidden="false" customHeight="false" outlineLevel="0" collapsed="false">
      <c r="A18" s="59" t="n">
        <f aca="false">A17+1</f>
        <v>12</v>
      </c>
      <c r="C18" s="494" t="n">
        <v>31</v>
      </c>
      <c r="D18" s="495" t="s">
        <v>174</v>
      </c>
      <c r="E18" s="125" t="n">
        <f aca="false">E17+C17</f>
        <v>36861</v>
      </c>
      <c r="F18" s="425" t="n">
        <v>21</v>
      </c>
      <c r="G18" s="433" t="n">
        <f aca="false">C18-F18</f>
        <v>10</v>
      </c>
      <c r="H18" s="433" t="n">
        <f aca="false">SUM(F7:G18)</f>
        <v>366</v>
      </c>
      <c r="I18" s="433"/>
      <c r="J18" s="59" t="n">
        <f aca="false">K19-K18</f>
        <v>31</v>
      </c>
      <c r="K18" s="478" t="n">
        <v>36861</v>
      </c>
      <c r="L18" s="490" t="n">
        <v>0.06604506162473</v>
      </c>
      <c r="M18" s="491" t="n">
        <v>0.061294834601901</v>
      </c>
      <c r="N18" s="480" t="n">
        <f aca="false">(1+L18/2)^(-2*((K18+$T$1)-$K$1)/365.25)</f>
        <v>0.945334521362693</v>
      </c>
      <c r="O18" s="127" t="n">
        <f aca="false">VLOOKUP(K18,Inflation!$B$8:$C$266,2)</f>
        <v>1.027</v>
      </c>
      <c r="P18" s="480"/>
      <c r="Q18" s="481" t="n">
        <f aca="false">VLOOKUP(K18,'Fuel Curve'!$B$11:$F$268,5)</f>
        <v>5.41</v>
      </c>
      <c r="R18" s="482" t="n">
        <f aca="false">VLOOKUP(K18,'Fuel Curve Simulation'!$B$12:$J$258,9)</f>
        <v>5.41</v>
      </c>
      <c r="S18" s="481" t="n">
        <f aca="false">(R18*$S$2)/1000</f>
        <v>51.82239</v>
      </c>
      <c r="T18" s="483"/>
      <c r="V18" s="128" t="n">
        <f aca="false">VLOOKUP(K18,PJM_01212000!$A$7:$C$259,3)</f>
        <v>27.375</v>
      </c>
      <c r="W18" s="128"/>
      <c r="X18" s="484" t="n">
        <f aca="false">'PJM Curve Simulation'!J18</f>
        <v>27.375</v>
      </c>
      <c r="Y18" s="489"/>
      <c r="Z18" s="483"/>
      <c r="AA18" s="59" t="n">
        <f aca="false">AA17</f>
        <v>315</v>
      </c>
      <c r="AB18" s="425" t="n">
        <f aca="false">AA18*F18*16</f>
        <v>105840</v>
      </c>
      <c r="AC18" s="425" t="n">
        <f aca="false">VLOOKUP(K18,'Company Volumes'!$B$20:$C$259,2)</f>
        <v>2668.21728143175</v>
      </c>
      <c r="AD18" s="485" t="n">
        <f aca="false">IF(V18&gt;S18+($AM$5*1000*O18),AA18*F18*16,0)</f>
        <v>0</v>
      </c>
      <c r="AE18" s="425"/>
      <c r="AF18" s="425" t="n">
        <v>0</v>
      </c>
      <c r="AG18" s="425" t="n">
        <v>0</v>
      </c>
      <c r="AH18" s="425" t="n">
        <f aca="false">X18*AD18</f>
        <v>0</v>
      </c>
      <c r="AI18" s="425" t="n">
        <f aca="false">SUM(AF18:AH18)</f>
        <v>0</v>
      </c>
      <c r="AJ18" s="425" t="n">
        <f aca="false">(AD18*1000*$S$2)/1000000*R18</f>
        <v>0</v>
      </c>
      <c r="AK18" s="425" t="n">
        <f aca="false">($AK$5*O18)/12</f>
        <v>51350</v>
      </c>
      <c r="AL18" s="425" t="n">
        <f aca="false">($AL$5*O18)/12</f>
        <v>130942.5</v>
      </c>
      <c r="AM18" s="425" t="n">
        <f aca="false">AD18*$AM$5*1000*O18</f>
        <v>0</v>
      </c>
      <c r="AN18" s="425" t="n">
        <f aca="false">(($AN$5*O18)/12)*$S$4</f>
        <v>117420.333333333</v>
      </c>
      <c r="AO18" s="425" t="n">
        <f aca="false">($AO$5*O18)/12</f>
        <v>25675</v>
      </c>
      <c r="AP18" s="425" t="n">
        <f aca="false">AP17</f>
        <v>46500.5582152336</v>
      </c>
      <c r="AQ18" s="433" t="n">
        <f aca="false">SUM(AK18:AP18)</f>
        <v>371888.391548567</v>
      </c>
      <c r="AR18" s="425" t="n">
        <f aca="false">($AR$5*O18)/12</f>
        <v>12837.5</v>
      </c>
      <c r="AS18" s="59" t="n">
        <v>0</v>
      </c>
      <c r="AT18" s="425" t="n">
        <f aca="false">(AI18/100)*$AT$6*O18</f>
        <v>0</v>
      </c>
      <c r="AU18" s="433" t="n">
        <f aca="false">SUM(AJ18:AT18)-AQ18</f>
        <v>384725.891548567</v>
      </c>
      <c r="AV18" s="433" t="n">
        <f aca="false">AI18-AU18</f>
        <v>-384725.891548567</v>
      </c>
      <c r="AW18" s="493"/>
      <c r="AX18" s="423" t="n">
        <f aca="false">K18</f>
        <v>36861</v>
      </c>
      <c r="AY18" s="425" t="n">
        <f aca="false">'Revenues &amp; Expenses'!H8</f>
        <v>0</v>
      </c>
      <c r="AZ18" s="425" t="n">
        <f aca="false">AY18*N18</f>
        <v>0</v>
      </c>
      <c r="BA18" s="126"/>
      <c r="BB18" s="481" t="n">
        <f aca="false">X18</f>
        <v>27.375</v>
      </c>
      <c r="BC18" s="481" t="n">
        <f aca="false">'Curve Analysis - Base Case'!D10</f>
        <v>53.87639</v>
      </c>
      <c r="BD18" s="479" t="n">
        <f aca="false">L18</f>
        <v>0.06604506162473</v>
      </c>
      <c r="BE18" s="479" t="n">
        <f aca="false">L18</f>
        <v>0.06604506162473</v>
      </c>
      <c r="BF18" s="489" t="n">
        <f aca="false">PJM_01212000!X18</f>
        <v>0.2</v>
      </c>
      <c r="BG18" s="425" t="n">
        <f aca="false">(AX18+15)-$K$1</f>
        <v>287</v>
      </c>
      <c r="BH18" s="433" t="n">
        <f aca="false">AD18</f>
        <v>0</v>
      </c>
      <c r="BJ18" s="486" t="e">
        <f aca="false">EURO(BB18,BC18,BD18,BE18,BF18,BG18,1,0)*BH18</f>
        <v>#NAME?</v>
      </c>
      <c r="BK18" s="433" t="n">
        <f aca="false">(AI18-AJ18)*N18</f>
        <v>0</v>
      </c>
      <c r="BM18" s="433" t="e">
        <f aca="false">BJ18-BK18</f>
        <v>#NAME?</v>
      </c>
    </row>
    <row r="19" customFormat="false" ht="16.5" hidden="false" customHeight="false" outlineLevel="0" collapsed="false">
      <c r="A19" s="59" t="n">
        <f aca="false">A18+1</f>
        <v>13</v>
      </c>
      <c r="C19" s="59" t="n">
        <v>31</v>
      </c>
      <c r="D19" s="59" t="s">
        <v>164</v>
      </c>
      <c r="E19" s="125" t="n">
        <f aca="false">E18+C18</f>
        <v>36892</v>
      </c>
      <c r="F19" s="425" t="n">
        <v>23</v>
      </c>
      <c r="G19" s="433" t="n">
        <f aca="false">C19-F19</f>
        <v>8</v>
      </c>
      <c r="H19" s="433"/>
      <c r="I19" s="433"/>
      <c r="J19" s="59" t="n">
        <f aca="false">K20-K19</f>
        <v>31</v>
      </c>
      <c r="K19" s="478" t="n">
        <v>36892</v>
      </c>
      <c r="L19" s="490" t="n">
        <v>0.066545865575548</v>
      </c>
      <c r="M19" s="491" t="n">
        <v>0.061416130616978</v>
      </c>
      <c r="N19" s="480" t="n">
        <f aca="false">(1+L19/2)^(-2*((K19+$T$1)-$K$1)/365.25)</f>
        <v>0.939702595645664</v>
      </c>
      <c r="O19" s="127" t="n">
        <f aca="false">VLOOKUP(K19,Inflation!$B$8:$C$266,2)</f>
        <v>1.0292826382313</v>
      </c>
      <c r="P19" s="480"/>
      <c r="Q19" s="481" t="n">
        <f aca="false">VLOOKUP(K19,'Fuel Curve'!$B$11:$F$268,5)</f>
        <v>5.33758620689655</v>
      </c>
      <c r="R19" s="482" t="n">
        <f aca="false">VLOOKUP(K19,'Fuel Curve Simulation'!$B$12:$J$258,9)</f>
        <v>5.33758620689655</v>
      </c>
      <c r="S19" s="481" t="n">
        <f aca="false">(R19*$S$2)/1000</f>
        <v>51.1287382758621</v>
      </c>
      <c r="T19" s="483"/>
      <c r="V19" s="128" t="n">
        <f aca="false">VLOOKUP(K19,PJM_01212000!$A$7:$C$259,3)</f>
        <v>35.2249984741211</v>
      </c>
      <c r="W19" s="128"/>
      <c r="X19" s="484" t="n">
        <f aca="false">'PJM Curve Simulation'!J19</f>
        <v>35.2249984741211</v>
      </c>
      <c r="Y19" s="489"/>
      <c r="Z19" s="483"/>
      <c r="AA19" s="59" t="n">
        <f aca="false">AA18</f>
        <v>315</v>
      </c>
      <c r="AB19" s="425" t="n">
        <f aca="false">AA19*F19*16</f>
        <v>115920</v>
      </c>
      <c r="AC19" s="425" t="n">
        <f aca="false">VLOOKUP(K19,'Company Volumes'!$B$20:$C$259,2)</f>
        <v>8959.67747221866</v>
      </c>
      <c r="AD19" s="485" t="n">
        <f aca="false">IF(V19&gt;S19+($AM$5*1000*O19),AA19*F19*16,0)</f>
        <v>0</v>
      </c>
      <c r="AE19" s="425"/>
      <c r="AF19" s="425" t="n">
        <v>0</v>
      </c>
      <c r="AG19" s="425" t="n">
        <v>0</v>
      </c>
      <c r="AH19" s="425" t="n">
        <f aca="false">X19*AD19</f>
        <v>0</v>
      </c>
      <c r="AI19" s="425" t="n">
        <f aca="false">SUM(AF19:AH19)</f>
        <v>0</v>
      </c>
      <c r="AJ19" s="425" t="n">
        <f aca="false">(AD19*1000*$S$2)/1000000*R19</f>
        <v>0</v>
      </c>
      <c r="AK19" s="425" t="n">
        <f aca="false">($AK$5*O19)/12</f>
        <v>51464.1319115652</v>
      </c>
      <c r="AL19" s="425" t="n">
        <f aca="false">($AL$5*O19)/12</f>
        <v>131233.536374491</v>
      </c>
      <c r="AM19" s="425" t="n">
        <f aca="false">AD19*$AM$5*1000*O19</f>
        <v>0</v>
      </c>
      <c r="AN19" s="425" t="n">
        <f aca="false">(($AN$5*O19)/12)*$S$4</f>
        <v>117681.314971113</v>
      </c>
      <c r="AO19" s="425" t="n">
        <f aca="false">($AO$5*O19)/12</f>
        <v>25732.0659557826</v>
      </c>
      <c r="AP19" s="425" t="n">
        <f aca="false">AP18</f>
        <v>46500.5582152336</v>
      </c>
      <c r="AQ19" s="433" t="n">
        <f aca="false">SUM(AK19:AP19)</f>
        <v>372611.607428185</v>
      </c>
      <c r="AR19" s="425" t="n">
        <f aca="false">($AR$5*O19)/12</f>
        <v>12866.0329778913</v>
      </c>
      <c r="AS19" s="433" t="n">
        <f aca="false">((AS4*0.0049)/12)+((AS3*AS6)/12)</f>
        <v>51061.5333333333</v>
      </c>
      <c r="AT19" s="425" t="n">
        <f aca="false">(AI19/100)*$AT$6*O19</f>
        <v>0</v>
      </c>
      <c r="AU19" s="433" t="n">
        <f aca="false">SUM(AJ19:AT19)-AQ19</f>
        <v>436539.17373941</v>
      </c>
      <c r="AV19" s="433" t="n">
        <f aca="false">AI19-AU19</f>
        <v>-436539.17373941</v>
      </c>
      <c r="AW19" s="493"/>
      <c r="AX19" s="423" t="n">
        <f aca="false">K19</f>
        <v>36892</v>
      </c>
      <c r="BA19" s="126"/>
      <c r="BB19" s="481" t="n">
        <f aca="false">X19</f>
        <v>35.2249984741211</v>
      </c>
      <c r="BC19" s="481" t="n">
        <f aca="false">'Curve Analysis - Base Case'!D11</f>
        <v>53.1873035523247</v>
      </c>
      <c r="BD19" s="479" t="n">
        <f aca="false">L19</f>
        <v>0.066545865575548</v>
      </c>
      <c r="BE19" s="479" t="n">
        <f aca="false">L19</f>
        <v>0.066545865575548</v>
      </c>
      <c r="BF19" s="489" t="n">
        <f aca="false">PJM_01212000!X19</f>
        <v>0.24</v>
      </c>
      <c r="BG19" s="425" t="n">
        <f aca="false">(AX19+15)-$K$1</f>
        <v>318</v>
      </c>
      <c r="BH19" s="433" t="n">
        <f aca="false">AD19</f>
        <v>0</v>
      </c>
      <c r="BJ19" s="486" t="e">
        <f aca="false">EURO(BB19,BC19,BD19,BE19,BF19,BG19,1,0)*BH19</f>
        <v>#NAME?</v>
      </c>
      <c r="BK19" s="433" t="n">
        <f aca="false">(AI19-AJ19)*N19</f>
        <v>0</v>
      </c>
      <c r="BM19" s="433" t="e">
        <f aca="false">BJ19-BK19</f>
        <v>#NAME?</v>
      </c>
    </row>
    <row r="20" customFormat="false" ht="16.5" hidden="false" customHeight="false" outlineLevel="0" collapsed="false">
      <c r="A20" s="59" t="n">
        <f aca="false">A19+1</f>
        <v>14</v>
      </c>
      <c r="C20" s="59" t="n">
        <v>28</v>
      </c>
      <c r="D20" s="59" t="s">
        <v>165</v>
      </c>
      <c r="E20" s="125" t="n">
        <f aca="false">E19+C19</f>
        <v>36923</v>
      </c>
      <c r="F20" s="425" t="n">
        <v>20</v>
      </c>
      <c r="G20" s="433" t="n">
        <f aca="false">C20-F20</f>
        <v>8</v>
      </c>
      <c r="H20" s="433"/>
      <c r="I20" s="433"/>
      <c r="J20" s="59" t="n">
        <f aca="false">K21-K20</f>
        <v>28</v>
      </c>
      <c r="K20" s="478" t="n">
        <v>36923</v>
      </c>
      <c r="L20" s="490" t="n">
        <v>0.067008115474421</v>
      </c>
      <c r="M20" s="491" t="n">
        <v>0.061537426734644</v>
      </c>
      <c r="N20" s="480" t="n">
        <f aca="false">(1+L20/2)^(-2*((K20+$T$1)-$K$1)/365.25)</f>
        <v>0.934063538891895</v>
      </c>
      <c r="O20" s="127" t="n">
        <f aca="false">VLOOKUP(K20,Inflation!$B$8:$C$266,2)</f>
        <v>1.03157034991665</v>
      </c>
      <c r="P20" s="480"/>
      <c r="Q20" s="481" t="n">
        <f aca="false">VLOOKUP(K20,'Fuel Curve'!$B$11:$F$268,5)</f>
        <v>5.18189655172414</v>
      </c>
      <c r="R20" s="482" t="n">
        <f aca="false">VLOOKUP(K20,'Fuel Curve Simulation'!$B$12:$J$258,9)</f>
        <v>5.18189655172414</v>
      </c>
      <c r="S20" s="481" t="n">
        <f aca="false">(R20*$S$2)/1000</f>
        <v>49.6373870689655</v>
      </c>
      <c r="T20" s="483"/>
      <c r="V20" s="128" t="n">
        <f aca="false">VLOOKUP(K20,PJM_01212000!$A$7:$C$259,3)</f>
        <v>35.2249984741211</v>
      </c>
      <c r="W20" s="128"/>
      <c r="X20" s="484" t="n">
        <f aca="false">'PJM Curve Simulation'!J20</f>
        <v>35.2249984741211</v>
      </c>
      <c r="Y20" s="489"/>
      <c r="Z20" s="483"/>
      <c r="AA20" s="59" t="n">
        <f aca="false">AA19</f>
        <v>315</v>
      </c>
      <c r="AB20" s="425" t="n">
        <f aca="false">AA20*F20*16</f>
        <v>100800</v>
      </c>
      <c r="AC20" s="425" t="n">
        <f aca="false">VLOOKUP(K20,'Company Volumes'!$B$20:$C$259,2)</f>
        <v>462.114819270222</v>
      </c>
      <c r="AD20" s="485" t="n">
        <f aca="false">IF(V20&gt;S20+($AM$5*1000*O20),AA20*F20*16,0)</f>
        <v>0</v>
      </c>
      <c r="AE20" s="425"/>
      <c r="AF20" s="425" t="n">
        <v>0</v>
      </c>
      <c r="AG20" s="425" t="n">
        <v>0</v>
      </c>
      <c r="AH20" s="425" t="n">
        <f aca="false">X20*AD20</f>
        <v>0</v>
      </c>
      <c r="AI20" s="425" t="n">
        <f aca="false">SUM(AF20:AH20)</f>
        <v>0</v>
      </c>
      <c r="AJ20" s="425" t="n">
        <f aca="false">(AD20*1000*$S$2)/1000000*R20</f>
        <v>0</v>
      </c>
      <c r="AK20" s="425" t="n">
        <f aca="false">($AK$5*O20)/12</f>
        <v>51578.5174958323</v>
      </c>
      <c r="AL20" s="425" t="n">
        <f aca="false">($AL$5*O20)/12</f>
        <v>131525.219614372</v>
      </c>
      <c r="AM20" s="425" t="n">
        <f aca="false">AD20*$AM$5*1000*O20</f>
        <v>0</v>
      </c>
      <c r="AN20" s="425" t="n">
        <f aca="false">(($AN$5*O20)/12)*$S$4</f>
        <v>117942.876673803</v>
      </c>
      <c r="AO20" s="425" t="n">
        <f aca="false">($AO$5*O20)/12</f>
        <v>25789.2587479161</v>
      </c>
      <c r="AP20" s="425" t="n">
        <f aca="false">AP19</f>
        <v>46500.5582152336</v>
      </c>
      <c r="AQ20" s="433" t="n">
        <f aca="false">SUM(AK20:AP20)</f>
        <v>373336.430747158</v>
      </c>
      <c r="AR20" s="425" t="n">
        <f aca="false">($AR$5*O20)/12</f>
        <v>12894.6293739581</v>
      </c>
      <c r="AS20" s="433" t="n">
        <f aca="false">AS19</f>
        <v>51061.5333333333</v>
      </c>
      <c r="AT20" s="425" t="n">
        <f aca="false">(AI20/100)*$AT$6*O20</f>
        <v>0</v>
      </c>
      <c r="AU20" s="433" t="n">
        <f aca="false">SUM(AJ20:AT20)-AQ20</f>
        <v>437292.593454449</v>
      </c>
      <c r="AV20" s="433" t="n">
        <f aca="false">AI20-AU20</f>
        <v>-437292.593454449</v>
      </c>
      <c r="AW20" s="493"/>
      <c r="AX20" s="423" t="n">
        <f aca="false">K20</f>
        <v>36923</v>
      </c>
      <c r="BA20" s="126"/>
      <c r="BB20" s="481" t="n">
        <f aca="false">X20</f>
        <v>35.2249984741211</v>
      </c>
      <c r="BC20" s="481" t="n">
        <f aca="false">'Curve Analysis - Base Case'!D12</f>
        <v>51.7005277687988</v>
      </c>
      <c r="BD20" s="479" t="n">
        <f aca="false">L20</f>
        <v>0.067008115474421</v>
      </c>
      <c r="BE20" s="479" t="n">
        <f aca="false">L20</f>
        <v>0.067008115474421</v>
      </c>
      <c r="BF20" s="489" t="n">
        <f aca="false">PJM_01212000!X20</f>
        <v>0.24</v>
      </c>
      <c r="BG20" s="425" t="n">
        <f aca="false">(AX20+15)-$K$1</f>
        <v>349</v>
      </c>
      <c r="BH20" s="433" t="n">
        <f aca="false">AD20</f>
        <v>0</v>
      </c>
      <c r="BJ20" s="486" t="e">
        <f aca="false">EURO(BB20,BC20,BD20,BE20,BF20,BG20,1,0)*BH20</f>
        <v>#NAME?</v>
      </c>
      <c r="BK20" s="433" t="n">
        <f aca="false">(AI20-AJ20)*N20</f>
        <v>0</v>
      </c>
      <c r="BM20" s="433" t="e">
        <f aca="false">BJ20-BK20</f>
        <v>#NAME?</v>
      </c>
    </row>
    <row r="21" customFormat="false" ht="16.5" hidden="false" customHeight="false" outlineLevel="0" collapsed="false">
      <c r="A21" s="59" t="n">
        <f aca="false">A20+1</f>
        <v>15</v>
      </c>
      <c r="C21" s="59" t="n">
        <v>31</v>
      </c>
      <c r="D21" s="59" t="s">
        <v>166</v>
      </c>
      <c r="E21" s="125" t="n">
        <f aca="false">E20+C20</f>
        <v>36951</v>
      </c>
      <c r="F21" s="425" t="n">
        <v>22</v>
      </c>
      <c r="G21" s="433" t="n">
        <f aca="false">C21-F21</f>
        <v>9</v>
      </c>
      <c r="H21" s="433"/>
      <c r="I21" s="433"/>
      <c r="J21" s="59" t="n">
        <f aca="false">K22-K21</f>
        <v>31</v>
      </c>
      <c r="K21" s="478" t="n">
        <v>36951</v>
      </c>
      <c r="L21" s="490" t="n">
        <v>0.067425631572931</v>
      </c>
      <c r="M21" s="491" t="n">
        <v>0.061646984606513</v>
      </c>
      <c r="N21" s="480" t="n">
        <f aca="false">(1+L21/2)^(-2*((K21+$T$1)-$K$1)/365.25)</f>
        <v>0.928938749434895</v>
      </c>
      <c r="O21" s="127" t="n">
        <f aca="false">VLOOKUP(K21,Inflation!$B$8:$C$266,2)</f>
        <v>1.03386314633242</v>
      </c>
      <c r="P21" s="480"/>
      <c r="Q21" s="481" t="n">
        <f aca="false">VLOOKUP(K21,'Fuel Curve'!$B$11:$F$268,5)</f>
        <v>5.02620689655173</v>
      </c>
      <c r="R21" s="482" t="n">
        <f aca="false">VLOOKUP(K21,'Fuel Curve Simulation'!$B$12:$J$258,9)</f>
        <v>5.02620689655173</v>
      </c>
      <c r="S21" s="481" t="n">
        <f aca="false">(R21*$S$2)/1000</f>
        <v>48.146035862069</v>
      </c>
      <c r="T21" s="483"/>
      <c r="V21" s="128" t="n">
        <f aca="false">VLOOKUP(K21,PJM_01212000!$A$7:$C$259,3)</f>
        <v>25.5750007629395</v>
      </c>
      <c r="W21" s="128"/>
      <c r="X21" s="484" t="n">
        <f aca="false">'PJM Curve Simulation'!J21</f>
        <v>25.5750007629395</v>
      </c>
      <c r="Y21" s="489"/>
      <c r="Z21" s="483"/>
      <c r="AA21" s="59" t="n">
        <f aca="false">AA20</f>
        <v>315</v>
      </c>
      <c r="AB21" s="425" t="n">
        <f aca="false">AA21*F21*16</f>
        <v>110880</v>
      </c>
      <c r="AC21" s="425" t="n">
        <f aca="false">VLOOKUP(K21,'Company Volumes'!$B$20:$C$259,2)</f>
        <v>462.114819270222</v>
      </c>
      <c r="AD21" s="485" t="n">
        <f aca="false">IF(V21&gt;S21+($AM$5*1000*O21),AA21*F21*16,0)</f>
        <v>0</v>
      </c>
      <c r="AE21" s="425"/>
      <c r="AF21" s="425" t="n">
        <v>0</v>
      </c>
      <c r="AG21" s="425" t="n">
        <v>0</v>
      </c>
      <c r="AH21" s="425" t="n">
        <f aca="false">X21*AD21</f>
        <v>0</v>
      </c>
      <c r="AI21" s="425" t="n">
        <f aca="false">SUM(AF21:AH21)</f>
        <v>0</v>
      </c>
      <c r="AJ21" s="425" t="n">
        <f aca="false">(AD21*1000*$S$2)/1000000*R21</f>
        <v>0</v>
      </c>
      <c r="AK21" s="425" t="n">
        <f aca="false">($AK$5*O21)/12</f>
        <v>51693.157316621</v>
      </c>
      <c r="AL21" s="425" t="n">
        <f aca="false">($AL$5*O21)/12</f>
        <v>131817.551157384</v>
      </c>
      <c r="AM21" s="425" t="n">
        <f aca="false">AD21*$AM$5*1000*O21</f>
        <v>0</v>
      </c>
      <c r="AN21" s="425" t="n">
        <f aca="false">(($AN$5*O21)/12)*$S$4</f>
        <v>118205.019730673</v>
      </c>
      <c r="AO21" s="425" t="n">
        <f aca="false">($AO$5*O21)/12</f>
        <v>25846.5786583105</v>
      </c>
      <c r="AP21" s="425" t="n">
        <f aca="false">AP20</f>
        <v>46500.5582152336</v>
      </c>
      <c r="AQ21" s="433" t="n">
        <f aca="false">SUM(AK21:AP21)</f>
        <v>374062.865078222</v>
      </c>
      <c r="AR21" s="425" t="n">
        <f aca="false">($AR$5*O21)/12</f>
        <v>12923.2893291552</v>
      </c>
      <c r="AS21" s="433" t="n">
        <f aca="false">AS20</f>
        <v>51061.5333333333</v>
      </c>
      <c r="AT21" s="425" t="n">
        <f aca="false">(AI21/100)*$AT$6*O21</f>
        <v>0</v>
      </c>
      <c r="AU21" s="433" t="n">
        <f aca="false">SUM(AJ21:AT21)-AQ21</f>
        <v>438047.687740711</v>
      </c>
      <c r="AV21" s="433" t="n">
        <f aca="false">AI21-AU21</f>
        <v>-438047.687740711</v>
      </c>
      <c r="AW21" s="493"/>
      <c r="AX21" s="423" t="n">
        <f aca="false">K21</f>
        <v>36951</v>
      </c>
      <c r="BA21" s="126"/>
      <c r="BB21" s="481" t="n">
        <f aca="false">X21</f>
        <v>25.5750007629395</v>
      </c>
      <c r="BC21" s="481" t="n">
        <f aca="false">'Curve Analysis - Base Case'!D13</f>
        <v>50.2137621547338</v>
      </c>
      <c r="BD21" s="479" t="n">
        <f aca="false">L21</f>
        <v>0.067425631572931</v>
      </c>
      <c r="BE21" s="479" t="n">
        <f aca="false">L21</f>
        <v>0.067425631572931</v>
      </c>
      <c r="BF21" s="489" t="n">
        <f aca="false">PJM_01212000!X21</f>
        <v>0.2</v>
      </c>
      <c r="BG21" s="425" t="n">
        <f aca="false">(AX21+15)-$K$1</f>
        <v>377</v>
      </c>
      <c r="BH21" s="433" t="n">
        <f aca="false">AD21</f>
        <v>0</v>
      </c>
      <c r="BJ21" s="486" t="e">
        <f aca="false">EURO(BB21,BC21,BD21,BE21,BF21,BG21,1,0)*BH21</f>
        <v>#NAME?</v>
      </c>
      <c r="BK21" s="433" t="n">
        <f aca="false">(AI21-AJ21)*N21</f>
        <v>0</v>
      </c>
      <c r="BM21" s="433" t="e">
        <f aca="false">BJ21-BK21</f>
        <v>#NAME?</v>
      </c>
    </row>
    <row r="22" customFormat="false" ht="16.5" hidden="false" customHeight="false" outlineLevel="0" collapsed="false">
      <c r="A22" s="59" t="n">
        <f aca="false">A21+1</f>
        <v>16</v>
      </c>
      <c r="C22" s="59" t="n">
        <v>30</v>
      </c>
      <c r="D22" s="59" t="s">
        <v>167</v>
      </c>
      <c r="E22" s="125" t="n">
        <f aca="false">E21+C21</f>
        <v>36982</v>
      </c>
      <c r="F22" s="425" t="n">
        <v>21</v>
      </c>
      <c r="G22" s="433" t="n">
        <f aca="false">C22-F22</f>
        <v>9</v>
      </c>
      <c r="H22" s="433"/>
      <c r="I22" s="433"/>
      <c r="J22" s="59" t="n">
        <f aca="false">K23-K22</f>
        <v>30</v>
      </c>
      <c r="K22" s="478" t="n">
        <v>36982</v>
      </c>
      <c r="L22" s="490" t="n">
        <v>0.067843658533167</v>
      </c>
      <c r="M22" s="491" t="n">
        <v>0.061949688268952</v>
      </c>
      <c r="N22" s="480" t="n">
        <f aca="false">(1+L22/2)^(-2*((K22+$T$1)-$K$1)/365.25)</f>
        <v>0.923278320771271</v>
      </c>
      <c r="O22" s="127" t="n">
        <f aca="false">VLOOKUP(K22,Inflation!$B$8:$C$266,2)</f>
        <v>1.03616103878009</v>
      </c>
      <c r="P22" s="480"/>
      <c r="Q22" s="481" t="n">
        <f aca="false">VLOOKUP(K22,'Fuel Curve'!$B$11:$F$268,5)</f>
        <v>4.87775862068966</v>
      </c>
      <c r="R22" s="482" t="n">
        <f aca="false">VLOOKUP(K22,'Fuel Curve Simulation'!$B$12:$J$258,9)</f>
        <v>4.87775862068966</v>
      </c>
      <c r="S22" s="481" t="n">
        <f aca="false">(R22*$S$2)/1000</f>
        <v>46.7240498275862</v>
      </c>
      <c r="T22" s="483"/>
      <c r="V22" s="128" t="n">
        <f aca="false">VLOOKUP(K22,PJM_01212000!$A$7:$C$259,3)</f>
        <v>25.5750007629395</v>
      </c>
      <c r="W22" s="128"/>
      <c r="X22" s="484" t="n">
        <f aca="false">'PJM Curve Simulation'!J22</f>
        <v>25.5750007629395</v>
      </c>
      <c r="Y22" s="489"/>
      <c r="Z22" s="483"/>
      <c r="AA22" s="59" t="n">
        <f aca="false">AA21</f>
        <v>315</v>
      </c>
      <c r="AB22" s="425" t="n">
        <f aca="false">AA22*F22*16</f>
        <v>105840</v>
      </c>
      <c r="AC22" s="425" t="n">
        <f aca="false">VLOOKUP(K22,'Company Volumes'!$B$20:$C$259,2)</f>
        <v>5959.75150852978</v>
      </c>
      <c r="AD22" s="485" t="n">
        <f aca="false">IF(V22&gt;S22+($AM$5*1000*O22),AA22*F22*16,0)</f>
        <v>0</v>
      </c>
      <c r="AE22" s="425"/>
      <c r="AF22" s="425" t="n">
        <v>0</v>
      </c>
      <c r="AG22" s="425" t="n">
        <v>0</v>
      </c>
      <c r="AH22" s="425" t="n">
        <f aca="false">X22*AD22</f>
        <v>0</v>
      </c>
      <c r="AI22" s="425" t="n">
        <f aca="false">SUM(AF22:AH22)</f>
        <v>0</v>
      </c>
      <c r="AJ22" s="425" t="n">
        <f aca="false">(AD22*1000*$S$2)/1000000*R22</f>
        <v>0</v>
      </c>
      <c r="AK22" s="425" t="n">
        <f aca="false">($AK$5*O22)/12</f>
        <v>51808.0519390044</v>
      </c>
      <c r="AL22" s="425" t="n">
        <f aca="false">($AL$5*O22)/12</f>
        <v>132110.532444461</v>
      </c>
      <c r="AM22" s="425" t="n">
        <f aca="false">AD22*$AM$5*1000*O22</f>
        <v>0</v>
      </c>
      <c r="AN22" s="425" t="n">
        <f aca="false">(($AN$5*O22)/12)*$S$4</f>
        <v>118467.745433857</v>
      </c>
      <c r="AO22" s="425" t="n">
        <f aca="false">($AO$5*O22)/12</f>
        <v>25904.0259695022</v>
      </c>
      <c r="AP22" s="425" t="n">
        <f aca="false">AP21</f>
        <v>46500.5582152336</v>
      </c>
      <c r="AQ22" s="433" t="n">
        <f aca="false">SUM(AK22:AP22)</f>
        <v>374790.914002058</v>
      </c>
      <c r="AR22" s="425" t="n">
        <f aca="false">($AR$5*O22)/12</f>
        <v>12952.0129847511</v>
      </c>
      <c r="AS22" s="433" t="n">
        <f aca="false">AS21</f>
        <v>51061.5333333333</v>
      </c>
      <c r="AT22" s="425" t="n">
        <f aca="false">(AI22/100)*$AT$6*O22</f>
        <v>0</v>
      </c>
      <c r="AU22" s="433" t="n">
        <f aca="false">SUM(AJ22:AT22)-AQ22</f>
        <v>438804.460320143</v>
      </c>
      <c r="AV22" s="433" t="n">
        <f aca="false">AI22-AU22</f>
        <v>-438804.460320143</v>
      </c>
      <c r="AW22" s="493"/>
      <c r="AX22" s="423" t="n">
        <f aca="false">K22</f>
        <v>36982</v>
      </c>
      <c r="BA22" s="126"/>
      <c r="BB22" s="481" t="n">
        <f aca="false">X22</f>
        <v>25.5750007629395</v>
      </c>
      <c r="BC22" s="481" t="n">
        <f aca="false">'Curve Analysis - Base Case'!D14</f>
        <v>48.7963719051464</v>
      </c>
      <c r="BD22" s="479" t="n">
        <f aca="false">L22</f>
        <v>0.067843658533167</v>
      </c>
      <c r="BE22" s="479" t="n">
        <f aca="false">L22</f>
        <v>0.067843658533167</v>
      </c>
      <c r="BF22" s="489" t="n">
        <f aca="false">PJM_01212000!X22</f>
        <v>0.19</v>
      </c>
      <c r="BG22" s="425" t="n">
        <f aca="false">(AX22+15)-$K$1</f>
        <v>408</v>
      </c>
      <c r="BH22" s="433" t="n">
        <f aca="false">AD22</f>
        <v>0</v>
      </c>
      <c r="BJ22" s="486" t="e">
        <f aca="false">EURO(BB22,BC22,BD22,BE22,BF22,BG22,1,0)*BH22</f>
        <v>#NAME?</v>
      </c>
      <c r="BK22" s="433" t="n">
        <f aca="false">(AI22-AJ22)*N22</f>
        <v>0</v>
      </c>
      <c r="BM22" s="433" t="e">
        <f aca="false">BJ22-BK22</f>
        <v>#NAME?</v>
      </c>
    </row>
    <row r="23" customFormat="false" ht="16.5" hidden="false" customHeight="false" outlineLevel="0" collapsed="false">
      <c r="A23" s="59" t="n">
        <f aca="false">A22+1</f>
        <v>17</v>
      </c>
      <c r="C23" s="59" t="n">
        <v>31</v>
      </c>
      <c r="D23" s="59" t="s">
        <v>29</v>
      </c>
      <c r="E23" s="125" t="n">
        <f aca="false">E22+C22</f>
        <v>37012</v>
      </c>
      <c r="F23" s="425" t="n">
        <v>23</v>
      </c>
      <c r="G23" s="433" t="n">
        <f aca="false">C23-F23</f>
        <v>8</v>
      </c>
      <c r="H23" s="433"/>
      <c r="I23" s="433"/>
      <c r="J23" s="59" t="n">
        <f aca="false">K24-K23</f>
        <v>31</v>
      </c>
      <c r="K23" s="478" t="n">
        <v>37012</v>
      </c>
      <c r="L23" s="490" t="n">
        <v>0.068169636069557</v>
      </c>
      <c r="M23" s="491" t="n">
        <v>0.062248479771043</v>
      </c>
      <c r="N23" s="480" t="n">
        <f aca="false">(1+L23/2)^(-2*((K23+$T$1)-$K$1)/365.25)</f>
        <v>0.917862595226578</v>
      </c>
      <c r="O23" s="127" t="n">
        <f aca="false">VLOOKUP(K23,Inflation!$B$8:$C$266,2)</f>
        <v>1.03846403858623</v>
      </c>
      <c r="P23" s="480"/>
      <c r="Q23" s="481" t="n">
        <f aca="false">VLOOKUP(K23,'Fuel Curve'!$B$11:$F$268,5)</f>
        <v>4.76551724137931</v>
      </c>
      <c r="R23" s="482" t="n">
        <f aca="false">VLOOKUP(K23,'Fuel Curve Simulation'!$B$12:$J$258,9)</f>
        <v>4.76551724137931</v>
      </c>
      <c r="S23" s="481" t="n">
        <f aca="false">(R23*$S$2)/1000</f>
        <v>45.6488896551724</v>
      </c>
      <c r="T23" s="483"/>
      <c r="V23" s="128" t="n">
        <f aca="false">VLOOKUP(K23,PJM_01212000!$A$7:$C$259,3)</f>
        <v>30.875</v>
      </c>
      <c r="W23" s="128"/>
      <c r="X23" s="484" t="n">
        <f aca="false">'PJM Curve Simulation'!J23</f>
        <v>30.875</v>
      </c>
      <c r="Y23" s="489"/>
      <c r="Z23" s="483"/>
      <c r="AA23" s="59" t="n">
        <f aca="false">AA22</f>
        <v>315</v>
      </c>
      <c r="AB23" s="425" t="n">
        <f aca="false">AA23*F23*16</f>
        <v>115920</v>
      </c>
      <c r="AC23" s="425" t="n">
        <f aca="false">VLOOKUP(K23,'Company Volumes'!$B$20:$C$259,2)</f>
        <v>13502.4352856556</v>
      </c>
      <c r="AD23" s="485" t="n">
        <f aca="false">IF(V23&gt;S23+($AM$5*1000*O23),AA23*F23*16,0)</f>
        <v>0</v>
      </c>
      <c r="AE23" s="425"/>
      <c r="AF23" s="425" t="n">
        <v>0</v>
      </c>
      <c r="AG23" s="425" t="n">
        <v>0</v>
      </c>
      <c r="AH23" s="425" t="n">
        <f aca="false">X23*AD23</f>
        <v>0</v>
      </c>
      <c r="AI23" s="425" t="n">
        <f aca="false">SUM(AF23:AH23)</f>
        <v>0</v>
      </c>
      <c r="AJ23" s="425" t="n">
        <f aca="false">(AD23*1000*$S$2)/1000000*R23</f>
        <v>0</v>
      </c>
      <c r="AK23" s="425" t="n">
        <f aca="false">($AK$5*O23)/12</f>
        <v>51923.2019293115</v>
      </c>
      <c r="AL23" s="425" t="n">
        <f aca="false">($AL$5*O23)/12</f>
        <v>132404.164919744</v>
      </c>
      <c r="AM23" s="425" t="n">
        <f aca="false">AD23*$AM$5*1000*O23</f>
        <v>0</v>
      </c>
      <c r="AN23" s="425" t="n">
        <f aca="false">(($AN$5*O23)/12)*$S$4</f>
        <v>118731.055078359</v>
      </c>
      <c r="AO23" s="425" t="n">
        <f aca="false">($AO$5*O23)/12</f>
        <v>25961.6009646558</v>
      </c>
      <c r="AP23" s="425" t="n">
        <f aca="false">AP22</f>
        <v>46500.5582152336</v>
      </c>
      <c r="AQ23" s="433" t="n">
        <f aca="false">SUM(AK23:AP23)</f>
        <v>375520.581107304</v>
      </c>
      <c r="AR23" s="425" t="n">
        <f aca="false">($AR$5*O23)/12</f>
        <v>12980.8004823279</v>
      </c>
      <c r="AS23" s="433" t="n">
        <f aca="false">AS22</f>
        <v>51061.5333333333</v>
      </c>
      <c r="AT23" s="425" t="n">
        <f aca="false">(AI23/100)*$AT$6*O23</f>
        <v>0</v>
      </c>
      <c r="AU23" s="433" t="n">
        <f aca="false">SUM(AJ23:AT23)-AQ23</f>
        <v>439562.914922965</v>
      </c>
      <c r="AV23" s="433" t="n">
        <f aca="false">AI23-AU23</f>
        <v>-439562.914922965</v>
      </c>
      <c r="AW23" s="493"/>
      <c r="AX23" s="423" t="n">
        <f aca="false">K23</f>
        <v>37012</v>
      </c>
      <c r="BA23" s="126"/>
      <c r="BB23" s="481" t="n">
        <f aca="false">X23</f>
        <v>30.875</v>
      </c>
      <c r="BC23" s="481" t="n">
        <f aca="false">'Curve Analysis - Base Case'!D15</f>
        <v>47.7258177323449</v>
      </c>
      <c r="BD23" s="479" t="n">
        <f aca="false">L23</f>
        <v>0.068169636069557</v>
      </c>
      <c r="BE23" s="479" t="n">
        <f aca="false">L23</f>
        <v>0.068169636069557</v>
      </c>
      <c r="BF23" s="489" t="n">
        <f aca="false">PJM_01212000!X23</f>
        <v>0.21</v>
      </c>
      <c r="BG23" s="425" t="n">
        <f aca="false">(AX23+15)-$K$1</f>
        <v>438</v>
      </c>
      <c r="BH23" s="433" t="n">
        <f aca="false">AD23</f>
        <v>0</v>
      </c>
      <c r="BJ23" s="486" t="e">
        <f aca="false">EURO(BB23,BC23,BD23,BE23,BF23,BG23,1,0)*BH23</f>
        <v>#NAME?</v>
      </c>
      <c r="BK23" s="433" t="n">
        <f aca="false">(AI23-AJ23)*N23</f>
        <v>0</v>
      </c>
      <c r="BM23" s="433" t="e">
        <f aca="false">BJ23-BK23</f>
        <v>#NAME?</v>
      </c>
    </row>
    <row r="24" customFormat="false" ht="16.5" hidden="false" customHeight="false" outlineLevel="0" collapsed="false">
      <c r="A24" s="59" t="n">
        <f aca="false">A23+1</f>
        <v>18</v>
      </c>
      <c r="C24" s="59" t="n">
        <v>30</v>
      </c>
      <c r="D24" s="59" t="s">
        <v>168</v>
      </c>
      <c r="E24" s="125" t="n">
        <f aca="false">E23+C23</f>
        <v>37043</v>
      </c>
      <c r="F24" s="425" t="n">
        <v>21</v>
      </c>
      <c r="G24" s="433" t="n">
        <f aca="false">C24-F24</f>
        <v>9</v>
      </c>
      <c r="H24" s="433"/>
      <c r="I24" s="433"/>
      <c r="J24" s="59" t="n">
        <f aca="false">K25-K24</f>
        <v>30</v>
      </c>
      <c r="K24" s="478" t="n">
        <v>37043</v>
      </c>
      <c r="L24" s="490" t="n">
        <v>0.068506479560772</v>
      </c>
      <c r="M24" s="491" t="n">
        <v>0.062557231643578</v>
      </c>
      <c r="N24" s="480" t="n">
        <f aca="false">(1+L24/2)^(-2*((K24+$T$1)-$K$1)/365.25)</f>
        <v>0.912250148425762</v>
      </c>
      <c r="O24" s="127" t="n">
        <f aca="false">VLOOKUP(K24,Inflation!$B$8:$C$266,2)</f>
        <v>1.0407721571026</v>
      </c>
      <c r="P24" s="480"/>
      <c r="Q24" s="481" t="n">
        <f aca="false">VLOOKUP(K24,'Fuel Curve'!$B$11:$F$268,5)</f>
        <v>4.72206896551724</v>
      </c>
      <c r="R24" s="482" t="n">
        <f aca="false">VLOOKUP(K24,'Fuel Curve Simulation'!$B$12:$J$258,9)</f>
        <v>4.72206896551724</v>
      </c>
      <c r="S24" s="481" t="n">
        <f aca="false">(R24*$S$2)/1000</f>
        <v>45.2326986206897</v>
      </c>
      <c r="T24" s="483"/>
      <c r="V24" s="128" t="n">
        <f aca="false">VLOOKUP(K24,PJM_01212000!$A$7:$C$259,3)</f>
        <v>55.3499984741211</v>
      </c>
      <c r="W24" s="128"/>
      <c r="X24" s="484" t="n">
        <f aca="false">'PJM Curve Simulation'!J24</f>
        <v>55.3499984741211</v>
      </c>
      <c r="Y24" s="489"/>
      <c r="Z24" s="483"/>
      <c r="AA24" s="59" t="n">
        <f aca="false">AA23</f>
        <v>315</v>
      </c>
      <c r="AB24" s="425" t="n">
        <f aca="false">AA24*F24*16</f>
        <v>105840</v>
      </c>
      <c r="AC24" s="425" t="n">
        <f aca="false">VLOOKUP(K24,'Company Volumes'!$B$20:$C$259,2)</f>
        <v>32661.2445577538</v>
      </c>
      <c r="AD24" s="485" t="n">
        <f aca="false">IF(V24&gt;S24+($AM$5*1000*O24),AA24*F24*16,0)</f>
        <v>105840</v>
      </c>
      <c r="AE24" s="425"/>
      <c r="AF24" s="425" t="n">
        <v>0</v>
      </c>
      <c r="AG24" s="425" t="n">
        <v>0</v>
      </c>
      <c r="AH24" s="425" t="n">
        <f aca="false">X24*AD24</f>
        <v>5858243.83850098</v>
      </c>
      <c r="AI24" s="425" t="n">
        <f aca="false">SUM(AF24:AH24)</f>
        <v>5858243.83850098</v>
      </c>
      <c r="AJ24" s="425" t="n">
        <f aca="false">(AD24*1000*$S$2)/1000000*R24</f>
        <v>4787428.82201379</v>
      </c>
      <c r="AK24" s="425" t="n">
        <f aca="false">($AK$5*O24)/12</f>
        <v>52038.60785513</v>
      </c>
      <c r="AL24" s="425" t="n">
        <f aca="false">($AL$5*O24)/12</f>
        <v>132698.450030582</v>
      </c>
      <c r="AM24" s="425" t="n">
        <f aca="false">AD24*$AM$5*1000*O24</f>
        <v>220310.650215478</v>
      </c>
      <c r="AN24" s="425" t="n">
        <f aca="false">(($AN$5*O24)/12)*$S$4</f>
        <v>118994.949962064</v>
      </c>
      <c r="AO24" s="425" t="n">
        <f aca="false">($AO$5*O24)/12</f>
        <v>26019.303927565</v>
      </c>
      <c r="AP24" s="425" t="n">
        <f aca="false">AP23</f>
        <v>46500.5582152336</v>
      </c>
      <c r="AQ24" s="433" t="n">
        <f aca="false">SUM(AK24:AP24)</f>
        <v>596562.520206053</v>
      </c>
      <c r="AR24" s="425" t="n">
        <f aca="false">($AR$5*O24)/12</f>
        <v>13009.6519637825</v>
      </c>
      <c r="AS24" s="433" t="n">
        <f aca="false">AS23</f>
        <v>51061.5333333333</v>
      </c>
      <c r="AT24" s="425" t="n">
        <f aca="false">(AI24/100)*$AT$6*O24</f>
        <v>36582.5824597781</v>
      </c>
      <c r="AU24" s="433" t="n">
        <f aca="false">SUM(AJ24:AT24)-AQ24</f>
        <v>5484645.10997674</v>
      </c>
      <c r="AV24" s="433" t="n">
        <f aca="false">AI24-AU24</f>
        <v>373598.728524235</v>
      </c>
      <c r="AW24" s="493"/>
      <c r="AX24" s="423" t="n">
        <f aca="false">K24</f>
        <v>37043</v>
      </c>
      <c r="BA24" s="126"/>
      <c r="BB24" s="481" t="n">
        <f aca="false">X24</f>
        <v>55.3499984741211</v>
      </c>
      <c r="BC24" s="481" t="n">
        <f aca="false">'Curve Analysis - Base Case'!D16</f>
        <v>47.3142429348949</v>
      </c>
      <c r="BD24" s="479" t="n">
        <f aca="false">L24</f>
        <v>0.068506479560772</v>
      </c>
      <c r="BE24" s="479" t="n">
        <f aca="false">L24</f>
        <v>0.068506479560772</v>
      </c>
      <c r="BF24" s="489" t="n">
        <f aca="false">PJM_01212000!X24</f>
        <v>0.27</v>
      </c>
      <c r="BG24" s="425" t="n">
        <f aca="false">(AX24+15)-$K$1</f>
        <v>469</v>
      </c>
      <c r="BH24" s="433" t="n">
        <f aca="false">AD24</f>
        <v>105840</v>
      </c>
      <c r="BJ24" s="486" t="e">
        <f aca="false">EURO(BB24,BC24,BD24,BE24,BF24,BG24,1,0)*BH24</f>
        <v>#NAME?</v>
      </c>
      <c r="BK24" s="433" t="n">
        <f aca="false">(AI24-AJ24)*N24</f>
        <v>976851.157726967</v>
      </c>
      <c r="BM24" s="433" t="e">
        <f aca="false">BJ24-BK24</f>
        <v>#NAME?</v>
      </c>
    </row>
    <row r="25" customFormat="false" ht="16.5" hidden="false" customHeight="false" outlineLevel="0" collapsed="false">
      <c r="A25" s="59" t="n">
        <f aca="false">A24+1</f>
        <v>19</v>
      </c>
      <c r="C25" s="59" t="n">
        <v>31</v>
      </c>
      <c r="D25" s="59" t="s">
        <v>169</v>
      </c>
      <c r="E25" s="125" t="n">
        <f aca="false">E24+C24</f>
        <v>37073</v>
      </c>
      <c r="F25" s="425" t="n">
        <v>22</v>
      </c>
      <c r="G25" s="433" t="n">
        <f aca="false">C25-F25</f>
        <v>9</v>
      </c>
      <c r="H25" s="433"/>
      <c r="I25" s="433"/>
      <c r="J25" s="59" t="n">
        <f aca="false">K26-K25</f>
        <v>31</v>
      </c>
      <c r="K25" s="478" t="n">
        <v>37073</v>
      </c>
      <c r="L25" s="490" t="n">
        <v>0.068813575700041</v>
      </c>
      <c r="M25" s="491" t="n">
        <v>0.06285602441082</v>
      </c>
      <c r="N25" s="480" t="n">
        <f aca="false">(1+L25/2)^(-2*((K25+$T$1)-$K$1)/365.25)</f>
        <v>0.906827682607942</v>
      </c>
      <c r="O25" s="127" t="n">
        <f aca="false">VLOOKUP(K25,Inflation!$B$8:$C$266,2)</f>
        <v>1.04308540570618</v>
      </c>
      <c r="P25" s="480"/>
      <c r="Q25" s="481" t="n">
        <f aca="false">VLOOKUP(K25,'Fuel Curve'!$B$11:$F$268,5)</f>
        <v>4.74672413793104</v>
      </c>
      <c r="R25" s="482" t="n">
        <f aca="false">VLOOKUP(K25,'Fuel Curve Simulation'!$B$12:$J$258,9)</f>
        <v>4.74672413793104</v>
      </c>
      <c r="S25" s="481" t="n">
        <f aca="false">(R25*$S$2)/1000</f>
        <v>45.4688705172414</v>
      </c>
      <c r="T25" s="483"/>
      <c r="V25" s="128" t="n">
        <f aca="false">VLOOKUP(K25,PJM_01212000!$A$7:$C$259,3)</f>
        <v>96.6999969482422</v>
      </c>
      <c r="W25" s="128"/>
      <c r="X25" s="484" t="n">
        <f aca="false">'PJM Curve Simulation'!J25</f>
        <v>96.6999969482422</v>
      </c>
      <c r="Y25" s="489"/>
      <c r="Z25" s="483"/>
      <c r="AA25" s="59" t="n">
        <f aca="false">AA24</f>
        <v>315</v>
      </c>
      <c r="AB25" s="425" t="n">
        <f aca="false">AA25*F25*16</f>
        <v>110880</v>
      </c>
      <c r="AC25" s="425" t="n">
        <f aca="false">VLOOKUP(K25,'Company Volumes'!$B$20:$C$259,2)</f>
        <v>55489.7016748262</v>
      </c>
      <c r="AD25" s="485" t="n">
        <f aca="false">IF(V25&gt;S25+($AM$5*1000*O25),AA25*F25*16,0)</f>
        <v>110880</v>
      </c>
      <c r="AE25" s="425"/>
      <c r="AF25" s="425" t="n">
        <v>0</v>
      </c>
      <c r="AG25" s="425" t="n">
        <v>0</v>
      </c>
      <c r="AH25" s="425" t="n">
        <f aca="false">X25*AD25</f>
        <v>10722095.6616211</v>
      </c>
      <c r="AI25" s="425" t="n">
        <f aca="false">SUM(AF25:AH25)</f>
        <v>10722095.6616211</v>
      </c>
      <c r="AJ25" s="425" t="n">
        <f aca="false">(AD25*1000*$S$2)/1000000*R25</f>
        <v>5041588.36295173</v>
      </c>
      <c r="AK25" s="425" t="n">
        <f aca="false">($AK$5*O25)/12</f>
        <v>52154.2702853092</v>
      </c>
      <c r="AL25" s="425" t="n">
        <f aca="false">($AL$5*O25)/12</f>
        <v>132993.389227538</v>
      </c>
      <c r="AM25" s="425" t="n">
        <f aca="false">AD25*$AM$5*1000*O25</f>
        <v>231314.619569403</v>
      </c>
      <c r="AN25" s="425" t="n">
        <f aca="false">(($AN$5*O25)/12)*$S$4</f>
        <v>119259.43138574</v>
      </c>
      <c r="AO25" s="425" t="n">
        <f aca="false">($AO$5*O25)/12</f>
        <v>26077.1351426546</v>
      </c>
      <c r="AP25" s="425" t="n">
        <f aca="false">AP24</f>
        <v>46500.5582152336</v>
      </c>
      <c r="AQ25" s="433" t="n">
        <f aca="false">SUM(AK25:AP25)</f>
        <v>608299.403825879</v>
      </c>
      <c r="AR25" s="425" t="n">
        <f aca="false">($AR$5*O25)/12</f>
        <v>13038.5675713273</v>
      </c>
      <c r="AS25" s="433" t="n">
        <f aca="false">AS24</f>
        <v>51061.5333333333</v>
      </c>
      <c r="AT25" s="425" t="n">
        <f aca="false">(AI25/100)*$AT$6*O25</f>
        <v>67104.3690193353</v>
      </c>
      <c r="AU25" s="433" t="n">
        <f aca="false">SUM(AJ25:AT25)-AQ25</f>
        <v>5781092.2367016</v>
      </c>
      <c r="AV25" s="433" t="n">
        <f aca="false">AI25-AU25</f>
        <v>4941003.42491949</v>
      </c>
      <c r="AW25" s="493"/>
      <c r="AX25" s="423" t="n">
        <f aca="false">K25</f>
        <v>37073</v>
      </c>
      <c r="BA25" s="126"/>
      <c r="BB25" s="481" t="n">
        <f aca="false">X25</f>
        <v>96.6999969482422</v>
      </c>
      <c r="BC25" s="481" t="n">
        <f aca="false">'Curve Analysis - Base Case'!D17</f>
        <v>47.5550413286538</v>
      </c>
      <c r="BD25" s="479" t="n">
        <f aca="false">L25</f>
        <v>0.068813575700041</v>
      </c>
      <c r="BE25" s="479" t="n">
        <f aca="false">L25</f>
        <v>0.068813575700041</v>
      </c>
      <c r="BF25" s="489" t="n">
        <f aca="false">PJM_01212000!X25</f>
        <v>0.33</v>
      </c>
      <c r="BG25" s="425" t="n">
        <f aca="false">(AX25+15)-$K$1</f>
        <v>499</v>
      </c>
      <c r="BH25" s="433" t="n">
        <f aca="false">AD25</f>
        <v>110880</v>
      </c>
      <c r="BJ25" s="486" t="e">
        <f aca="false">EURO(BB25,BC25,BD25,BE25,BF25,BG25,1,0)*BH25</f>
        <v>#NAME?</v>
      </c>
      <c r="BK25" s="433" t="n">
        <f aca="false">(AI25-AJ25)*N25</f>
        <v>5151241.26968985</v>
      </c>
      <c r="BM25" s="433" t="e">
        <f aca="false">BJ25-BK25</f>
        <v>#NAME?</v>
      </c>
    </row>
    <row r="26" customFormat="false" ht="16.5" hidden="false" customHeight="false" outlineLevel="0" collapsed="false">
      <c r="A26" s="59" t="n">
        <f aca="false">A25+1</f>
        <v>20</v>
      </c>
      <c r="C26" s="59" t="n">
        <v>31</v>
      </c>
      <c r="D26" s="59" t="s">
        <v>170</v>
      </c>
      <c r="E26" s="125" t="n">
        <f aca="false">E25+C25</f>
        <v>37104</v>
      </c>
      <c r="F26" s="425" t="n">
        <v>23</v>
      </c>
      <c r="G26" s="433" t="n">
        <f aca="false">C26-F26</f>
        <v>8</v>
      </c>
      <c r="H26" s="433"/>
      <c r="I26" s="433"/>
      <c r="J26" s="59" t="n">
        <f aca="false">K27-K26</f>
        <v>31</v>
      </c>
      <c r="K26" s="478" t="n">
        <v>37104</v>
      </c>
      <c r="L26" s="490" t="n">
        <v>0.069095201423199</v>
      </c>
      <c r="M26" s="491" t="n">
        <v>0.063164777590491</v>
      </c>
      <c r="N26" s="480" t="n">
        <f aca="false">(1+L26/2)^(-2*((K26+$T$1)-$K$1)/365.25)</f>
        <v>0.901259818314328</v>
      </c>
      <c r="O26" s="127" t="n">
        <f aca="false">VLOOKUP(K26,Inflation!$B$8:$C$266,2)</f>
        <v>1.04540379579925</v>
      </c>
      <c r="P26" s="480"/>
      <c r="Q26" s="481" t="n">
        <f aca="false">VLOOKUP(K26,'Fuel Curve'!$B$11:$F$268,5)</f>
        <v>4.80758620689655</v>
      </c>
      <c r="R26" s="482" t="n">
        <f aca="false">VLOOKUP(K26,'Fuel Curve Simulation'!$B$12:$J$258,9)</f>
        <v>4.80758620689655</v>
      </c>
      <c r="S26" s="481" t="n">
        <f aca="false">(R26*$S$2)/1000</f>
        <v>46.0518682758621</v>
      </c>
      <c r="T26" s="483"/>
      <c r="V26" s="128" t="n">
        <f aca="false">VLOOKUP(K26,PJM_01212000!$A$7:$C$259,3)</f>
        <v>83.6999969482422</v>
      </c>
      <c r="W26" s="128"/>
      <c r="X26" s="484" t="n">
        <f aca="false">'PJM Curve Simulation'!J26</f>
        <v>83.6999969482422</v>
      </c>
      <c r="Y26" s="489"/>
      <c r="Z26" s="483"/>
      <c r="AA26" s="59" t="n">
        <f aca="false">AA25</f>
        <v>315</v>
      </c>
      <c r="AB26" s="425" t="n">
        <f aca="false">AA26*F26*16</f>
        <v>115920</v>
      </c>
      <c r="AC26" s="425" t="n">
        <f aca="false">VLOOKUP(K26,'Company Volumes'!$B$20:$C$259,2)</f>
        <v>36993.1344492267</v>
      </c>
      <c r="AD26" s="485" t="n">
        <f aca="false">IF(V26&gt;S26+($AM$5*1000*O26),AA26*F26*16,0)</f>
        <v>115920</v>
      </c>
      <c r="AE26" s="425"/>
      <c r="AF26" s="425" t="n">
        <v>0</v>
      </c>
      <c r="AG26" s="425" t="n">
        <v>0</v>
      </c>
      <c r="AH26" s="425" t="n">
        <f aca="false">X26*AD26</f>
        <v>9702503.64624023</v>
      </c>
      <c r="AI26" s="425" t="n">
        <f aca="false">SUM(AF26:AH26)</f>
        <v>9702503.64624023</v>
      </c>
      <c r="AJ26" s="425" t="n">
        <f aca="false">(AD26*1000*$S$2)/1000000*R26</f>
        <v>5338332.57053793</v>
      </c>
      <c r="AK26" s="425" t="n">
        <f aca="false">($AK$5*O26)/12</f>
        <v>52270.1897899626</v>
      </c>
      <c r="AL26" s="425" t="n">
        <f aca="false">($AL$5*O26)/12</f>
        <v>133288.983964405</v>
      </c>
      <c r="AM26" s="425" t="n">
        <f aca="false">AD26*$AM$5*1000*O26</f>
        <v>242366.416018099</v>
      </c>
      <c r="AN26" s="425" t="n">
        <f aca="false">(($AN$5*O26)/12)*$S$4</f>
        <v>119524.500653048</v>
      </c>
      <c r="AO26" s="425" t="n">
        <f aca="false">($AO$5*O26)/12</f>
        <v>26135.0948949813</v>
      </c>
      <c r="AP26" s="425" t="n">
        <f aca="false">AP25</f>
        <v>46500.5582152336</v>
      </c>
      <c r="AQ26" s="433" t="n">
        <f aca="false">SUM(AK26:AP26)</f>
        <v>620085.743535728</v>
      </c>
      <c r="AR26" s="425" t="n">
        <f aca="false">($AR$5*O26)/12</f>
        <v>13067.5474474906</v>
      </c>
      <c r="AS26" s="433" t="n">
        <f aca="false">AS25</f>
        <v>51061.5333333333</v>
      </c>
      <c r="AT26" s="425" t="n">
        <f aca="false">(AI26/100)*$AT$6*O26</f>
        <v>60858.2048432137</v>
      </c>
      <c r="AU26" s="433" t="n">
        <f aca="false">SUM(AJ26:AT26)-AQ26</f>
        <v>6083405.5996977</v>
      </c>
      <c r="AV26" s="433" t="n">
        <f aca="false">AI26-AU26</f>
        <v>3619098.04654254</v>
      </c>
      <c r="AW26" s="493"/>
      <c r="AX26" s="423" t="n">
        <f aca="false">K26</f>
        <v>37104</v>
      </c>
      <c r="BA26" s="126"/>
      <c r="BB26" s="481" t="n">
        <f aca="false">X26</f>
        <v>83.6999969482422</v>
      </c>
      <c r="BC26" s="481" t="n">
        <f aca="false">'Curve Analysis - Base Case'!D18</f>
        <v>48.1426758674606</v>
      </c>
      <c r="BD26" s="479" t="n">
        <f aca="false">L26</f>
        <v>0.069095201423199</v>
      </c>
      <c r="BE26" s="479" t="n">
        <f aca="false">L26</f>
        <v>0.069095201423199</v>
      </c>
      <c r="BF26" s="489" t="n">
        <f aca="false">PJM_01212000!X26</f>
        <v>0.33</v>
      </c>
      <c r="BG26" s="425" t="n">
        <f aca="false">(AX26+15)-$K$1</f>
        <v>530</v>
      </c>
      <c r="BH26" s="433" t="n">
        <f aca="false">AD26</f>
        <v>115920</v>
      </c>
      <c r="BJ26" s="486" t="e">
        <f aca="false">EURO(BB26,BC26,BD26,BE26,BF26,BG26,1,0)*BH26</f>
        <v>#NAME?</v>
      </c>
      <c r="BK26" s="433" t="n">
        <f aca="false">(AI26-AJ26)*N26</f>
        <v>3933252.0307801</v>
      </c>
      <c r="BM26" s="433" t="e">
        <f aca="false">BJ26-BK26</f>
        <v>#NAME?</v>
      </c>
    </row>
    <row r="27" customFormat="false" ht="16.5" hidden="false" customHeight="false" outlineLevel="0" collapsed="false">
      <c r="A27" s="59" t="n">
        <f aca="false">A26+1</f>
        <v>21</v>
      </c>
      <c r="C27" s="59" t="n">
        <v>30</v>
      </c>
      <c r="D27" s="59" t="s">
        <v>171</v>
      </c>
      <c r="E27" s="125" t="n">
        <f aca="false">E26+C26</f>
        <v>37135</v>
      </c>
      <c r="F27" s="425" t="n">
        <v>20</v>
      </c>
      <c r="G27" s="433" t="n">
        <f aca="false">C27-F27</f>
        <v>10</v>
      </c>
      <c r="H27" s="433"/>
      <c r="I27" s="433"/>
      <c r="J27" s="59" t="n">
        <f aca="false">K28-K27</f>
        <v>30</v>
      </c>
      <c r="K27" s="478" t="n">
        <v>37135</v>
      </c>
      <c r="L27" s="490" t="n">
        <v>0.069376827172596</v>
      </c>
      <c r="M27" s="491" t="n">
        <v>0.063473531434301</v>
      </c>
      <c r="N27" s="480" t="n">
        <f aca="false">(1+L27/2)^(-2*((K27+$T$1)-$K$1)/365.25)</f>
        <v>0.895684801765886</v>
      </c>
      <c r="O27" s="127" t="n">
        <f aca="false">VLOOKUP(K27,Inflation!$B$8:$C$266,2)</f>
        <v>1.04772733880942</v>
      </c>
      <c r="P27" s="480"/>
      <c r="Q27" s="481" t="n">
        <f aca="false">VLOOKUP(K27,'Fuel Curve'!$B$11:$F$268,5)</f>
        <v>4.87706896551724</v>
      </c>
      <c r="R27" s="482" t="n">
        <f aca="false">VLOOKUP(K27,'Fuel Curve Simulation'!$B$12:$J$258,9)</f>
        <v>4.87706896551724</v>
      </c>
      <c r="S27" s="481" t="n">
        <f aca="false">(R27*$S$2)/1000</f>
        <v>46.7174436206897</v>
      </c>
      <c r="T27" s="483"/>
      <c r="V27" s="128" t="n">
        <f aca="false">VLOOKUP(K27,PJM_01212000!$A$7:$C$259,3)</f>
        <v>32.7249984741211</v>
      </c>
      <c r="W27" s="128"/>
      <c r="X27" s="484" t="n">
        <f aca="false">'PJM Curve Simulation'!J27</f>
        <v>32.7249984741211</v>
      </c>
      <c r="Y27" s="489"/>
      <c r="Z27" s="483"/>
      <c r="AA27" s="59" t="n">
        <f aca="false">AA26</f>
        <v>315</v>
      </c>
      <c r="AB27" s="425" t="n">
        <f aca="false">AA27*F27*16</f>
        <v>100800</v>
      </c>
      <c r="AC27" s="425" t="n">
        <f aca="false">VLOOKUP(K27,'Company Volumes'!$B$20:$C$259,2)</f>
        <v>16502.9764596978</v>
      </c>
      <c r="AD27" s="485" t="n">
        <f aca="false">IF(V27&gt;S27+($AM$5*1000*O27),AA27*F27*16,0)</f>
        <v>0</v>
      </c>
      <c r="AE27" s="425"/>
      <c r="AF27" s="425" t="n">
        <v>0</v>
      </c>
      <c r="AG27" s="425" t="n">
        <v>0</v>
      </c>
      <c r="AH27" s="425" t="n">
        <f aca="false">X27*AD27</f>
        <v>0</v>
      </c>
      <c r="AI27" s="425" t="n">
        <f aca="false">SUM(AF27:AH27)</f>
        <v>0</v>
      </c>
      <c r="AJ27" s="425" t="n">
        <f aca="false">(AD27*1000*$S$2)/1000000*R27</f>
        <v>0</v>
      </c>
      <c r="AK27" s="425" t="n">
        <f aca="false">($AK$5*O27)/12</f>
        <v>52386.366940471</v>
      </c>
      <c r="AL27" s="425" t="n">
        <f aca="false">($AL$5*O27)/12</f>
        <v>133585.235698201</v>
      </c>
      <c r="AM27" s="425" t="n">
        <f aca="false">AD27*$AM$5*1000*O27</f>
        <v>0</v>
      </c>
      <c r="AN27" s="425" t="n">
        <f aca="false">(($AN$5*O27)/12)*$S$4</f>
        <v>119790.159070544</v>
      </c>
      <c r="AO27" s="425" t="n">
        <f aca="false">($AO$5*O27)/12</f>
        <v>26193.1834702355</v>
      </c>
      <c r="AP27" s="425" t="n">
        <f aca="false">AP26</f>
        <v>46500.5582152336</v>
      </c>
      <c r="AQ27" s="433" t="n">
        <f aca="false">SUM(AK27:AP27)</f>
        <v>378455.503394685</v>
      </c>
      <c r="AR27" s="425" t="n">
        <f aca="false">($AR$5*O27)/12</f>
        <v>13096.5917351177</v>
      </c>
      <c r="AS27" s="433" t="n">
        <f aca="false">AS26</f>
        <v>51061.5333333333</v>
      </c>
      <c r="AT27" s="425" t="n">
        <f aca="false">(AI27/100)*$AT$6*O27</f>
        <v>0</v>
      </c>
      <c r="AU27" s="433" t="n">
        <f aca="false">SUM(AJ27:AT27)-AQ27</f>
        <v>442613.628463136</v>
      </c>
      <c r="AV27" s="433" t="n">
        <f aca="false">AI27-AU27</f>
        <v>-442613.628463136</v>
      </c>
      <c r="AW27" s="493"/>
      <c r="AX27" s="423" t="n">
        <f aca="false">K27</f>
        <v>37135</v>
      </c>
      <c r="BA27" s="126"/>
      <c r="BB27" s="481" t="n">
        <f aca="false">X27</f>
        <v>32.7249984741211</v>
      </c>
      <c r="BC27" s="481" t="n">
        <f aca="false">'Curve Analysis - Base Case'!D19</f>
        <v>48.8128982983085</v>
      </c>
      <c r="BD27" s="479" t="n">
        <f aca="false">L27</f>
        <v>0.069376827172596</v>
      </c>
      <c r="BE27" s="479" t="n">
        <f aca="false">L27</f>
        <v>0.069376827172596</v>
      </c>
      <c r="BF27" s="489" t="n">
        <f aca="false">PJM_01212000!X27</f>
        <v>0.2</v>
      </c>
      <c r="BG27" s="425" t="n">
        <f aca="false">(AX27+15)-$K$1</f>
        <v>561</v>
      </c>
      <c r="BH27" s="433" t="n">
        <f aca="false">AD27</f>
        <v>0</v>
      </c>
      <c r="BJ27" s="486" t="e">
        <f aca="false">EURO(BB27,BC27,BD27,BE27,BF27,BG27,1,0)*BH27</f>
        <v>#NAME?</v>
      </c>
      <c r="BK27" s="433" t="n">
        <f aca="false">(AI27-AJ27)*N27</f>
        <v>0</v>
      </c>
      <c r="BM27" s="433" t="e">
        <f aca="false">BJ27-BK27</f>
        <v>#NAME?</v>
      </c>
    </row>
    <row r="28" customFormat="false" ht="16.5" hidden="false" customHeight="false" outlineLevel="0" collapsed="false">
      <c r="A28" s="59" t="n">
        <f aca="false">A27+1</f>
        <v>22</v>
      </c>
      <c r="C28" s="59" t="n">
        <v>31</v>
      </c>
      <c r="D28" s="59" t="s">
        <v>172</v>
      </c>
      <c r="E28" s="125" t="n">
        <f aca="false">E27+C27</f>
        <v>37165</v>
      </c>
      <c r="F28" s="425" t="n">
        <v>23</v>
      </c>
      <c r="G28" s="433" t="n">
        <f aca="false">C28-F28</f>
        <v>8</v>
      </c>
      <c r="H28" s="433"/>
      <c r="I28" s="433"/>
      <c r="J28" s="59" t="n">
        <f aca="false">K29-K28</f>
        <v>31</v>
      </c>
      <c r="K28" s="478" t="n">
        <v>37165</v>
      </c>
      <c r="L28" s="490" t="n">
        <v>0.069627293262601</v>
      </c>
      <c r="M28" s="491" t="n">
        <v>0.063772326108956</v>
      </c>
      <c r="N28" s="480" t="n">
        <f aca="false">(1+L28/2)^(-2*((K28+$T$1)-$K$1)/365.25)</f>
        <v>0.890315585730075</v>
      </c>
      <c r="O28" s="127" t="n">
        <f aca="false">VLOOKUP(K28,Inflation!$B$8:$C$266,2)</f>
        <v>1.0500560461897</v>
      </c>
      <c r="P28" s="480"/>
      <c r="Q28" s="481" t="n">
        <f aca="false">VLOOKUP(K28,'Fuel Curve'!$B$11:$F$268,5)</f>
        <v>4.94362068965517</v>
      </c>
      <c r="R28" s="482" t="n">
        <f aca="false">VLOOKUP(K28,'Fuel Curve Simulation'!$B$12:$J$258,9)</f>
        <v>4.94362068965517</v>
      </c>
      <c r="S28" s="481" t="n">
        <f aca="false">(R28*$S$2)/1000</f>
        <v>47.3549425862069</v>
      </c>
      <c r="T28" s="483"/>
      <c r="V28" s="128" t="n">
        <f aca="false">VLOOKUP(K28,PJM_01212000!$A$7:$C$259,3)</f>
        <v>26.2250003814697</v>
      </c>
      <c r="W28" s="128"/>
      <c r="X28" s="484" t="n">
        <f aca="false">'PJM Curve Simulation'!J28</f>
        <v>26.2250003814697</v>
      </c>
      <c r="Y28" s="489"/>
      <c r="Z28" s="483"/>
      <c r="AA28" s="59" t="n">
        <f aca="false">AA27</f>
        <v>315</v>
      </c>
      <c r="AB28" s="425" t="n">
        <f aca="false">AA28*F28*16</f>
        <v>115920</v>
      </c>
      <c r="AC28" s="425" t="n">
        <f aca="false">VLOOKUP(K28,'Company Volumes'!$B$20:$C$259,2)</f>
        <v>6583.79175991911</v>
      </c>
      <c r="AD28" s="485" t="n">
        <f aca="false">IF(V28&gt;S28+($AM$5*1000*O28),AA28*F28*16,0)</f>
        <v>0</v>
      </c>
      <c r="AE28" s="425"/>
      <c r="AF28" s="425" t="n">
        <v>0</v>
      </c>
      <c r="AG28" s="425" t="n">
        <v>0</v>
      </c>
      <c r="AH28" s="425" t="n">
        <f aca="false">X28*AD28</f>
        <v>0</v>
      </c>
      <c r="AI28" s="425" t="n">
        <f aca="false">SUM(AF28:AH28)</f>
        <v>0</v>
      </c>
      <c r="AJ28" s="425" t="n">
        <f aca="false">(AD28*1000*$S$2)/1000000*R28</f>
        <v>0</v>
      </c>
      <c r="AK28" s="425" t="n">
        <f aca="false">($AK$5*O28)/12</f>
        <v>52502.8023094851</v>
      </c>
      <c r="AL28" s="425" t="n">
        <f aca="false">($AL$5*O28)/12</f>
        <v>133882.145889187</v>
      </c>
      <c r="AM28" s="425" t="n">
        <f aca="false">AD28*$AM$5*1000*O28</f>
        <v>0</v>
      </c>
      <c r="AN28" s="425" t="n">
        <f aca="false">(($AN$5*O28)/12)*$S$4</f>
        <v>120056.407947689</v>
      </c>
      <c r="AO28" s="425" t="n">
        <f aca="false">($AO$5*O28)/12</f>
        <v>26251.4011547425</v>
      </c>
      <c r="AP28" s="425" t="n">
        <f aca="false">AP27</f>
        <v>46500.5582152336</v>
      </c>
      <c r="AQ28" s="433" t="n">
        <f aca="false">SUM(AK28:AP28)</f>
        <v>379193.315516337</v>
      </c>
      <c r="AR28" s="425" t="n">
        <f aca="false">($AR$5*O28)/12</f>
        <v>13125.7005773713</v>
      </c>
      <c r="AS28" s="433" t="n">
        <f aca="false">AS27</f>
        <v>51061.5333333333</v>
      </c>
      <c r="AT28" s="425" t="n">
        <f aca="false">(AI28/100)*$AT$6*O28</f>
        <v>0</v>
      </c>
      <c r="AU28" s="433" t="n">
        <f aca="false">SUM(AJ28:AT28)-AQ28</f>
        <v>443380.549427042</v>
      </c>
      <c r="AV28" s="433" t="n">
        <f aca="false">AI28-AU28</f>
        <v>-443380.549427042</v>
      </c>
      <c r="AW28" s="493"/>
      <c r="AX28" s="423" t="n">
        <f aca="false">K28</f>
        <v>37165</v>
      </c>
      <c r="BA28" s="126"/>
      <c r="BB28" s="481" t="n">
        <f aca="false">X28</f>
        <v>26.2250003814697</v>
      </c>
      <c r="BC28" s="481" t="n">
        <f aca="false">'Curve Analysis - Base Case'!D20</f>
        <v>49.4550546785863</v>
      </c>
      <c r="BD28" s="479" t="n">
        <f aca="false">L28</f>
        <v>0.069627293262601</v>
      </c>
      <c r="BE28" s="479" t="n">
        <f aca="false">L28</f>
        <v>0.069627293262601</v>
      </c>
      <c r="BF28" s="489" t="n">
        <f aca="false">PJM_01212000!X28</f>
        <v>0.15</v>
      </c>
      <c r="BG28" s="425" t="n">
        <f aca="false">(AX28+15)-$K$1</f>
        <v>591</v>
      </c>
      <c r="BH28" s="433" t="n">
        <f aca="false">AD28</f>
        <v>0</v>
      </c>
      <c r="BJ28" s="486" t="e">
        <f aca="false">EURO(BB28,BC28,BD28,BE28,BF28,BG28,1,0)*BH28</f>
        <v>#NAME?</v>
      </c>
      <c r="BK28" s="433" t="n">
        <f aca="false">(AI28-AJ28)*N28</f>
        <v>0</v>
      </c>
      <c r="BM28" s="433" t="e">
        <f aca="false">BJ28-BK28</f>
        <v>#NAME?</v>
      </c>
    </row>
    <row r="29" customFormat="false" ht="16.5" hidden="false" customHeight="false" outlineLevel="0" collapsed="false">
      <c r="A29" s="59" t="n">
        <f aca="false">A28+1</f>
        <v>23</v>
      </c>
      <c r="C29" s="59" t="n">
        <v>30</v>
      </c>
      <c r="D29" s="59" t="s">
        <v>173</v>
      </c>
      <c r="E29" s="125" t="n">
        <f aca="false">E28+C28</f>
        <v>37196</v>
      </c>
      <c r="F29" s="425" t="n">
        <v>22</v>
      </c>
      <c r="G29" s="433" t="n">
        <f aca="false">C29-F29</f>
        <v>8</v>
      </c>
      <c r="H29" s="433"/>
      <c r="I29" s="433"/>
      <c r="J29" s="59" t="n">
        <f aca="false">K30-K29</f>
        <v>30</v>
      </c>
      <c r="K29" s="478" t="n">
        <v>37196</v>
      </c>
      <c r="L29" s="490" t="n">
        <v>0.069849822771288</v>
      </c>
      <c r="M29" s="491" t="n">
        <v>0.064081081259339</v>
      </c>
      <c r="N29" s="480" t="n">
        <f aca="false">(1+L29/2)^(-2*((K29+$T$1)-$K$1)/365.25)</f>
        <v>0.88481958609446</v>
      </c>
      <c r="O29" s="127" t="n">
        <f aca="false">VLOOKUP(K29,Inflation!$B$8:$C$266,2)</f>
        <v>1.05238992941857</v>
      </c>
      <c r="P29" s="480"/>
      <c r="Q29" s="481" t="n">
        <f aca="false">VLOOKUP(K29,'Fuel Curve'!$B$11:$F$268,5)</f>
        <v>5.00603448275862</v>
      </c>
      <c r="R29" s="482" t="n">
        <f aca="false">VLOOKUP(K29,'Fuel Curve Simulation'!$B$12:$J$258,9)</f>
        <v>5.00603448275862</v>
      </c>
      <c r="S29" s="481" t="n">
        <f aca="false">(R29*$S$2)/1000</f>
        <v>47.9528043103448</v>
      </c>
      <c r="T29" s="483"/>
      <c r="V29" s="128" t="n">
        <f aca="false">VLOOKUP(K29,PJM_01212000!$A$7:$C$259,3)</f>
        <v>25.8974990844727</v>
      </c>
      <c r="W29" s="128"/>
      <c r="X29" s="484" t="n">
        <f aca="false">'PJM Curve Simulation'!J29</f>
        <v>25.8974990844727</v>
      </c>
      <c r="Y29" s="489"/>
      <c r="Z29" s="483"/>
      <c r="AA29" s="59" t="n">
        <f aca="false">AA28</f>
        <v>315</v>
      </c>
      <c r="AB29" s="425" t="n">
        <f aca="false">AA29*F29*16</f>
        <v>110880</v>
      </c>
      <c r="AC29" s="425" t="n">
        <f aca="false">VLOOKUP(K29,'Company Volumes'!$B$20:$C$259,2)</f>
        <v>8734.34073334355</v>
      </c>
      <c r="AD29" s="485" t="n">
        <f aca="false">IF(V29&gt;S29+($AM$5*1000*O29),AA29*F29*16,0)</f>
        <v>0</v>
      </c>
      <c r="AE29" s="425"/>
      <c r="AF29" s="425" t="n">
        <v>0</v>
      </c>
      <c r="AG29" s="425" t="n">
        <v>0</v>
      </c>
      <c r="AH29" s="425" t="n">
        <f aca="false">X29*AD29</f>
        <v>0</v>
      </c>
      <c r="AI29" s="425" t="n">
        <f aca="false">SUM(AF29:AH29)</f>
        <v>0</v>
      </c>
      <c r="AJ29" s="425" t="n">
        <f aca="false">(AD29*1000*$S$2)/1000000*R29</f>
        <v>0</v>
      </c>
      <c r="AK29" s="425" t="n">
        <f aca="false">($AK$5*O29)/12</f>
        <v>52619.4964709284</v>
      </c>
      <c r="AL29" s="425" t="n">
        <f aca="false">($AL$5*O29)/12</f>
        <v>134179.716000867</v>
      </c>
      <c r="AM29" s="425" t="n">
        <f aca="false">AD29*$AM$5*1000*O29</f>
        <v>0</v>
      </c>
      <c r="AN29" s="425" t="n">
        <f aca="false">(($AN$5*O29)/12)*$S$4</f>
        <v>120323.248596856</v>
      </c>
      <c r="AO29" s="425" t="n">
        <f aca="false">($AO$5*O29)/12</f>
        <v>26309.7482354642</v>
      </c>
      <c r="AP29" s="425" t="n">
        <f aca="false">AP28</f>
        <v>46500.5582152336</v>
      </c>
      <c r="AQ29" s="433" t="n">
        <f aca="false">SUM(AK29:AP29)</f>
        <v>379932.76751935</v>
      </c>
      <c r="AR29" s="425" t="n">
        <f aca="false">($AR$5*O29)/12</f>
        <v>13154.8741177321</v>
      </c>
      <c r="AS29" s="433" t="n">
        <f aca="false">AS28</f>
        <v>51061.5333333333</v>
      </c>
      <c r="AT29" s="425" t="n">
        <f aca="false">(AI29/100)*$AT$6*O29</f>
        <v>0</v>
      </c>
      <c r="AU29" s="433" t="n">
        <f aca="false">SUM(AJ29:AT29)-AQ29</f>
        <v>444149.174970415</v>
      </c>
      <c r="AV29" s="433" t="n">
        <f aca="false">AI29-AU29</f>
        <v>-444149.174970415</v>
      </c>
      <c r="AW29" s="493"/>
      <c r="AX29" s="423" t="n">
        <f aca="false">K29</f>
        <v>37196</v>
      </c>
      <c r="BA29" s="126"/>
      <c r="BB29" s="481" t="n">
        <f aca="false">X29</f>
        <v>25.8974990844727</v>
      </c>
      <c r="BC29" s="481" t="n">
        <f aca="false">'Curve Analysis - Base Case'!D21</f>
        <v>50.057584169182</v>
      </c>
      <c r="BD29" s="479" t="n">
        <f aca="false">L29</f>
        <v>0.069849822771288</v>
      </c>
      <c r="BE29" s="479" t="n">
        <f aca="false">L29</f>
        <v>0.069849822771288</v>
      </c>
      <c r="BF29" s="489" t="n">
        <f aca="false">PJM_01212000!X29</f>
        <v>0.15</v>
      </c>
      <c r="BG29" s="425" t="n">
        <f aca="false">(AX29+15)-$K$1</f>
        <v>622</v>
      </c>
      <c r="BH29" s="433" t="n">
        <f aca="false">AD29</f>
        <v>0</v>
      </c>
      <c r="BJ29" s="486" t="e">
        <f aca="false">EURO(BB29,BC29,BD29,BE29,BF29,BG29,1,0)*BH29</f>
        <v>#NAME?</v>
      </c>
      <c r="BK29" s="433" t="n">
        <f aca="false">(AI29-AJ29)*N29</f>
        <v>0</v>
      </c>
      <c r="BM29" s="433" t="e">
        <f aca="false">BJ29-BK29</f>
        <v>#NAME?</v>
      </c>
    </row>
    <row r="30" customFormat="false" ht="16.5" hidden="false" customHeight="false" outlineLevel="0" collapsed="false">
      <c r="A30" s="59" t="n">
        <f aca="false">A29+1</f>
        <v>24</v>
      </c>
      <c r="C30" s="59" t="n">
        <v>31</v>
      </c>
      <c r="D30" s="59" t="s">
        <v>174</v>
      </c>
      <c r="E30" s="125" t="n">
        <f aca="false">E29+C29</f>
        <v>37226</v>
      </c>
      <c r="F30" s="425" t="n">
        <v>21</v>
      </c>
      <c r="G30" s="433" t="n">
        <f aca="false">C30-F30</f>
        <v>10</v>
      </c>
      <c r="H30" s="433" t="n">
        <f aca="false">SUM(F19:G30)</f>
        <v>365</v>
      </c>
      <c r="I30" s="433"/>
      <c r="J30" s="59" t="n">
        <f aca="false">K31-K30</f>
        <v>31</v>
      </c>
      <c r="K30" s="478" t="n">
        <v>37226</v>
      </c>
      <c r="L30" s="490" t="n">
        <v>0.07006517392432</v>
      </c>
      <c r="M30" s="491" t="n">
        <v>0.064379877198238</v>
      </c>
      <c r="N30" s="480" t="n">
        <f aca="false">(1+L30/2)^(-2*((K30+$T$1)-$K$1)/365.25)</f>
        <v>0.879502651784524</v>
      </c>
      <c r="O30" s="127" t="n">
        <f aca="false">VLOOKUP(K30,Inflation!$B$8:$C$266,2)</f>
        <v>1.054729</v>
      </c>
      <c r="P30" s="480"/>
      <c r="Q30" s="481" t="n">
        <f aca="false">VLOOKUP(K30,'Fuel Curve'!$B$11:$F$268,5)</f>
        <v>5.02844827586207</v>
      </c>
      <c r="R30" s="482" t="n">
        <f aca="false">VLOOKUP(K30,'Fuel Curve Simulation'!$B$12:$J$258,9)</f>
        <v>5.02844827586207</v>
      </c>
      <c r="S30" s="481" t="n">
        <f aca="false">(R30*$S$2)/1000</f>
        <v>48.1675060344828</v>
      </c>
      <c r="T30" s="483"/>
      <c r="V30" s="128" t="n">
        <f aca="false">VLOOKUP(K30,PJM_01212000!$A$7:$C$259,3)</f>
        <v>27.6499996185303</v>
      </c>
      <c r="W30" s="128"/>
      <c r="X30" s="484" t="n">
        <f aca="false">'PJM Curve Simulation'!J30</f>
        <v>27.6499996185303</v>
      </c>
      <c r="Y30" s="489"/>
      <c r="Z30" s="483"/>
      <c r="AA30" s="59" t="n">
        <f aca="false">AA29</f>
        <v>315</v>
      </c>
      <c r="AB30" s="425" t="n">
        <f aca="false">AA30*F30*16</f>
        <v>105840</v>
      </c>
      <c r="AC30" s="425" t="n">
        <f aca="false">VLOOKUP(K30,'Company Volumes'!$B$20:$C$259,2)</f>
        <v>8734.34073334355</v>
      </c>
      <c r="AD30" s="485" t="n">
        <f aca="false">IF(V30&gt;S30+($AM$5*1000*O30),AA30*F30*16,0)</f>
        <v>0</v>
      </c>
      <c r="AE30" s="425"/>
      <c r="AF30" s="425" t="n">
        <v>0</v>
      </c>
      <c r="AG30" s="425" t="n">
        <v>0</v>
      </c>
      <c r="AH30" s="425" t="n">
        <f aca="false">X30*AD30</f>
        <v>0</v>
      </c>
      <c r="AI30" s="425" t="n">
        <f aca="false">SUM(AF30:AH30)</f>
        <v>0</v>
      </c>
      <c r="AJ30" s="425" t="n">
        <f aca="false">(AD30*1000*$S$2)/1000000*R30</f>
        <v>0</v>
      </c>
      <c r="AK30" s="425" t="n">
        <f aca="false">($AK$5*O30)/12</f>
        <v>52736.45</v>
      </c>
      <c r="AL30" s="425" t="n">
        <f aca="false">($AL$5*O30)/12</f>
        <v>134477.9475</v>
      </c>
      <c r="AM30" s="425" t="n">
        <f aca="false">AD30*$AM$5*1000*O30</f>
        <v>0</v>
      </c>
      <c r="AN30" s="425" t="n">
        <f aca="false">(($AN$5*O30)/12)*$S$4</f>
        <v>120590.682333333</v>
      </c>
      <c r="AO30" s="425" t="n">
        <f aca="false">($AO$5*O30)/12</f>
        <v>26368.225</v>
      </c>
      <c r="AP30" s="425" t="n">
        <f aca="false">AP29</f>
        <v>46500.5582152336</v>
      </c>
      <c r="AQ30" s="433" t="n">
        <f aca="false">SUM(AK30:AP30)</f>
        <v>380673.863048567</v>
      </c>
      <c r="AR30" s="425" t="n">
        <f aca="false">($AR$5*O30)/12</f>
        <v>13184.1125</v>
      </c>
      <c r="AS30" s="433" t="n">
        <f aca="false">AS29</f>
        <v>51061.5333333333</v>
      </c>
      <c r="AT30" s="425" t="n">
        <f aca="false">(AI30/100)*$AT$6*O30</f>
        <v>0</v>
      </c>
      <c r="AU30" s="433" t="n">
        <f aca="false">SUM(AJ30:AT30)-AQ30</f>
        <v>444919.5088819</v>
      </c>
      <c r="AV30" s="433" t="n">
        <f aca="false">AI30-AU30</f>
        <v>-444919.5088819</v>
      </c>
      <c r="AW30" s="493"/>
      <c r="AX30" s="423" t="n">
        <f aca="false">K30</f>
        <v>37226</v>
      </c>
      <c r="AY30" s="425" t="n">
        <f aca="false">'Debt Amortization'!I8</f>
        <v>2374746.12773708</v>
      </c>
      <c r="AZ30" s="425" t="n">
        <f aca="false">AY30*N30</f>
        <v>2088595.51665979</v>
      </c>
      <c r="BA30" s="126"/>
      <c r="BB30" s="481" t="n">
        <f aca="false">X30</f>
        <v>27.6499996185303</v>
      </c>
      <c r="BC30" s="481" t="n">
        <f aca="false">'Curve Analysis - Base Case'!D22</f>
        <v>50.2769640344828</v>
      </c>
      <c r="BD30" s="479" t="n">
        <f aca="false">L30</f>
        <v>0.07006517392432</v>
      </c>
      <c r="BE30" s="479" t="n">
        <f aca="false">L30</f>
        <v>0.07006517392432</v>
      </c>
      <c r="BF30" s="489" t="n">
        <f aca="false">PJM_01212000!X30</f>
        <v>0.15</v>
      </c>
      <c r="BG30" s="425" t="n">
        <f aca="false">(AX30+15)-$K$1</f>
        <v>652</v>
      </c>
      <c r="BH30" s="433" t="n">
        <f aca="false">AD30</f>
        <v>0</v>
      </c>
      <c r="BJ30" s="486" t="e">
        <f aca="false">EURO(BB30,BC30,BD30,BE30,BF30,BG30,1,0)*BH30</f>
        <v>#NAME?</v>
      </c>
      <c r="BK30" s="433" t="n">
        <f aca="false">(AI30-AJ30)*N30</f>
        <v>0</v>
      </c>
      <c r="BM30" s="433" t="e">
        <f aca="false">BJ30-BK30</f>
        <v>#NAME?</v>
      </c>
    </row>
    <row r="31" customFormat="false" ht="16.5" hidden="false" customHeight="false" outlineLevel="0" collapsed="false">
      <c r="A31" s="59" t="n">
        <f aca="false">A30+1</f>
        <v>25</v>
      </c>
      <c r="C31" s="59" t="n">
        <v>31</v>
      </c>
      <c r="D31" s="59" t="s">
        <v>164</v>
      </c>
      <c r="E31" s="125" t="n">
        <f aca="false">E30+C30</f>
        <v>37257</v>
      </c>
      <c r="F31" s="425" t="n">
        <v>23</v>
      </c>
      <c r="G31" s="433" t="n">
        <f aca="false">C31-F31</f>
        <v>8</v>
      </c>
      <c r="H31" s="433"/>
      <c r="I31" s="433"/>
      <c r="J31" s="59" t="n">
        <f aca="false">K32-K31</f>
        <v>31</v>
      </c>
      <c r="K31" s="478" t="n">
        <v>37257</v>
      </c>
      <c r="L31" s="490" t="n">
        <v>0.070276460298628</v>
      </c>
      <c r="M31" s="491" t="n">
        <v>0.06468863365482</v>
      </c>
      <c r="N31" s="480" t="n">
        <f aca="false">(1+L31/2)^(-2*((K31+$T$1)-$K$1)/365.25)</f>
        <v>0.874029208424058</v>
      </c>
      <c r="O31" s="127" t="n">
        <f aca="false">VLOOKUP(K31,Inflation!$B$8:$C$266,2)</f>
        <v>1.05707326946355</v>
      </c>
      <c r="P31" s="480"/>
      <c r="Q31" s="481" t="n">
        <f aca="false">VLOOKUP(K31,'Fuel Curve'!$B$11:$F$268,5)</f>
        <v>4.9798275862069</v>
      </c>
      <c r="R31" s="482" t="n">
        <f aca="false">VLOOKUP(K31,'Fuel Curve Simulation'!$B$12:$J$258,9)</f>
        <v>4.9798275862069</v>
      </c>
      <c r="S31" s="481" t="n">
        <f aca="false">(R31*$S$2)/1000</f>
        <v>47.7017684482759</v>
      </c>
      <c r="T31" s="483"/>
      <c r="V31" s="128" t="n">
        <f aca="false">VLOOKUP(K31,PJM_01212000!$A$7:$C$259,3)</f>
        <v>35.7749984741211</v>
      </c>
      <c r="W31" s="128"/>
      <c r="X31" s="484" t="n">
        <f aca="false">'PJM Curve Simulation'!J31</f>
        <v>35.7749984741211</v>
      </c>
      <c r="Y31" s="489"/>
      <c r="Z31" s="483"/>
      <c r="AA31" s="59" t="n">
        <f aca="false">AA30</f>
        <v>315</v>
      </c>
      <c r="AB31" s="425" t="n">
        <f aca="false">AA31*F31*16</f>
        <v>115920</v>
      </c>
      <c r="AC31" s="425" t="n">
        <f aca="false">VLOOKUP(K31,'Company Volumes'!$B$20:$C$259,2)</f>
        <v>20049.0845675338</v>
      </c>
      <c r="AD31" s="485" t="n">
        <f aca="false">IF(V31&gt;S31+($AM$5*1000*O31),AA31*F31*16,0)</f>
        <v>0</v>
      </c>
      <c r="AE31" s="425"/>
      <c r="AF31" s="425" t="n">
        <v>0</v>
      </c>
      <c r="AG31" s="425" t="n">
        <v>0</v>
      </c>
      <c r="AH31" s="425" t="n">
        <f aca="false">X31*AD31</f>
        <v>0</v>
      </c>
      <c r="AI31" s="425" t="n">
        <f aca="false">SUM(AF31:AH31)</f>
        <v>0</v>
      </c>
      <c r="AJ31" s="425" t="n">
        <f aca="false">(AD31*1000*$S$2)/1000000*R31</f>
        <v>0</v>
      </c>
      <c r="AK31" s="425" t="n">
        <f aca="false">($AK$5*O31)/12</f>
        <v>52853.6634731775</v>
      </c>
      <c r="AL31" s="425" t="n">
        <f aca="false">($AL$5*O31)/12</f>
        <v>134776.841856603</v>
      </c>
      <c r="AM31" s="425" t="n">
        <f aca="false">AD31*$AM$5*1000*O31</f>
        <v>0</v>
      </c>
      <c r="AN31" s="425" t="n">
        <f aca="false">(($AN$5*O31)/12)*$S$4</f>
        <v>120858.710475333</v>
      </c>
      <c r="AO31" s="425" t="n">
        <f aca="false">($AO$5*O31)/12</f>
        <v>26426.8317365887</v>
      </c>
      <c r="AP31" s="425" t="n">
        <f aca="false">AP30</f>
        <v>46500.5582152336</v>
      </c>
      <c r="AQ31" s="433" t="n">
        <f aca="false">SUM(AK31:AP31)</f>
        <v>381416.605756935</v>
      </c>
      <c r="AR31" s="425" t="n">
        <f aca="false">($AR$5*O31)/12</f>
        <v>13213.4158682944</v>
      </c>
      <c r="AS31" s="433" t="n">
        <f aca="false">AS30</f>
        <v>51061.5333333333</v>
      </c>
      <c r="AT31" s="425" t="n">
        <f aca="false">(AI31/100)*$AT$6*O31</f>
        <v>0</v>
      </c>
      <c r="AU31" s="433" t="n">
        <f aca="false">SUM(AJ31:AT31)-AQ31</f>
        <v>445691.554958563</v>
      </c>
      <c r="AV31" s="433" t="n">
        <f aca="false">AI31-AU31</f>
        <v>-445691.554958563</v>
      </c>
      <c r="AW31" s="493"/>
      <c r="AX31" s="423" t="n">
        <f aca="false">K31</f>
        <v>37257</v>
      </c>
      <c r="BA31" s="126"/>
      <c r="BB31" s="481" t="n">
        <f aca="false">X31</f>
        <v>35.7749984741211</v>
      </c>
      <c r="BC31" s="481" t="n">
        <f aca="false">'Curve Analysis - Base Case'!D23</f>
        <v>49.815914987203</v>
      </c>
      <c r="BD31" s="479" t="n">
        <f aca="false">L31</f>
        <v>0.070276460298628</v>
      </c>
      <c r="BE31" s="479" t="n">
        <f aca="false">L31</f>
        <v>0.070276460298628</v>
      </c>
      <c r="BF31" s="489" t="n">
        <f aca="false">PJM_01212000!X31</f>
        <v>0.198</v>
      </c>
      <c r="BG31" s="425" t="n">
        <f aca="false">(AX31+15)-$K$1</f>
        <v>683</v>
      </c>
      <c r="BH31" s="433" t="n">
        <f aca="false">AD31</f>
        <v>0</v>
      </c>
      <c r="BJ31" s="486" t="e">
        <f aca="false">EURO(BB31,BC31,BD31,BE31,BF31,BG31,1,0)*BH31</f>
        <v>#NAME?</v>
      </c>
      <c r="BK31" s="433" t="n">
        <f aca="false">(AI31-AJ31)*N31</f>
        <v>0</v>
      </c>
      <c r="BM31" s="433" t="e">
        <f aca="false">BJ31-BK31</f>
        <v>#NAME?</v>
      </c>
    </row>
    <row r="32" customFormat="false" ht="16.5" hidden="false" customHeight="false" outlineLevel="0" collapsed="false">
      <c r="A32" s="59" t="n">
        <f aca="false">A31+1</f>
        <v>26</v>
      </c>
      <c r="C32" s="59" t="n">
        <v>28</v>
      </c>
      <c r="D32" s="59" t="s">
        <v>165</v>
      </c>
      <c r="E32" s="125" t="n">
        <f aca="false">E31+C31</f>
        <v>37288</v>
      </c>
      <c r="F32" s="425" t="n">
        <v>20</v>
      </c>
      <c r="G32" s="433" t="n">
        <f aca="false">C32-F32</f>
        <v>8</v>
      </c>
      <c r="H32" s="433"/>
      <c r="I32" s="433"/>
      <c r="J32" s="59" t="n">
        <f aca="false">K33-K32</f>
        <v>28</v>
      </c>
      <c r="K32" s="478" t="n">
        <v>37288</v>
      </c>
      <c r="L32" s="490" t="n">
        <v>0.07047217922523</v>
      </c>
      <c r="M32" s="491" t="n">
        <v>0.064997390775064</v>
      </c>
      <c r="N32" s="480" t="n">
        <f aca="false">(1+L32/2)^(-2*((K32+$T$1)-$K$1)/365.25)</f>
        <v>0.868586338670144</v>
      </c>
      <c r="O32" s="127" t="n">
        <f aca="false">VLOOKUP(K32,Inflation!$B$8:$C$266,2)</f>
        <v>1.05942274936439</v>
      </c>
      <c r="P32" s="480"/>
      <c r="Q32" s="481" t="n">
        <f aca="false">VLOOKUP(K32,'Fuel Curve'!$B$11:$F$268,5)</f>
        <v>4.86258620689655</v>
      </c>
      <c r="R32" s="482" t="n">
        <f aca="false">VLOOKUP(K32,'Fuel Curve Simulation'!$B$12:$J$258,9)</f>
        <v>4.86258620689655</v>
      </c>
      <c r="S32" s="481" t="n">
        <f aca="false">(R32*$S$2)/1000</f>
        <v>46.5787132758621</v>
      </c>
      <c r="T32" s="483"/>
      <c r="V32" s="128" t="n">
        <f aca="false">VLOOKUP(K32,PJM_01212000!$A$7:$C$259,3)</f>
        <v>35.7749984741211</v>
      </c>
      <c r="W32" s="128"/>
      <c r="X32" s="484" t="n">
        <f aca="false">'PJM Curve Simulation'!J32</f>
        <v>35.7749984741211</v>
      </c>
      <c r="Y32" s="489"/>
      <c r="Z32" s="483"/>
      <c r="AA32" s="59" t="n">
        <f aca="false">AA31</f>
        <v>315</v>
      </c>
      <c r="AB32" s="425" t="n">
        <f aca="false">AA32*F32*16</f>
        <v>100800</v>
      </c>
      <c r="AC32" s="425" t="n">
        <f aca="false">VLOOKUP(K32,'Company Volumes'!$B$20:$C$259,2)</f>
        <v>926.552155383555</v>
      </c>
      <c r="AD32" s="485" t="n">
        <f aca="false">IF(V32&gt;S32+($AM$5*1000*O32),AA32*F32*16,0)</f>
        <v>0</v>
      </c>
      <c r="AE32" s="425"/>
      <c r="AF32" s="425" t="n">
        <v>0</v>
      </c>
      <c r="AG32" s="425" t="n">
        <v>0</v>
      </c>
      <c r="AH32" s="425" t="n">
        <f aca="false">X32*AD32</f>
        <v>0</v>
      </c>
      <c r="AI32" s="425" t="n">
        <f aca="false">SUM(AF32:AH32)</f>
        <v>0</v>
      </c>
      <c r="AJ32" s="425" t="n">
        <f aca="false">(AD32*1000*$S$2)/1000000*R32</f>
        <v>0</v>
      </c>
      <c r="AK32" s="425" t="n">
        <f aca="false">($AK$5*O32)/12</f>
        <v>52971.1374682197</v>
      </c>
      <c r="AL32" s="425" t="n">
        <f aca="false">($AL$5*O32)/12</f>
        <v>135076.40054396</v>
      </c>
      <c r="AM32" s="425" t="n">
        <f aca="false">AD32*$AM$5*1000*O32</f>
        <v>0</v>
      </c>
      <c r="AN32" s="425" t="n">
        <f aca="false">(($AN$5*O32)/12)*$S$4</f>
        <v>121127.334343996</v>
      </c>
      <c r="AO32" s="425" t="n">
        <f aca="false">($AO$5*O32)/12</f>
        <v>26485.5687341099</v>
      </c>
      <c r="AP32" s="425" t="n">
        <f aca="false">AP31</f>
        <v>46500.5582152336</v>
      </c>
      <c r="AQ32" s="433" t="n">
        <f aca="false">SUM(AK32:AP32)</f>
        <v>382160.999305519</v>
      </c>
      <c r="AR32" s="425" t="n">
        <f aca="false">($AR$5*O32)/12</f>
        <v>13242.7843670549</v>
      </c>
      <c r="AS32" s="433" t="n">
        <f aca="false">AS31</f>
        <v>51061.5333333333</v>
      </c>
      <c r="AT32" s="425" t="n">
        <f aca="false">(AI32/100)*$AT$6*O32</f>
        <v>0</v>
      </c>
      <c r="AU32" s="433" t="n">
        <f aca="false">SUM(AJ32:AT32)-AQ32</f>
        <v>446465.317005908</v>
      </c>
      <c r="AV32" s="433" t="n">
        <f aca="false">AI32-AU32</f>
        <v>-446465.317005908</v>
      </c>
      <c r="AW32" s="493"/>
      <c r="AX32" s="423" t="n">
        <f aca="false">K32</f>
        <v>37288</v>
      </c>
      <c r="BA32" s="126"/>
      <c r="BB32" s="481" t="n">
        <f aca="false">X32</f>
        <v>35.7749984741211</v>
      </c>
      <c r="BC32" s="481" t="n">
        <f aca="false">'Curve Analysis - Base Case'!D24</f>
        <v>48.6975587745909</v>
      </c>
      <c r="BD32" s="479" t="n">
        <f aca="false">L32</f>
        <v>0.07047217922523</v>
      </c>
      <c r="BE32" s="479" t="n">
        <f aca="false">L32</f>
        <v>0.07047217922523</v>
      </c>
      <c r="BF32" s="489" t="n">
        <f aca="false">PJM_01212000!X32</f>
        <v>0.198</v>
      </c>
      <c r="BG32" s="425" t="n">
        <f aca="false">(AX32+15)-$K$1</f>
        <v>714</v>
      </c>
      <c r="BH32" s="433" t="n">
        <f aca="false">AD32</f>
        <v>0</v>
      </c>
      <c r="BJ32" s="486" t="e">
        <f aca="false">EURO(BB32,BC32,BD32,BE32,BF32,BG32,1,0)*BH32</f>
        <v>#NAME?</v>
      </c>
      <c r="BK32" s="433" t="n">
        <f aca="false">(AI32-AJ32)*N32</f>
        <v>0</v>
      </c>
      <c r="BM32" s="433" t="e">
        <f aca="false">BJ32-BK32</f>
        <v>#NAME?</v>
      </c>
    </row>
    <row r="33" customFormat="false" ht="16.5" hidden="false" customHeight="false" outlineLevel="0" collapsed="false">
      <c r="A33" s="59" t="n">
        <f aca="false">A32+1</f>
        <v>27</v>
      </c>
      <c r="C33" s="59" t="n">
        <v>31</v>
      </c>
      <c r="D33" s="59" t="s">
        <v>166</v>
      </c>
      <c r="E33" s="125" t="n">
        <f aca="false">E32+C32</f>
        <v>37316</v>
      </c>
      <c r="F33" s="425" t="n">
        <v>21</v>
      </c>
      <c r="G33" s="433" t="n">
        <f aca="false">C33-F33</f>
        <v>10</v>
      </c>
      <c r="H33" s="433"/>
      <c r="I33" s="433"/>
      <c r="J33" s="59" t="n">
        <f aca="false">K34-K33</f>
        <v>31</v>
      </c>
      <c r="K33" s="478" t="n">
        <v>37316</v>
      </c>
      <c r="L33" s="490" t="n">
        <v>0.070648957621433</v>
      </c>
      <c r="M33" s="491" t="n">
        <v>0.065286398820917</v>
      </c>
      <c r="N33" s="480" t="n">
        <f aca="false">(1+L33/2)^(-2*((K33+$T$1)-$K$1)/365.25)</f>
        <v>0.863675540420815</v>
      </c>
      <c r="O33" s="127" t="n">
        <f aca="false">VLOOKUP(K33,Inflation!$B$8:$C$266,2)</f>
        <v>1.0617774512834</v>
      </c>
      <c r="P33" s="480"/>
      <c r="Q33" s="481" t="n">
        <f aca="false">VLOOKUP(K33,'Fuel Curve'!$B$11:$F$268,5)</f>
        <v>4.74810344827586</v>
      </c>
      <c r="R33" s="482" t="n">
        <f aca="false">VLOOKUP(K33,'Fuel Curve Simulation'!$B$12:$J$258,9)</f>
        <v>4.74810344827586</v>
      </c>
      <c r="S33" s="481" t="n">
        <f aca="false">(R33*$S$2)/1000</f>
        <v>45.4820829310345</v>
      </c>
      <c r="T33" s="483"/>
      <c r="V33" s="128" t="n">
        <f aca="false">VLOOKUP(K33,PJM_01212000!$A$7:$C$259,3)</f>
        <v>25.8750007629395</v>
      </c>
      <c r="W33" s="128"/>
      <c r="X33" s="484" t="n">
        <f aca="false">'PJM Curve Simulation'!J33</f>
        <v>25.8750007629395</v>
      </c>
      <c r="Y33" s="489"/>
      <c r="Z33" s="483"/>
      <c r="AA33" s="59" t="n">
        <f aca="false">AA32</f>
        <v>315</v>
      </c>
      <c r="AB33" s="425" t="n">
        <f aca="false">AA33*F33*16</f>
        <v>105840</v>
      </c>
      <c r="AC33" s="425" t="n">
        <f aca="false">VLOOKUP(K33,'Company Volumes'!$B$20:$C$259,2)</f>
        <v>926.552155383555</v>
      </c>
      <c r="AD33" s="485" t="n">
        <f aca="false">IF(V33&gt;S33+($AM$5*1000*O33),AA33*F33*16,0)</f>
        <v>0</v>
      </c>
      <c r="AE33" s="425"/>
      <c r="AF33" s="425" t="n">
        <v>0</v>
      </c>
      <c r="AG33" s="425" t="n">
        <v>0</v>
      </c>
      <c r="AH33" s="425" t="n">
        <f aca="false">X33*AD33</f>
        <v>0</v>
      </c>
      <c r="AI33" s="425" t="n">
        <f aca="false">SUM(AF33:AH33)</f>
        <v>0</v>
      </c>
      <c r="AJ33" s="425" t="n">
        <f aca="false">(AD33*1000*$S$2)/1000000*R33</f>
        <v>0</v>
      </c>
      <c r="AK33" s="425" t="n">
        <f aca="false">($AK$5*O33)/12</f>
        <v>53088.8725641698</v>
      </c>
      <c r="AL33" s="425" t="n">
        <f aca="false">($AL$5*O33)/12</f>
        <v>135376.625038633</v>
      </c>
      <c r="AM33" s="425" t="n">
        <f aca="false">AD33*$AM$5*1000*O33</f>
        <v>0</v>
      </c>
      <c r="AN33" s="425" t="n">
        <f aca="false">(($AN$5*O33)/12)*$S$4</f>
        <v>121396.555263402</v>
      </c>
      <c r="AO33" s="425" t="n">
        <f aca="false">($AO$5*O33)/12</f>
        <v>26544.4362820849</v>
      </c>
      <c r="AP33" s="425" t="n">
        <f aca="false">AP32</f>
        <v>46500.5582152336</v>
      </c>
      <c r="AQ33" s="433" t="n">
        <f aca="false">SUM(AK33:AP33)</f>
        <v>382907.047363523</v>
      </c>
      <c r="AR33" s="425" t="n">
        <f aca="false">($AR$5*O33)/12</f>
        <v>13272.2181410424</v>
      </c>
      <c r="AS33" s="433" t="n">
        <f aca="false">AS32</f>
        <v>51061.5333333333</v>
      </c>
      <c r="AT33" s="425" t="n">
        <f aca="false">(AI33/100)*$AT$6*O33</f>
        <v>0</v>
      </c>
      <c r="AU33" s="433" t="n">
        <f aca="false">SUM(AJ33:AT33)-AQ33</f>
        <v>447240.798837898</v>
      </c>
      <c r="AV33" s="433" t="n">
        <f aca="false">AI33-AU33</f>
        <v>-447240.798837898</v>
      </c>
      <c r="AW33" s="493"/>
      <c r="AX33" s="423" t="n">
        <f aca="false">K33</f>
        <v>37316</v>
      </c>
      <c r="BA33" s="126"/>
      <c r="BB33" s="481" t="n">
        <f aca="false">X33</f>
        <v>25.8750007629395</v>
      </c>
      <c r="BC33" s="481" t="n">
        <f aca="false">'Curve Analysis - Base Case'!D25</f>
        <v>47.6056378336013</v>
      </c>
      <c r="BD33" s="479" t="n">
        <f aca="false">L33</f>
        <v>0.070648957621433</v>
      </c>
      <c r="BE33" s="479" t="n">
        <f aca="false">L33</f>
        <v>0.070648957621433</v>
      </c>
      <c r="BF33" s="489" t="n">
        <f aca="false">PJM_01212000!X33</f>
        <v>0.165</v>
      </c>
      <c r="BG33" s="425" t="n">
        <f aca="false">(AX33+15)-$K$1</f>
        <v>742</v>
      </c>
      <c r="BH33" s="433" t="n">
        <f aca="false">AD33</f>
        <v>0</v>
      </c>
      <c r="BJ33" s="486" t="e">
        <f aca="false">EURO(BB33,BC33,BD33,BE33,BF33,BG33,1,0)*BH33</f>
        <v>#NAME?</v>
      </c>
      <c r="BK33" s="433" t="n">
        <f aca="false">(AI33-AJ33)*N33</f>
        <v>0</v>
      </c>
      <c r="BM33" s="433" t="e">
        <f aca="false">BJ33-BK33</f>
        <v>#NAME?</v>
      </c>
    </row>
    <row r="34" customFormat="false" ht="16.5" hidden="false" customHeight="false" outlineLevel="0" collapsed="false">
      <c r="A34" s="59" t="n">
        <f aca="false">A33+1</f>
        <v>28</v>
      </c>
      <c r="C34" s="59" t="n">
        <v>30</v>
      </c>
      <c r="D34" s="59" t="s">
        <v>167</v>
      </c>
      <c r="E34" s="125" t="n">
        <f aca="false">E33+C33</f>
        <v>37347</v>
      </c>
      <c r="F34" s="425" t="n">
        <v>22</v>
      </c>
      <c r="G34" s="433" t="n">
        <f aca="false">C34-F34</f>
        <v>8</v>
      </c>
      <c r="H34" s="433"/>
      <c r="I34" s="433"/>
      <c r="J34" s="59" t="n">
        <f aca="false">K35-K34</f>
        <v>30</v>
      </c>
      <c r="K34" s="478" t="n">
        <v>37347</v>
      </c>
      <c r="L34" s="490" t="n">
        <v>0.070820178359482</v>
      </c>
      <c r="M34" s="491" t="n">
        <v>0.065890144769161</v>
      </c>
      <c r="N34" s="480" t="n">
        <f aca="false">(1+L34/2)^(-2*((K34+$T$1)-$K$1)/365.25)</f>
        <v>0.85828937638612</v>
      </c>
      <c r="O34" s="127" t="n">
        <f aca="false">VLOOKUP(K34,Inflation!$B$8:$C$266,2)</f>
        <v>1.06413738682715</v>
      </c>
      <c r="P34" s="480"/>
      <c r="Q34" s="481" t="n">
        <f aca="false">VLOOKUP(K34,'Fuel Curve'!$B$11:$F$268,5)</f>
        <v>4.6351724137931</v>
      </c>
      <c r="R34" s="482" t="n">
        <f aca="false">VLOOKUP(K34,'Fuel Curve Simulation'!$B$12:$J$258,9)</f>
        <v>4.6351724137931</v>
      </c>
      <c r="S34" s="481" t="n">
        <f aca="false">(R34*$S$2)/1000</f>
        <v>44.4003165517242</v>
      </c>
      <c r="T34" s="483"/>
      <c r="V34" s="128" t="n">
        <f aca="false">VLOOKUP(K34,PJM_01212000!$A$7:$C$259,3)</f>
        <v>25.7750007629395</v>
      </c>
      <c r="W34" s="128"/>
      <c r="X34" s="484" t="n">
        <f aca="false">'PJM Curve Simulation'!J34</f>
        <v>25.7750007629395</v>
      </c>
      <c r="Y34" s="489"/>
      <c r="Z34" s="483"/>
      <c r="AA34" s="59" t="n">
        <f aca="false">AA33</f>
        <v>315</v>
      </c>
      <c r="AB34" s="425" t="n">
        <f aca="false">AA34*F34*16</f>
        <v>110880</v>
      </c>
      <c r="AC34" s="425" t="n">
        <f aca="false">VLOOKUP(K34,'Company Volumes'!$B$20:$C$259,2)</f>
        <v>12055.8894613982</v>
      </c>
      <c r="AD34" s="485" t="n">
        <f aca="false">IF(V34&gt;S34+($AM$5*1000*O34),AA34*F34*16,0)</f>
        <v>0</v>
      </c>
      <c r="AE34" s="425"/>
      <c r="AF34" s="425" t="n">
        <v>0</v>
      </c>
      <c r="AG34" s="425" t="n">
        <v>0</v>
      </c>
      <c r="AH34" s="425" t="n">
        <f aca="false">X34*AD34</f>
        <v>0</v>
      </c>
      <c r="AI34" s="425" t="n">
        <f aca="false">SUM(AF34:AH34)</f>
        <v>0</v>
      </c>
      <c r="AJ34" s="425" t="n">
        <f aca="false">(AD34*1000*$S$2)/1000000*R34</f>
        <v>0</v>
      </c>
      <c r="AK34" s="425" t="n">
        <f aca="false">($AK$5*O34)/12</f>
        <v>53206.8693413575</v>
      </c>
      <c r="AL34" s="425" t="n">
        <f aca="false">($AL$5*O34)/12</f>
        <v>135677.516820462</v>
      </c>
      <c r="AM34" s="425" t="n">
        <f aca="false">AD34*$AM$5*1000*O34</f>
        <v>0</v>
      </c>
      <c r="AN34" s="425" t="n">
        <f aca="false">(($AN$5*O34)/12)*$S$4</f>
        <v>121666.374560571</v>
      </c>
      <c r="AO34" s="425" t="n">
        <f aca="false">($AO$5*O34)/12</f>
        <v>26603.4346706788</v>
      </c>
      <c r="AP34" s="425" t="n">
        <f aca="false">AP33</f>
        <v>46500.5582152336</v>
      </c>
      <c r="AQ34" s="433" t="n">
        <f aca="false">SUM(AK34:AP34)</f>
        <v>383654.753608302</v>
      </c>
      <c r="AR34" s="425" t="n">
        <f aca="false">($AR$5*O34)/12</f>
        <v>13301.7173353394</v>
      </c>
      <c r="AS34" s="433" t="n">
        <f aca="false">AS33</f>
        <v>51061.5333333333</v>
      </c>
      <c r="AT34" s="425" t="n">
        <f aca="false">(AI34/100)*$AT$6*O34</f>
        <v>0</v>
      </c>
      <c r="AU34" s="433" t="n">
        <f aca="false">SUM(AJ34:AT34)-AQ34</f>
        <v>448018.004276975</v>
      </c>
      <c r="AV34" s="433" t="n">
        <f aca="false">AI34-AU34</f>
        <v>-448018.004276975</v>
      </c>
      <c r="AW34" s="493"/>
      <c r="AX34" s="423" t="n">
        <f aca="false">K34</f>
        <v>37347</v>
      </c>
      <c r="BA34" s="126"/>
      <c r="BB34" s="481" t="n">
        <f aca="false">X34</f>
        <v>25.7750007629395</v>
      </c>
      <c r="BC34" s="481" t="n">
        <f aca="false">'Curve Analysis - Base Case'!D26</f>
        <v>46.5285913253785</v>
      </c>
      <c r="BD34" s="479" t="n">
        <f aca="false">L34</f>
        <v>0.070820178359482</v>
      </c>
      <c r="BE34" s="479" t="n">
        <f aca="false">L34</f>
        <v>0.070820178359482</v>
      </c>
      <c r="BF34" s="489" t="n">
        <f aca="false">PJM_01212000!X34</f>
        <v>0.15675</v>
      </c>
      <c r="BG34" s="425" t="n">
        <f aca="false">(AX34+15)-$K$1</f>
        <v>773</v>
      </c>
      <c r="BH34" s="433" t="n">
        <f aca="false">AD34</f>
        <v>0</v>
      </c>
      <c r="BJ34" s="486" t="e">
        <f aca="false">EURO(BB34,BC34,BD34,BE34,BF34,BG34,1,0)*BH34</f>
        <v>#NAME?</v>
      </c>
      <c r="BK34" s="433" t="n">
        <f aca="false">(AI34-AJ34)*N34</f>
        <v>0</v>
      </c>
      <c r="BM34" s="433" t="e">
        <f aca="false">BJ34-BK34</f>
        <v>#NAME?</v>
      </c>
    </row>
    <row r="35" customFormat="false" ht="16.5" hidden="false" customHeight="false" outlineLevel="0" collapsed="false">
      <c r="A35" s="59" t="n">
        <f aca="false">A34+1</f>
        <v>29</v>
      </c>
      <c r="C35" s="59" t="n">
        <v>31</v>
      </c>
      <c r="D35" s="59" t="s">
        <v>29</v>
      </c>
      <c r="E35" s="125" t="n">
        <f aca="false">E34+C34</f>
        <v>37377</v>
      </c>
      <c r="F35" s="425" t="n">
        <v>23</v>
      </c>
      <c r="G35" s="433" t="n">
        <f aca="false">C35-F35</f>
        <v>8</v>
      </c>
      <c r="H35" s="433"/>
      <c r="I35" s="433"/>
      <c r="J35" s="59" t="n">
        <f aca="false">K36-K35</f>
        <v>31</v>
      </c>
      <c r="K35" s="478" t="n">
        <v>37377</v>
      </c>
      <c r="L35" s="490" t="n">
        <v>0.070949708337774</v>
      </c>
      <c r="M35" s="491" t="n">
        <v>0.065921472008656</v>
      </c>
      <c r="N35" s="480" t="n">
        <f aca="false">(1+L35/2)^(-2*((K35+$T$1)-$K$1)/365.25)</f>
        <v>0.853154044119824</v>
      </c>
      <c r="O35" s="127" t="n">
        <f aca="false">VLOOKUP(K35,Inflation!$B$8:$C$266,2)</f>
        <v>1.06650256762806</v>
      </c>
      <c r="P35" s="480"/>
      <c r="Q35" s="481" t="n">
        <f aca="false">VLOOKUP(K35,'Fuel Curve'!$B$11:$F$268,5)</f>
        <v>4.55258620689655</v>
      </c>
      <c r="R35" s="482" t="n">
        <f aca="false">VLOOKUP(K35,'Fuel Curve Simulation'!$B$12:$J$258,9)</f>
        <v>4.55258620689655</v>
      </c>
      <c r="S35" s="481" t="n">
        <f aca="false">(R35*$S$2)/1000</f>
        <v>43.6092232758621</v>
      </c>
      <c r="T35" s="483"/>
      <c r="V35" s="128" t="n">
        <f aca="false">VLOOKUP(K35,PJM_01212000!$A$7:$C$259,3)</f>
        <v>30.875</v>
      </c>
      <c r="W35" s="128"/>
      <c r="X35" s="484" t="n">
        <f aca="false">'PJM Curve Simulation'!J35</f>
        <v>30.875</v>
      </c>
      <c r="Y35" s="489"/>
      <c r="Z35" s="483"/>
      <c r="AA35" s="59" t="n">
        <f aca="false">AA34</f>
        <v>315</v>
      </c>
      <c r="AB35" s="425" t="n">
        <f aca="false">AA35*F35*16</f>
        <v>115920</v>
      </c>
      <c r="AC35" s="425" t="n">
        <f aca="false">VLOOKUP(K35,'Company Volumes'!$B$20:$C$259,2)</f>
        <v>17367.4145051524</v>
      </c>
      <c r="AD35" s="485" t="n">
        <f aca="false">IF(V35&gt;S35+($AM$5*1000*O35),AA35*F35*16,0)</f>
        <v>0</v>
      </c>
      <c r="AE35" s="425"/>
      <c r="AF35" s="425" t="n">
        <v>0</v>
      </c>
      <c r="AG35" s="425" t="n">
        <v>0</v>
      </c>
      <c r="AH35" s="425" t="n">
        <f aca="false">X35*AD35</f>
        <v>0</v>
      </c>
      <c r="AI35" s="425" t="n">
        <f aca="false">SUM(AF35:AH35)</f>
        <v>0</v>
      </c>
      <c r="AJ35" s="425" t="n">
        <f aca="false">(AD35*1000*$S$2)/1000000*R35</f>
        <v>0</v>
      </c>
      <c r="AK35" s="425" t="n">
        <f aca="false">($AK$5*O35)/12</f>
        <v>53325.1283814029</v>
      </c>
      <c r="AL35" s="425" t="n">
        <f aca="false">($AL$5*O35)/12</f>
        <v>135979.077372577</v>
      </c>
      <c r="AM35" s="425" t="n">
        <f aca="false">AD35*$AM$5*1000*O35</f>
        <v>0</v>
      </c>
      <c r="AN35" s="425" t="n">
        <f aca="false">(($AN$5*O35)/12)*$S$4</f>
        <v>121936.793565475</v>
      </c>
      <c r="AO35" s="425" t="n">
        <f aca="false">($AO$5*O35)/12</f>
        <v>26662.5641907015</v>
      </c>
      <c r="AP35" s="425" t="n">
        <f aca="false">AP34</f>
        <v>46500.5582152336</v>
      </c>
      <c r="AQ35" s="433" t="n">
        <f aca="false">SUM(AK35:AP35)</f>
        <v>384404.12172539</v>
      </c>
      <c r="AR35" s="425" t="n">
        <f aca="false">($AR$5*O35)/12</f>
        <v>13331.2820953507</v>
      </c>
      <c r="AS35" s="433" t="n">
        <f aca="false">AS34</f>
        <v>51061.5333333333</v>
      </c>
      <c r="AT35" s="425" t="n">
        <f aca="false">(AI35/100)*$AT$6*O35</f>
        <v>0</v>
      </c>
      <c r="AU35" s="433" t="n">
        <f aca="false">SUM(AJ35:AT35)-AQ35</f>
        <v>448796.937154074</v>
      </c>
      <c r="AV35" s="433" t="n">
        <f aca="false">AI35-AU35</f>
        <v>-448796.937154074</v>
      </c>
      <c r="AW35" s="493"/>
      <c r="AX35" s="423" t="n">
        <f aca="false">K35</f>
        <v>37377</v>
      </c>
      <c r="BA35" s="126"/>
      <c r="BB35" s="481" t="n">
        <f aca="false">X35</f>
        <v>30.875</v>
      </c>
      <c r="BC35" s="481" t="n">
        <f aca="false">'Curve Analysis - Base Case'!D27</f>
        <v>45.7422284111182</v>
      </c>
      <c r="BD35" s="479" t="n">
        <f aca="false">L35</f>
        <v>0.070949708337774</v>
      </c>
      <c r="BE35" s="479" t="n">
        <f aca="false">L35</f>
        <v>0.070949708337774</v>
      </c>
      <c r="BF35" s="489" t="n">
        <f aca="false">PJM_01212000!X35</f>
        <v>0.17325</v>
      </c>
      <c r="BG35" s="425" t="n">
        <f aca="false">(AX35+15)-$K$1</f>
        <v>803</v>
      </c>
      <c r="BH35" s="433" t="n">
        <f aca="false">AD35</f>
        <v>0</v>
      </c>
      <c r="BJ35" s="486" t="e">
        <f aca="false">EURO(BB35,BC35,BD35,BE35,BF35,BG35,1,0)*BH35</f>
        <v>#NAME?</v>
      </c>
      <c r="BK35" s="433" t="n">
        <f aca="false">(AI35-AJ35)*N35</f>
        <v>0</v>
      </c>
      <c r="BM35" s="433" t="e">
        <f aca="false">BJ35-BK35</f>
        <v>#NAME?</v>
      </c>
    </row>
    <row r="36" customFormat="false" ht="16.5" hidden="false" customHeight="false" outlineLevel="0" collapsed="false">
      <c r="A36" s="59" t="n">
        <f aca="false">A35+1</f>
        <v>30</v>
      </c>
      <c r="C36" s="59" t="n">
        <v>30</v>
      </c>
      <c r="D36" s="59" t="s">
        <v>168</v>
      </c>
      <c r="E36" s="125" t="n">
        <f aca="false">E35+C35</f>
        <v>37408</v>
      </c>
      <c r="F36" s="425" t="n">
        <v>20</v>
      </c>
      <c r="G36" s="433" t="n">
        <f aca="false">C36-F36</f>
        <v>10</v>
      </c>
      <c r="H36" s="433"/>
      <c r="I36" s="433"/>
      <c r="J36" s="59" t="n">
        <f aca="false">K37-K36</f>
        <v>30</v>
      </c>
      <c r="K36" s="478" t="n">
        <v>37408</v>
      </c>
      <c r="L36" s="490" t="n">
        <v>0.071083555987836</v>
      </c>
      <c r="M36" s="491" t="n">
        <v>0.06595384349664</v>
      </c>
      <c r="N36" s="480" t="n">
        <f aca="false">(1+L36/2)^(-2*((K36+$T$1)-$K$1)/365.25)</f>
        <v>0.847861523253344</v>
      </c>
      <c r="O36" s="127" t="n">
        <f aca="false">VLOOKUP(K36,Inflation!$B$8:$C$266,2)</f>
        <v>1.06887300534437</v>
      </c>
      <c r="P36" s="480"/>
      <c r="Q36" s="481" t="n">
        <f aca="false">VLOOKUP(K36,'Fuel Curve'!$B$11:$F$268,5)</f>
        <v>4.53172413793104</v>
      </c>
      <c r="R36" s="482" t="n">
        <f aca="false">VLOOKUP(K36,'Fuel Curve Simulation'!$B$12:$J$258,9)</f>
        <v>4.53172413793104</v>
      </c>
      <c r="S36" s="481" t="n">
        <f aca="false">(R36*$S$2)/1000</f>
        <v>43.4093855172414</v>
      </c>
      <c r="T36" s="483"/>
      <c r="V36" s="128" t="n">
        <f aca="false">VLOOKUP(K36,PJM_01212000!$A$7:$C$259,3)</f>
        <v>54.8499984741211</v>
      </c>
      <c r="W36" s="128"/>
      <c r="X36" s="484" t="n">
        <f aca="false">'PJM Curve Simulation'!J36</f>
        <v>54.8499984741211</v>
      </c>
      <c r="Y36" s="489"/>
      <c r="Z36" s="483"/>
      <c r="AA36" s="59" t="n">
        <f aca="false">AA35</f>
        <v>315</v>
      </c>
      <c r="AB36" s="425" t="n">
        <f aca="false">AA36*F36*16</f>
        <v>100800</v>
      </c>
      <c r="AC36" s="425" t="n">
        <f aca="false">VLOOKUP(K36,'Company Volumes'!$B$20:$C$259,2)</f>
        <v>29277.0300260729</v>
      </c>
      <c r="AD36" s="485" t="n">
        <f aca="false">IF(V36&gt;S36+($AM$5*1000*O36),AA36*F36*16,0)</f>
        <v>100800</v>
      </c>
      <c r="AE36" s="425"/>
      <c r="AF36" s="425" t="n">
        <v>0</v>
      </c>
      <c r="AG36" s="425" t="n">
        <v>0</v>
      </c>
      <c r="AH36" s="425" t="n">
        <f aca="false">X36*AD36</f>
        <v>5528879.84619141</v>
      </c>
      <c r="AI36" s="425" t="n">
        <f aca="false">SUM(AF36:AH36)</f>
        <v>5528879.84619141</v>
      </c>
      <c r="AJ36" s="425" t="n">
        <f aca="false">(AD36*1000*$S$2)/1000000*R36</f>
        <v>4375666.06013793</v>
      </c>
      <c r="AK36" s="425" t="n">
        <f aca="false">($AK$5*O36)/12</f>
        <v>53443.6502672185</v>
      </c>
      <c r="AL36" s="425" t="n">
        <f aca="false">($AL$5*O36)/12</f>
        <v>136281.308181407</v>
      </c>
      <c r="AM36" s="425" t="n">
        <f aca="false">AD36*$AM$5*1000*O36</f>
        <v>215484.797877425</v>
      </c>
      <c r="AN36" s="425" t="n">
        <f aca="false">(($AN$5*O36)/12)*$S$4</f>
        <v>122207.81361104</v>
      </c>
      <c r="AO36" s="425" t="n">
        <f aca="false">($AO$5*O36)/12</f>
        <v>26721.8251336093</v>
      </c>
      <c r="AP36" s="425" t="n">
        <f aca="false">AP35</f>
        <v>46500.5582152336</v>
      </c>
      <c r="AQ36" s="433" t="n">
        <f aca="false">SUM(AK36:AP36)</f>
        <v>600639.953285934</v>
      </c>
      <c r="AR36" s="425" t="n">
        <f aca="false">($AR$5*O36)/12</f>
        <v>13360.9125668046</v>
      </c>
      <c r="AS36" s="433" t="n">
        <f aca="false">AS35</f>
        <v>51061.5333333333</v>
      </c>
      <c r="AT36" s="425" t="n">
        <f aca="false">(AI36/100)*$AT$6*O36</f>
        <v>35458.0225043192</v>
      </c>
      <c r="AU36" s="433" t="n">
        <f aca="false">SUM(AJ36:AT36)-AQ36</f>
        <v>5076186.48182832</v>
      </c>
      <c r="AV36" s="433" t="n">
        <f aca="false">AI36-AU36</f>
        <v>452693.364363085</v>
      </c>
      <c r="AW36" s="493"/>
      <c r="AX36" s="423" t="n">
        <f aca="false">K36</f>
        <v>37408</v>
      </c>
      <c r="BA36" s="126"/>
      <c r="BB36" s="481" t="n">
        <f aca="false">X36</f>
        <v>54.8499984741211</v>
      </c>
      <c r="BC36" s="481" t="n">
        <f aca="false">'Curve Analysis - Base Case'!D28</f>
        <v>45.5471315279301</v>
      </c>
      <c r="BD36" s="479" t="n">
        <f aca="false">L36</f>
        <v>0.071083555987836</v>
      </c>
      <c r="BE36" s="479" t="n">
        <f aca="false">L36</f>
        <v>0.071083555987836</v>
      </c>
      <c r="BF36" s="489" t="n">
        <f aca="false">PJM_01212000!X36</f>
        <v>0.22275</v>
      </c>
      <c r="BG36" s="425" t="n">
        <f aca="false">(AX36+15)-$K$1</f>
        <v>834</v>
      </c>
      <c r="BH36" s="433" t="n">
        <f aca="false">AD36</f>
        <v>100800</v>
      </c>
      <c r="BJ36" s="486" t="e">
        <f aca="false">EURO(BB36,BC36,BD36,BE36,BF36,BG36,1,0)*BH36</f>
        <v>#NAME?</v>
      </c>
      <c r="BK36" s="433" t="n">
        <f aca="false">(AI36-AJ36)*N36</f>
        <v>977765.597280056</v>
      </c>
      <c r="BM36" s="433" t="e">
        <f aca="false">BJ36-BK36</f>
        <v>#NAME?</v>
      </c>
    </row>
    <row r="37" customFormat="false" ht="16.5" hidden="false" customHeight="false" outlineLevel="0" collapsed="false">
      <c r="A37" s="59" t="n">
        <f aca="false">A36+1</f>
        <v>31</v>
      </c>
      <c r="C37" s="59" t="n">
        <v>31</v>
      </c>
      <c r="D37" s="59" t="s">
        <v>169</v>
      </c>
      <c r="E37" s="125" t="n">
        <f aca="false">E36+C36</f>
        <v>37438</v>
      </c>
      <c r="F37" s="425" t="n">
        <v>23</v>
      </c>
      <c r="G37" s="433" t="n">
        <f aca="false">C37-F37</f>
        <v>8</v>
      </c>
      <c r="H37" s="433"/>
      <c r="I37" s="433"/>
      <c r="J37" s="59" t="n">
        <f aca="false">K38-K37</f>
        <v>31</v>
      </c>
      <c r="K37" s="478" t="n">
        <v>37438</v>
      </c>
      <c r="L37" s="490" t="n">
        <v>0.071203412357002</v>
      </c>
      <c r="M37" s="491" t="n">
        <v>0.065985170750018</v>
      </c>
      <c r="N37" s="480" t="n">
        <f aca="false">(1+L37/2)^(-2*((K37+$T$1)-$K$1)/365.25)</f>
        <v>0.84277264871996</v>
      </c>
      <c r="O37" s="127" t="n">
        <f aca="false">VLOOKUP(K37,Inflation!$B$8:$C$266,2)</f>
        <v>1.07124871166025</v>
      </c>
      <c r="P37" s="480"/>
      <c r="Q37" s="481" t="n">
        <f aca="false">VLOOKUP(K37,'Fuel Curve'!$B$11:$F$268,5)</f>
        <v>4.57293103448276</v>
      </c>
      <c r="R37" s="482" t="n">
        <f aca="false">VLOOKUP(K37,'Fuel Curve Simulation'!$B$12:$J$258,9)</f>
        <v>4.57293103448276</v>
      </c>
      <c r="S37" s="481" t="n">
        <f aca="false">(R37*$S$2)/1000</f>
        <v>43.8041063793104</v>
      </c>
      <c r="T37" s="483"/>
      <c r="V37" s="128" t="n">
        <f aca="false">VLOOKUP(K37,PJM_01212000!$A$7:$C$259,3)</f>
        <v>94.6999969482422</v>
      </c>
      <c r="W37" s="128"/>
      <c r="X37" s="484" t="n">
        <f aca="false">'PJM Curve Simulation'!J37</f>
        <v>94.6999969482422</v>
      </c>
      <c r="Y37" s="489"/>
      <c r="Z37" s="483"/>
      <c r="AA37" s="59" t="n">
        <f aca="false">AA36</f>
        <v>315</v>
      </c>
      <c r="AB37" s="425" t="n">
        <f aca="false">AA37*F37*16</f>
        <v>115920</v>
      </c>
      <c r="AC37" s="425" t="n">
        <f aca="false">VLOOKUP(K37,'Company Volumes'!$B$20:$C$259,2)</f>
        <v>52644.2173231458</v>
      </c>
      <c r="AD37" s="485" t="n">
        <f aca="false">IF(V37&gt;S37+($AM$5*1000*O37),AA37*F37*16,0)</f>
        <v>115920</v>
      </c>
      <c r="AE37" s="425"/>
      <c r="AF37" s="425" t="n">
        <v>0</v>
      </c>
      <c r="AG37" s="425" t="n">
        <v>0</v>
      </c>
      <c r="AH37" s="425" t="n">
        <f aca="false">X37*AD37</f>
        <v>10977623.6462402</v>
      </c>
      <c r="AI37" s="425" t="n">
        <f aca="false">SUM(AF37:AH37)</f>
        <v>10977623.6462402</v>
      </c>
      <c r="AJ37" s="425" t="n">
        <f aca="false">(AD37*1000*$S$2)/1000000*R37</f>
        <v>5077772.01148966</v>
      </c>
      <c r="AK37" s="425" t="n">
        <f aca="false">($AK$5*O37)/12</f>
        <v>53562.4355830125</v>
      </c>
      <c r="AL37" s="425" t="n">
        <f aca="false">($AL$5*O37)/12</f>
        <v>136584.210736682</v>
      </c>
      <c r="AM37" s="425" t="n">
        <f aca="false">AD37*$AM$5*1000*O37</f>
        <v>248358.301311312</v>
      </c>
      <c r="AN37" s="425" t="n">
        <f aca="false">(($AN$5*O37)/12)*$S$4</f>
        <v>122479.436033155</v>
      </c>
      <c r="AO37" s="425" t="n">
        <f aca="false">($AO$5*O37)/12</f>
        <v>26781.2177915063</v>
      </c>
      <c r="AP37" s="425" t="n">
        <f aca="false">AP36</f>
        <v>46500.5582152336</v>
      </c>
      <c r="AQ37" s="433" t="n">
        <f aca="false">SUM(AK37:AP37)</f>
        <v>634266.159670902</v>
      </c>
      <c r="AR37" s="425" t="n">
        <f aca="false">($AR$5*O37)/12</f>
        <v>13390.6088957531</v>
      </c>
      <c r="AS37" s="433" t="n">
        <f aca="false">AS36</f>
        <v>51061.5333333333</v>
      </c>
      <c r="AT37" s="425" t="n">
        <f aca="false">(AI37/100)*$AT$6*O37</f>
        <v>70558.5911287557</v>
      </c>
      <c r="AU37" s="433" t="n">
        <f aca="false">SUM(AJ37:AT37)-AQ37</f>
        <v>5847048.9045184</v>
      </c>
      <c r="AV37" s="433" t="n">
        <f aca="false">AI37-AU37</f>
        <v>5130574.74172184</v>
      </c>
      <c r="AW37" s="493"/>
      <c r="AX37" s="423" t="n">
        <f aca="false">K37</f>
        <v>37438</v>
      </c>
      <c r="BA37" s="126"/>
      <c r="BB37" s="481" t="n">
        <f aca="false">X37</f>
        <v>94.6999969482422</v>
      </c>
      <c r="BC37" s="481" t="n">
        <f aca="false">'Curve Analysis - Base Case'!D29</f>
        <v>45.9466038026309</v>
      </c>
      <c r="BD37" s="479" t="n">
        <f aca="false">L37</f>
        <v>0.071203412357002</v>
      </c>
      <c r="BE37" s="479" t="n">
        <f aca="false">L37</f>
        <v>0.071203412357002</v>
      </c>
      <c r="BF37" s="489" t="n">
        <f aca="false">PJM_01212000!X37</f>
        <v>0.27225</v>
      </c>
      <c r="BG37" s="425" t="n">
        <f aca="false">(AX37+15)-$K$1</f>
        <v>864</v>
      </c>
      <c r="BH37" s="433" t="n">
        <f aca="false">AD37</f>
        <v>115920</v>
      </c>
      <c r="BJ37" s="486" t="e">
        <f aca="false">EURO(BB37,BC37,BD37,BE37,BF37,BG37,1,0)*BH37</f>
        <v>#NAME?</v>
      </c>
      <c r="BK37" s="433" t="n">
        <f aca="false">(AI37-AJ37)*N37</f>
        <v>4972233.58927353</v>
      </c>
      <c r="BM37" s="433" t="e">
        <f aca="false">BJ37-BK37</f>
        <v>#NAME?</v>
      </c>
    </row>
    <row r="38" customFormat="false" ht="16.5" hidden="false" customHeight="false" outlineLevel="0" collapsed="false">
      <c r="A38" s="59" t="n">
        <f aca="false">A37+1</f>
        <v>32</v>
      </c>
      <c r="C38" s="59" t="n">
        <v>31</v>
      </c>
      <c r="D38" s="59" t="s">
        <v>170</v>
      </c>
      <c r="E38" s="125" t="n">
        <f aca="false">E37+C37</f>
        <v>37469</v>
      </c>
      <c r="F38" s="425" t="n">
        <v>22</v>
      </c>
      <c r="G38" s="433" t="n">
        <f aca="false">C38-F38</f>
        <v>9</v>
      </c>
      <c r="H38" s="433"/>
      <c r="I38" s="433"/>
      <c r="J38" s="59" t="n">
        <f aca="false">K39-K38</f>
        <v>31</v>
      </c>
      <c r="K38" s="478" t="n">
        <v>37469</v>
      </c>
      <c r="L38" s="490" t="n">
        <v>0.071311312147306</v>
      </c>
      <c r="M38" s="491" t="n">
        <v>0.066017542252348</v>
      </c>
      <c r="N38" s="480" t="n">
        <f aca="false">(1+L38/2)^(-2*((K38+$T$1)-$K$1)/365.25)</f>
        <v>0.837562151534639</v>
      </c>
      <c r="O38" s="127" t="n">
        <f aca="false">VLOOKUP(K38,Inflation!$B$8:$C$266,2)</f>
        <v>1.07362969828583</v>
      </c>
      <c r="P38" s="480"/>
      <c r="Q38" s="481" t="n">
        <f aca="false">VLOOKUP(K38,'Fuel Curve'!$B$11:$F$268,5)</f>
        <v>4.64672413793103</v>
      </c>
      <c r="R38" s="482" t="n">
        <f aca="false">VLOOKUP(K38,'Fuel Curve Simulation'!$B$12:$J$258,9)</f>
        <v>4.64672413793103</v>
      </c>
      <c r="S38" s="481" t="n">
        <f aca="false">(R38*$S$2)/1000</f>
        <v>44.5109705172414</v>
      </c>
      <c r="T38" s="483"/>
      <c r="V38" s="128" t="n">
        <f aca="false">VLOOKUP(K38,PJM_01212000!$A$7:$C$259,3)</f>
        <v>81.6999969482422</v>
      </c>
      <c r="W38" s="128"/>
      <c r="X38" s="484" t="n">
        <f aca="false">'PJM Curve Simulation'!J38</f>
        <v>81.6999969482422</v>
      </c>
      <c r="Y38" s="489"/>
      <c r="Z38" s="483"/>
      <c r="AA38" s="59" t="n">
        <f aca="false">AA37</f>
        <v>315</v>
      </c>
      <c r="AB38" s="425" t="n">
        <f aca="false">AA38*F38*16</f>
        <v>110880</v>
      </c>
      <c r="AC38" s="425" t="n">
        <f aca="false">VLOOKUP(K38,'Company Volumes'!$B$20:$C$259,2)</f>
        <v>35096.1448817684</v>
      </c>
      <c r="AD38" s="485" t="n">
        <f aca="false">IF(V38&gt;S38+($AM$5*1000*O38),AA38*F38*16,0)</f>
        <v>110880</v>
      </c>
      <c r="AE38" s="425"/>
      <c r="AF38" s="425" t="n">
        <v>0</v>
      </c>
      <c r="AG38" s="425" t="n">
        <v>0</v>
      </c>
      <c r="AH38" s="425" t="n">
        <f aca="false">X38*AD38</f>
        <v>9058895.66162109</v>
      </c>
      <c r="AI38" s="425" t="n">
        <f aca="false">SUM(AF38:AH38)</f>
        <v>9058895.66162109</v>
      </c>
      <c r="AJ38" s="425" t="n">
        <f aca="false">(AD38*1000*$S$2)/1000000*R38</f>
        <v>4935376.41095172</v>
      </c>
      <c r="AK38" s="425" t="n">
        <f aca="false">($AK$5*O38)/12</f>
        <v>53681.4849142916</v>
      </c>
      <c r="AL38" s="425" t="n">
        <f aca="false">($AL$5*O38)/12</f>
        <v>136887.786531444</v>
      </c>
      <c r="AM38" s="425" t="n">
        <f aca="false">AD38*$AM$5*1000*O38</f>
        <v>238088.121891866</v>
      </c>
      <c r="AN38" s="425" t="n">
        <f aca="false">(($AN$5*O38)/12)*$S$4</f>
        <v>122751.66217068</v>
      </c>
      <c r="AO38" s="425" t="n">
        <f aca="false">($AO$5*O38)/12</f>
        <v>26840.7424571458</v>
      </c>
      <c r="AP38" s="425" t="n">
        <f aca="false">AP37</f>
        <v>46500.5582152336</v>
      </c>
      <c r="AQ38" s="433" t="n">
        <f aca="false">SUM(AK38:AP38)</f>
        <v>624750.35618066</v>
      </c>
      <c r="AR38" s="425" t="n">
        <f aca="false">($AR$5*O38)/12</f>
        <v>13420.3712285729</v>
      </c>
      <c r="AS38" s="433" t="n">
        <f aca="false">AS37</f>
        <v>51061.5333333333</v>
      </c>
      <c r="AT38" s="425" t="n">
        <f aca="false">(AI38/100)*$AT$6*O38</f>
        <v>58355.3964959345</v>
      </c>
      <c r="AU38" s="433" t="n">
        <f aca="false">SUM(AJ38:AT38)-AQ38</f>
        <v>5682964.06819023</v>
      </c>
      <c r="AV38" s="433" t="n">
        <f aca="false">AI38-AU38</f>
        <v>3375931.59343087</v>
      </c>
      <c r="AW38" s="493"/>
      <c r="AX38" s="423" t="n">
        <f aca="false">K38</f>
        <v>37469</v>
      </c>
      <c r="BA38" s="126"/>
      <c r="BB38" s="481" t="n">
        <f aca="false">X38</f>
        <v>81.6999969482422</v>
      </c>
      <c r="BC38" s="481" t="n">
        <f aca="false">'Curve Analysis - Base Case'!D30</f>
        <v>46.658229913813</v>
      </c>
      <c r="BD38" s="479" t="n">
        <f aca="false">L38</f>
        <v>0.071311312147306</v>
      </c>
      <c r="BE38" s="479" t="n">
        <f aca="false">L38</f>
        <v>0.071311312147306</v>
      </c>
      <c r="BF38" s="489" t="n">
        <f aca="false">PJM_01212000!X38</f>
        <v>0.27225</v>
      </c>
      <c r="BG38" s="425" t="n">
        <f aca="false">(AX38+15)-$K$1</f>
        <v>895</v>
      </c>
      <c r="BH38" s="433" t="n">
        <f aca="false">AD38</f>
        <v>110880</v>
      </c>
      <c r="BJ38" s="486" t="e">
        <f aca="false">EURO(BB38,BC38,BD38,BE38,BF38,BG38,1,0)*BH38</f>
        <v>#NAME?</v>
      </c>
      <c r="BK38" s="433" t="n">
        <f aca="false">(AI38-AJ38)*N38</f>
        <v>3453703.65548514</v>
      </c>
      <c r="BM38" s="433" t="e">
        <f aca="false">BJ38-BK38</f>
        <v>#NAME?</v>
      </c>
    </row>
    <row r="39" customFormat="false" ht="16.5" hidden="false" customHeight="false" outlineLevel="0" collapsed="false">
      <c r="A39" s="59" t="n">
        <f aca="false">A38+1</f>
        <v>33</v>
      </c>
      <c r="C39" s="59" t="n">
        <v>30</v>
      </c>
      <c r="D39" s="59" t="s">
        <v>171</v>
      </c>
      <c r="E39" s="125" t="n">
        <f aca="false">E38+C38</f>
        <v>37500</v>
      </c>
      <c r="F39" s="425" t="n">
        <v>21</v>
      </c>
      <c r="G39" s="433" t="n">
        <f aca="false">C39-F39</f>
        <v>9</v>
      </c>
      <c r="H39" s="433"/>
      <c r="I39" s="433"/>
      <c r="J39" s="59" t="n">
        <f aca="false">K40-K39</f>
        <v>30</v>
      </c>
      <c r="K39" s="478" t="n">
        <v>37500</v>
      </c>
      <c r="L39" s="490" t="n">
        <v>0.071419211941457</v>
      </c>
      <c r="M39" s="491" t="n">
        <v>0.066049913761969</v>
      </c>
      <c r="N39" s="480" t="n">
        <f aca="false">(1+L39/2)^(-2*((K39+$T$1)-$K$1)/365.25)</f>
        <v>0.832369159376618</v>
      </c>
      <c r="O39" s="127" t="n">
        <f aca="false">VLOOKUP(K39,Inflation!$B$8:$C$266,2)</f>
        <v>1.07601597695727</v>
      </c>
      <c r="P39" s="480"/>
      <c r="Q39" s="481" t="n">
        <f aca="false">VLOOKUP(K39,'Fuel Curve'!$B$11:$F$268,5)</f>
        <v>4.72724137931035</v>
      </c>
      <c r="R39" s="482" t="n">
        <f aca="false">VLOOKUP(K39,'Fuel Curve Simulation'!$B$12:$J$258,9)</f>
        <v>4.72724137931035</v>
      </c>
      <c r="S39" s="481" t="n">
        <f aca="false">(R39*$S$2)/1000</f>
        <v>45.2822451724138</v>
      </c>
      <c r="T39" s="483"/>
      <c r="V39" s="128" t="n">
        <f aca="false">VLOOKUP(K39,PJM_01212000!$A$7:$C$259,3)</f>
        <v>32.8249984741211</v>
      </c>
      <c r="W39" s="128"/>
      <c r="X39" s="484" t="n">
        <f aca="false">'PJM Curve Simulation'!J39</f>
        <v>32.8249984741211</v>
      </c>
      <c r="Y39" s="489"/>
      <c r="Z39" s="483"/>
      <c r="AA39" s="59" t="n">
        <f aca="false">AA38</f>
        <v>315</v>
      </c>
      <c r="AB39" s="425" t="n">
        <f aca="false">AA39*F39*16</f>
        <v>105840</v>
      </c>
      <c r="AC39" s="425" t="n">
        <f aca="false">VLOOKUP(K39,'Company Volumes'!$B$20:$C$259,2)</f>
        <v>21226.8399512898</v>
      </c>
      <c r="AD39" s="485" t="n">
        <f aca="false">IF(V39&gt;S39+($AM$5*1000*O39),AA39*F39*16,0)</f>
        <v>0</v>
      </c>
      <c r="AE39" s="425"/>
      <c r="AF39" s="425" t="n">
        <v>0</v>
      </c>
      <c r="AG39" s="425" t="n">
        <v>0</v>
      </c>
      <c r="AH39" s="425" t="n">
        <f aca="false">X39*AD39</f>
        <v>0</v>
      </c>
      <c r="AI39" s="425" t="n">
        <f aca="false">SUM(AF39:AH39)</f>
        <v>0</v>
      </c>
      <c r="AJ39" s="425" t="n">
        <f aca="false">(AD39*1000*$S$2)/1000000*R39</f>
        <v>0</v>
      </c>
      <c r="AK39" s="425" t="n">
        <f aca="false">($AK$5*O39)/12</f>
        <v>53800.7988478637</v>
      </c>
      <c r="AL39" s="425" t="n">
        <f aca="false">($AL$5*O39)/12</f>
        <v>137192.037062052</v>
      </c>
      <c r="AM39" s="425" t="n">
        <f aca="false">AD39*$AM$5*1000*O39</f>
        <v>0</v>
      </c>
      <c r="AN39" s="425" t="n">
        <f aca="false">(($AN$5*O39)/12)*$S$4</f>
        <v>123024.493365448</v>
      </c>
      <c r="AO39" s="425" t="n">
        <f aca="false">($AO$5*O39)/12</f>
        <v>26900.3994239318</v>
      </c>
      <c r="AP39" s="425" t="n">
        <f aca="false">AP38</f>
        <v>46500.5582152336</v>
      </c>
      <c r="AQ39" s="433" t="n">
        <f aca="false">SUM(AK39:AP39)</f>
        <v>387418.28691453</v>
      </c>
      <c r="AR39" s="425" t="n">
        <f aca="false">($AR$5*O39)/12</f>
        <v>13450.1997119659</v>
      </c>
      <c r="AS39" s="433" t="n">
        <f aca="false">AS38</f>
        <v>51061.5333333333</v>
      </c>
      <c r="AT39" s="425" t="n">
        <f aca="false">(AI39/100)*$AT$6*O39</f>
        <v>0</v>
      </c>
      <c r="AU39" s="433" t="n">
        <f aca="false">SUM(AJ39:AT39)-AQ39</f>
        <v>451930.019959829</v>
      </c>
      <c r="AV39" s="433" t="n">
        <f aca="false">AI39-AU39</f>
        <v>-451930.019959829</v>
      </c>
      <c r="AW39" s="493"/>
      <c r="AX39" s="423" t="n">
        <f aca="false">K39</f>
        <v>37500</v>
      </c>
      <c r="BA39" s="126"/>
      <c r="BB39" s="481" t="n">
        <f aca="false">X39</f>
        <v>32.8249984741211</v>
      </c>
      <c r="BC39" s="481" t="n">
        <f aca="false">'Curve Analysis - Base Case'!D31</f>
        <v>47.4342771263283</v>
      </c>
      <c r="BD39" s="479" t="n">
        <f aca="false">L39</f>
        <v>0.071419211941457</v>
      </c>
      <c r="BE39" s="479" t="n">
        <f aca="false">L39</f>
        <v>0.071419211941457</v>
      </c>
      <c r="BF39" s="489" t="n">
        <f aca="false">PJM_01212000!X39</f>
        <v>0.175</v>
      </c>
      <c r="BG39" s="425" t="n">
        <f aca="false">(AX39+15)-$K$1</f>
        <v>926</v>
      </c>
      <c r="BH39" s="433" t="n">
        <f aca="false">AD39</f>
        <v>0</v>
      </c>
      <c r="BJ39" s="486" t="e">
        <f aca="false">EURO(BB39,BC39,BD39,BE39,BF39,BG39,1,0)*BH39</f>
        <v>#NAME?</v>
      </c>
      <c r="BK39" s="433" t="n">
        <f aca="false">(AI39-AJ39)*N39</f>
        <v>0</v>
      </c>
      <c r="BM39" s="433" t="e">
        <f aca="false">BJ39-BK39</f>
        <v>#NAME?</v>
      </c>
    </row>
    <row r="40" customFormat="false" ht="16.5" hidden="false" customHeight="false" outlineLevel="0" collapsed="false">
      <c r="A40" s="59" t="n">
        <f aca="false">A39+1</f>
        <v>34</v>
      </c>
      <c r="C40" s="59" t="n">
        <v>31</v>
      </c>
      <c r="D40" s="59" t="s">
        <v>172</v>
      </c>
      <c r="E40" s="125" t="n">
        <f aca="false">E39+C39</f>
        <v>37530</v>
      </c>
      <c r="F40" s="425" t="n">
        <v>23</v>
      </c>
      <c r="G40" s="433" t="n">
        <f aca="false">C40-F40</f>
        <v>8</v>
      </c>
      <c r="H40" s="433"/>
      <c r="I40" s="433"/>
      <c r="J40" s="59" t="n">
        <f aca="false">K41-K40</f>
        <v>31</v>
      </c>
      <c r="K40" s="478" t="n">
        <v>37530</v>
      </c>
      <c r="L40" s="490" t="n">
        <v>0.071515306365121</v>
      </c>
      <c r="M40" s="491" t="n">
        <v>0.066081241036285</v>
      </c>
      <c r="N40" s="480" t="n">
        <f aca="false">(1+L40/2)^(-2*((K40+$T$1)-$K$1)/365.25)</f>
        <v>0.82737835456572</v>
      </c>
      <c r="O40" s="127" t="n">
        <f aca="false">VLOOKUP(K40,Inflation!$B$8:$C$266,2)</f>
        <v>1.07840755943682</v>
      </c>
      <c r="P40" s="480"/>
      <c r="Q40" s="481" t="n">
        <f aca="false">VLOOKUP(K40,'Fuel Curve'!$B$11:$F$268,5)</f>
        <v>4.80396551724138</v>
      </c>
      <c r="R40" s="482" t="n">
        <f aca="false">VLOOKUP(K40,'Fuel Curve Simulation'!$B$12:$J$258,9)</f>
        <v>4.80396551724138</v>
      </c>
      <c r="S40" s="481" t="n">
        <f aca="false">(R40*$S$2)/1000</f>
        <v>46.0171856896552</v>
      </c>
      <c r="T40" s="483"/>
      <c r="V40" s="128" t="n">
        <f aca="false">VLOOKUP(K40,PJM_01212000!$A$7:$C$259,3)</f>
        <v>26.4750003814697</v>
      </c>
      <c r="W40" s="128"/>
      <c r="X40" s="484" t="n">
        <f aca="false">'PJM Curve Simulation'!J40</f>
        <v>26.4750003814697</v>
      </c>
      <c r="Y40" s="489"/>
      <c r="Z40" s="483"/>
      <c r="AA40" s="59" t="n">
        <f aca="false">AA39</f>
        <v>315</v>
      </c>
      <c r="AB40" s="425" t="n">
        <f aca="false">AA40*F40*16</f>
        <v>115920</v>
      </c>
      <c r="AC40" s="425" t="n">
        <f aca="false">VLOOKUP(K40,'Company Volumes'!$B$20:$C$259,2)</f>
        <v>5314.86290596178</v>
      </c>
      <c r="AD40" s="485" t="n">
        <f aca="false">IF(V40&gt;S40+($AM$5*1000*O40),AA40*F40*16,0)</f>
        <v>0</v>
      </c>
      <c r="AE40" s="425"/>
      <c r="AF40" s="425" t="n">
        <v>0</v>
      </c>
      <c r="AG40" s="425" t="n">
        <v>0</v>
      </c>
      <c r="AH40" s="425" t="n">
        <f aca="false">X40*AD40</f>
        <v>0</v>
      </c>
      <c r="AI40" s="425" t="n">
        <f aca="false">SUM(AF40:AH40)</f>
        <v>0</v>
      </c>
      <c r="AJ40" s="425" t="n">
        <f aca="false">(AD40*1000*$S$2)/1000000*R40</f>
        <v>0</v>
      </c>
      <c r="AK40" s="425" t="n">
        <f aca="false">($AK$5*O40)/12</f>
        <v>53920.3779718412</v>
      </c>
      <c r="AL40" s="425" t="n">
        <f aca="false">($AL$5*O40)/12</f>
        <v>137496.963828195</v>
      </c>
      <c r="AM40" s="425" t="n">
        <f aca="false">AD40*$AM$5*1000*O40</f>
        <v>0</v>
      </c>
      <c r="AN40" s="425" t="n">
        <f aca="false">(($AN$5*O40)/12)*$S$4</f>
        <v>123297.930962277</v>
      </c>
      <c r="AO40" s="425" t="n">
        <f aca="false">($AO$5*O40)/12</f>
        <v>26960.1889859206</v>
      </c>
      <c r="AP40" s="425" t="n">
        <f aca="false">AP39</f>
        <v>46500.5582152336</v>
      </c>
      <c r="AQ40" s="433" t="n">
        <f aca="false">SUM(AK40:AP40)</f>
        <v>388176.019963467</v>
      </c>
      <c r="AR40" s="425" t="n">
        <f aca="false">($AR$5*O40)/12</f>
        <v>13480.0944929603</v>
      </c>
      <c r="AS40" s="433" t="n">
        <f aca="false">AS39</f>
        <v>51061.5333333333</v>
      </c>
      <c r="AT40" s="425" t="n">
        <f aca="false">(AI40/100)*$AT$6*O40</f>
        <v>0</v>
      </c>
      <c r="AU40" s="433" t="n">
        <f aca="false">SUM(AJ40:AT40)-AQ40</f>
        <v>452717.647789761</v>
      </c>
      <c r="AV40" s="433" t="n">
        <f aca="false">AI40-AU40</f>
        <v>-452717.647789761</v>
      </c>
      <c r="AW40" s="493"/>
      <c r="AX40" s="423" t="n">
        <f aca="false">K40</f>
        <v>37530</v>
      </c>
      <c r="BA40" s="126"/>
      <c r="BB40" s="481" t="n">
        <f aca="false">X40</f>
        <v>26.4750003814697</v>
      </c>
      <c r="BC40" s="481" t="n">
        <f aca="false">'Curve Analysis - Base Case'!D32</f>
        <v>48.1740008085288</v>
      </c>
      <c r="BD40" s="479" t="n">
        <f aca="false">L40</f>
        <v>0.071515306365121</v>
      </c>
      <c r="BE40" s="479" t="n">
        <f aca="false">L40</f>
        <v>0.071515306365121</v>
      </c>
      <c r="BF40" s="489" t="n">
        <f aca="false">PJM_01212000!X40</f>
        <v>0.12375</v>
      </c>
      <c r="BG40" s="425" t="n">
        <f aca="false">(AX40+15)-$K$1</f>
        <v>956</v>
      </c>
      <c r="BH40" s="433" t="n">
        <f aca="false">AD40</f>
        <v>0</v>
      </c>
      <c r="BJ40" s="486" t="e">
        <f aca="false">EURO(BB40,BC40,BD40,BE40,BF40,BG40,1,0)*BH40</f>
        <v>#NAME?</v>
      </c>
      <c r="BK40" s="433" t="n">
        <f aca="false">(AI40-AJ40)*N40</f>
        <v>0</v>
      </c>
      <c r="BM40" s="433" t="e">
        <f aca="false">BJ40-BK40</f>
        <v>#NAME?</v>
      </c>
    </row>
    <row r="41" customFormat="false" ht="16.5" hidden="false" customHeight="false" outlineLevel="0" collapsed="false">
      <c r="A41" s="59" t="n">
        <f aca="false">A40+1</f>
        <v>35</v>
      </c>
      <c r="C41" s="59" t="n">
        <v>30</v>
      </c>
      <c r="D41" s="59" t="s">
        <v>173</v>
      </c>
      <c r="E41" s="125" t="n">
        <f aca="false">E40+C40</f>
        <v>37561</v>
      </c>
      <c r="F41" s="425" t="n">
        <v>21</v>
      </c>
      <c r="G41" s="433" t="n">
        <f aca="false">C41-F41</f>
        <v>9</v>
      </c>
      <c r="H41" s="433"/>
      <c r="I41" s="433"/>
      <c r="J41" s="59" t="n">
        <f aca="false">K42-K41</f>
        <v>30</v>
      </c>
      <c r="K41" s="478" t="n">
        <v>37561</v>
      </c>
      <c r="L41" s="490" t="n">
        <v>0.071602640768726</v>
      </c>
      <c r="M41" s="491" t="n">
        <v>0.066113612560252</v>
      </c>
      <c r="N41" s="480" t="n">
        <f aca="false">(1+L41/2)^(-2*((K41+$T$1)-$K$1)/365.25)</f>
        <v>0.822265886347907</v>
      </c>
      <c r="O41" s="127" t="n">
        <f aca="false">VLOOKUP(K41,Inflation!$B$8:$C$266,2)</f>
        <v>1.08080445751287</v>
      </c>
      <c r="P41" s="480"/>
      <c r="Q41" s="481" t="n">
        <f aca="false">VLOOKUP(K41,'Fuel Curve'!$B$11:$F$268,5)</f>
        <v>4.87844827586207</v>
      </c>
      <c r="R41" s="482" t="n">
        <f aca="false">VLOOKUP(K41,'Fuel Curve Simulation'!$B$12:$J$258,9)</f>
        <v>4.87844827586207</v>
      </c>
      <c r="S41" s="481" t="n">
        <f aca="false">(R41*$S$2)/1000</f>
        <v>46.7306560344828</v>
      </c>
      <c r="T41" s="483"/>
      <c r="V41" s="128" t="n">
        <f aca="false">VLOOKUP(K41,PJM_01212000!$A$7:$C$259,3)</f>
        <v>26.1474990844727</v>
      </c>
      <c r="W41" s="128"/>
      <c r="X41" s="484" t="n">
        <f aca="false">'PJM Curve Simulation'!J41</f>
        <v>26.1474990844727</v>
      </c>
      <c r="Y41" s="489"/>
      <c r="Z41" s="483"/>
      <c r="AA41" s="59" t="n">
        <f aca="false">AA40</f>
        <v>315</v>
      </c>
      <c r="AB41" s="425" t="n">
        <f aca="false">AA41*F41*16</f>
        <v>105840</v>
      </c>
      <c r="AC41" s="425" t="n">
        <f aca="false">VLOOKUP(K41,'Company Volumes'!$B$20:$C$259,2)</f>
        <v>8487.98169933155</v>
      </c>
      <c r="AD41" s="485" t="n">
        <f aca="false">IF(V41&gt;S41+($AM$5*1000*O41),AA41*F41*16,0)</f>
        <v>0</v>
      </c>
      <c r="AE41" s="425"/>
      <c r="AF41" s="425" t="n">
        <v>0</v>
      </c>
      <c r="AG41" s="425" t="n">
        <v>0</v>
      </c>
      <c r="AH41" s="425" t="n">
        <f aca="false">X41*AD41</f>
        <v>0</v>
      </c>
      <c r="AI41" s="425" t="n">
        <f aca="false">SUM(AF41:AH41)</f>
        <v>0</v>
      </c>
      <c r="AJ41" s="425" t="n">
        <f aca="false">(AD41*1000*$S$2)/1000000*R41</f>
        <v>0</v>
      </c>
      <c r="AK41" s="425" t="n">
        <f aca="false">($AK$5*O41)/12</f>
        <v>54040.2228756434</v>
      </c>
      <c r="AL41" s="425" t="n">
        <f aca="false">($AL$5*O41)/12</f>
        <v>137802.568332891</v>
      </c>
      <c r="AM41" s="425" t="n">
        <f aca="false">AD41*$AM$5*1000*O41</f>
        <v>0</v>
      </c>
      <c r="AN41" s="425" t="n">
        <f aca="false">(($AN$5*O41)/12)*$S$4</f>
        <v>123571.976308971</v>
      </c>
      <c r="AO41" s="425" t="n">
        <f aca="false">($AO$5*O41)/12</f>
        <v>27020.1114378217</v>
      </c>
      <c r="AP41" s="425" t="n">
        <f aca="false">AP40</f>
        <v>46500.5582152336</v>
      </c>
      <c r="AQ41" s="433" t="n">
        <f aca="false">SUM(AK41:AP41)</f>
        <v>388935.437170561</v>
      </c>
      <c r="AR41" s="425" t="n">
        <f aca="false">($AR$5*O41)/12</f>
        <v>13510.0557189109</v>
      </c>
      <c r="AS41" s="433" t="n">
        <f aca="false">AS40</f>
        <v>51061.5333333333</v>
      </c>
      <c r="AT41" s="425" t="n">
        <f aca="false">(AI41/100)*$AT$6*O41</f>
        <v>0</v>
      </c>
      <c r="AU41" s="433" t="n">
        <f aca="false">SUM(AJ41:AT41)-AQ41</f>
        <v>453507.026222805</v>
      </c>
      <c r="AV41" s="433" t="n">
        <f aca="false">AI41-AU41</f>
        <v>-453507.026222805</v>
      </c>
      <c r="AW41" s="493"/>
      <c r="AX41" s="423" t="n">
        <f aca="false">K41</f>
        <v>37561</v>
      </c>
      <c r="BA41" s="126"/>
      <c r="BB41" s="481" t="n">
        <f aca="false">X41</f>
        <v>26.1474990844727</v>
      </c>
      <c r="BC41" s="481" t="n">
        <f aca="false">'Curve Analysis - Base Case'!D33</f>
        <v>48.8922649495085</v>
      </c>
      <c r="BD41" s="479" t="n">
        <f aca="false">L41</f>
        <v>0.071602640768726</v>
      </c>
      <c r="BE41" s="479" t="n">
        <f aca="false">L41</f>
        <v>0.071602640768726</v>
      </c>
      <c r="BF41" s="489" t="n">
        <f aca="false">PJM_01212000!X41</f>
        <v>0.12375</v>
      </c>
      <c r="BG41" s="425" t="n">
        <f aca="false">(AX41+15)-$K$1</f>
        <v>987</v>
      </c>
      <c r="BH41" s="433" t="n">
        <f aca="false">AD41</f>
        <v>0</v>
      </c>
      <c r="BJ41" s="486" t="e">
        <f aca="false">EURO(BB41,BC41,BD41,BE41,BF41,BG41,1,0)*BH41</f>
        <v>#NAME?</v>
      </c>
      <c r="BK41" s="433" t="n">
        <f aca="false">(AI41-AJ41)*N41</f>
        <v>0</v>
      </c>
      <c r="BM41" s="433" t="e">
        <f aca="false">BJ41-BK41</f>
        <v>#NAME?</v>
      </c>
    </row>
    <row r="42" customFormat="false" ht="16.5" hidden="false" customHeight="false" outlineLevel="0" collapsed="false">
      <c r="A42" s="59" t="n">
        <f aca="false">A41+1</f>
        <v>36</v>
      </c>
      <c r="C42" s="59" t="n">
        <v>31</v>
      </c>
      <c r="D42" s="59" t="s">
        <v>174</v>
      </c>
      <c r="E42" s="125" t="n">
        <f aca="false">E41+C41</f>
        <v>37591</v>
      </c>
      <c r="F42" s="425" t="n">
        <v>22</v>
      </c>
      <c r="G42" s="433" t="n">
        <f aca="false">C42-F42</f>
        <v>9</v>
      </c>
      <c r="H42" s="433" t="n">
        <f aca="false">SUM(F31:G42)</f>
        <v>365</v>
      </c>
      <c r="I42" s="433"/>
      <c r="J42" s="59" t="n">
        <f aca="false">K43-K42</f>
        <v>31</v>
      </c>
      <c r="K42" s="478" t="n">
        <v>37591</v>
      </c>
      <c r="L42" s="490" t="n">
        <v>0.071687157935905</v>
      </c>
      <c r="M42" s="491" t="n">
        <v>0.066144939848451</v>
      </c>
      <c r="N42" s="480" t="n">
        <f aca="false">(1+L42/2)^(-2*((K42+$T$1)-$K$1)/365.25)</f>
        <v>0.817337286416049</v>
      </c>
      <c r="O42" s="127" t="n">
        <f aca="false">VLOOKUP(K42,Inflation!$B$8:$C$266,2)</f>
        <v>1.083206683</v>
      </c>
      <c r="P42" s="480"/>
      <c r="Q42" s="481" t="n">
        <f aca="false">VLOOKUP(K42,'Fuel Curve'!$B$11:$F$268,5)</f>
        <v>4.90965517241379</v>
      </c>
      <c r="R42" s="482" t="n">
        <f aca="false">VLOOKUP(K42,'Fuel Curve Simulation'!$B$12:$J$258,9)</f>
        <v>4.90965517241379</v>
      </c>
      <c r="S42" s="481" t="n">
        <f aca="false">(R42*$S$2)/1000</f>
        <v>47.0295868965517</v>
      </c>
      <c r="T42" s="483"/>
      <c r="V42" s="128" t="n">
        <f aca="false">VLOOKUP(K42,PJM_01212000!$A$7:$C$259,3)</f>
        <v>27.8999996185303</v>
      </c>
      <c r="W42" s="128"/>
      <c r="X42" s="484" t="n">
        <f aca="false">'PJM Curve Simulation'!J42</f>
        <v>27.8999996185303</v>
      </c>
      <c r="Y42" s="489"/>
      <c r="Z42" s="483"/>
      <c r="AA42" s="59" t="n">
        <f aca="false">AA41</f>
        <v>315</v>
      </c>
      <c r="AB42" s="425" t="n">
        <f aca="false">AA42*F42*16</f>
        <v>110880</v>
      </c>
      <c r="AC42" s="425" t="n">
        <f aca="false">VLOOKUP(K42,'Company Volumes'!$B$20:$C$259,2)</f>
        <v>8487.98169933155</v>
      </c>
      <c r="AD42" s="485" t="n">
        <f aca="false">IF(V42&gt;S42+($AM$5*1000*O42),AA42*F42*16,0)</f>
        <v>0</v>
      </c>
      <c r="AE42" s="425"/>
      <c r="AF42" s="425" t="n">
        <v>0</v>
      </c>
      <c r="AG42" s="425" t="n">
        <v>0</v>
      </c>
      <c r="AH42" s="425" t="n">
        <f aca="false">X42*AD42</f>
        <v>0</v>
      </c>
      <c r="AI42" s="425" t="n">
        <f aca="false">SUM(AF42:AH42)</f>
        <v>0</v>
      </c>
      <c r="AJ42" s="425" t="n">
        <f aca="false">(AD42*1000*$S$2)/1000000*R42</f>
        <v>0</v>
      </c>
      <c r="AK42" s="425" t="n">
        <f aca="false">($AK$5*O42)/12</f>
        <v>54160.33415</v>
      </c>
      <c r="AL42" s="425" t="n">
        <f aca="false">($AL$5*O42)/12</f>
        <v>138108.8520825</v>
      </c>
      <c r="AM42" s="425" t="n">
        <f aca="false">AD42*$AM$5*1000*O42</f>
        <v>0</v>
      </c>
      <c r="AN42" s="425" t="n">
        <f aca="false">(($AN$5*O42)/12)*$S$4</f>
        <v>123846.630756333</v>
      </c>
      <c r="AO42" s="425" t="n">
        <f aca="false">($AO$5*O42)/12</f>
        <v>27080.167075</v>
      </c>
      <c r="AP42" s="425" t="n">
        <f aca="false">AP41</f>
        <v>46500.5582152336</v>
      </c>
      <c r="AQ42" s="433" t="n">
        <f aca="false">SUM(AK42:AP42)</f>
        <v>389696.542279067</v>
      </c>
      <c r="AR42" s="425" t="n">
        <f aca="false">($AR$5*O42)/12</f>
        <v>13540.0835375</v>
      </c>
      <c r="AS42" s="433" t="n">
        <f aca="false">AS41</f>
        <v>51061.5333333333</v>
      </c>
      <c r="AT42" s="425" t="n">
        <f aca="false">(AI42/100)*$AT$6*O42</f>
        <v>0</v>
      </c>
      <c r="AU42" s="433" t="n">
        <f aca="false">SUM(AJ42:AT42)-AQ42</f>
        <v>454298.1591499</v>
      </c>
      <c r="AV42" s="433" t="n">
        <f aca="false">AI42-AU42</f>
        <v>-454298.1591499</v>
      </c>
      <c r="AW42" s="493"/>
      <c r="AX42" s="423" t="n">
        <f aca="false">K42</f>
        <v>37591</v>
      </c>
      <c r="AY42" s="425" t="n">
        <f aca="false">'Debt Amortization'!J8</f>
        <v>2582516.22290678</v>
      </c>
      <c r="AZ42" s="425" t="n">
        <f aca="false">AY42*N42</f>
        <v>2110786.80175605</v>
      </c>
      <c r="BA42" s="126"/>
      <c r="BB42" s="481" t="n">
        <f aca="false">X42</f>
        <v>27.8999996185303</v>
      </c>
      <c r="BC42" s="481" t="n">
        <f aca="false">'Curve Analysis - Base Case'!D34</f>
        <v>49.1960002625517</v>
      </c>
      <c r="BD42" s="479" t="n">
        <f aca="false">L42</f>
        <v>0.071687157935905</v>
      </c>
      <c r="BE42" s="479" t="n">
        <f aca="false">L42</f>
        <v>0.071687157935905</v>
      </c>
      <c r="BF42" s="489" t="n">
        <f aca="false">PJM_01212000!X42</f>
        <v>0.12375</v>
      </c>
      <c r="BG42" s="425" t="n">
        <f aca="false">(AX42+15)-$K$1</f>
        <v>1017</v>
      </c>
      <c r="BH42" s="433" t="n">
        <f aca="false">AD42</f>
        <v>0</v>
      </c>
      <c r="BJ42" s="486" t="e">
        <f aca="false">EURO(BB42,BC42,BD42,BE42,BF42,BG42,1,0)*BH42</f>
        <v>#NAME?</v>
      </c>
      <c r="BK42" s="433" t="n">
        <f aca="false">(AI42-AJ42)*N42</f>
        <v>0</v>
      </c>
      <c r="BM42" s="433" t="e">
        <f aca="false">BJ42-BK42</f>
        <v>#NAME?</v>
      </c>
    </row>
    <row r="43" customFormat="false" ht="16.5" hidden="false" customHeight="false" outlineLevel="0" collapsed="false">
      <c r="A43" s="59" t="n">
        <f aca="false">A42+1</f>
        <v>37</v>
      </c>
      <c r="C43" s="59" t="n">
        <v>31</v>
      </c>
      <c r="D43" s="59" t="s">
        <v>164</v>
      </c>
      <c r="E43" s="125" t="n">
        <f aca="false">E42+C42</f>
        <v>37622</v>
      </c>
      <c r="F43" s="425" t="n">
        <v>23</v>
      </c>
      <c r="G43" s="433" t="n">
        <f aca="false">C43-F43</f>
        <v>8</v>
      </c>
      <c r="H43" s="433"/>
      <c r="I43" s="433"/>
      <c r="J43" s="59" t="n">
        <f aca="false">K44-K43</f>
        <v>31</v>
      </c>
      <c r="K43" s="478" t="n">
        <v>37622</v>
      </c>
      <c r="L43" s="490" t="n">
        <v>0.071774577695173</v>
      </c>
      <c r="M43" s="491" t="n">
        <v>0.066177311386763</v>
      </c>
      <c r="N43" s="480" t="n">
        <f aca="false">(1+L43/2)^(-2*((K43+$T$1)-$K$1)/365.25)</f>
        <v>0.812263806199084</v>
      </c>
      <c r="O43" s="127" t="n">
        <f aca="false">VLOOKUP(K43,Inflation!$B$8:$C$266,2)</f>
        <v>1.08561424773907</v>
      </c>
      <c r="P43" s="480"/>
      <c r="Q43" s="481" t="n">
        <f aca="false">VLOOKUP(K43,'Fuel Curve'!$B$11:$F$268,5)</f>
        <v>4.84155172413793</v>
      </c>
      <c r="R43" s="482" t="n">
        <f aca="false">VLOOKUP(K43,'Fuel Curve Simulation'!$B$12:$J$258,9)</f>
        <v>4.84155172413793</v>
      </c>
      <c r="S43" s="481" t="n">
        <f aca="false">(R43*$S$2)/1000</f>
        <v>46.3772239655172</v>
      </c>
      <c r="T43" s="483"/>
      <c r="V43" s="128" t="n">
        <f aca="false">VLOOKUP(K43,PJM_01212000!$A$7:$C$259,3)</f>
        <v>36.3249984741211</v>
      </c>
      <c r="W43" s="128"/>
      <c r="X43" s="484" t="n">
        <f aca="false">'PJM Curve Simulation'!J43</f>
        <v>36.3249984741211</v>
      </c>
      <c r="Y43" s="489"/>
      <c r="Z43" s="483"/>
      <c r="AA43" s="59" t="n">
        <f aca="false">AA42</f>
        <v>315</v>
      </c>
      <c r="AB43" s="425" t="n">
        <f aca="false">AA43*F43*16</f>
        <v>115920</v>
      </c>
      <c r="AC43" s="425" t="n">
        <f aca="false">VLOOKUP(K43,'Company Volumes'!$B$20:$C$259,2)</f>
        <v>19619.5999184049</v>
      </c>
      <c r="AD43" s="485" t="n">
        <f aca="false">IF(V43&gt;S43+($AM$5*1000*O43),AA43*F43*16,0)</f>
        <v>0</v>
      </c>
      <c r="AE43" s="425"/>
      <c r="AF43" s="425" t="n">
        <v>0</v>
      </c>
      <c r="AG43" s="425" t="n">
        <v>0</v>
      </c>
      <c r="AH43" s="425" t="n">
        <f aca="false">X43*AD43</f>
        <v>0</v>
      </c>
      <c r="AI43" s="425" t="n">
        <f aca="false">SUM(AF43:AH43)</f>
        <v>0</v>
      </c>
      <c r="AJ43" s="425" t="n">
        <f aca="false">(AD43*1000*$S$2)/1000000*R43</f>
        <v>0</v>
      </c>
      <c r="AK43" s="425" t="n">
        <f aca="false">($AK$5*O43)/12</f>
        <v>54280.7123869533</v>
      </c>
      <c r="AL43" s="425" t="n">
        <f aca="false">($AL$5*O43)/12</f>
        <v>138415.816586731</v>
      </c>
      <c r="AM43" s="425" t="n">
        <f aca="false">AD43*$AM$5*1000*O43</f>
        <v>0</v>
      </c>
      <c r="AN43" s="425" t="n">
        <f aca="false">(($AN$5*O43)/12)*$S$4</f>
        <v>124121.895658167</v>
      </c>
      <c r="AO43" s="425" t="n">
        <f aca="false">($AO$5*O43)/12</f>
        <v>27140.3561934766</v>
      </c>
      <c r="AP43" s="425" t="n">
        <f aca="false">AP42</f>
        <v>46500.5582152336</v>
      </c>
      <c r="AQ43" s="433" t="n">
        <f aca="false">SUM(AK43:AP43)</f>
        <v>390459.339040561</v>
      </c>
      <c r="AR43" s="425" t="n">
        <f aca="false">($AR$5*O43)/12</f>
        <v>13570.1780967383</v>
      </c>
      <c r="AS43" s="425" t="n">
        <f aca="false">((AS4*AS5)/12)+((AS3*AS6)/12)</f>
        <v>30387.755</v>
      </c>
      <c r="AT43" s="425" t="n">
        <f aca="false">(AI43/100)*$AT$6*O43</f>
        <v>0</v>
      </c>
      <c r="AU43" s="433" t="n">
        <f aca="false">SUM(AJ43:AT43)-AQ43</f>
        <v>434417.272137299</v>
      </c>
      <c r="AV43" s="433" t="n">
        <f aca="false">AI43-AU43</f>
        <v>-434417.272137299</v>
      </c>
      <c r="AW43" s="493"/>
      <c r="AX43" s="423" t="n">
        <f aca="false">K43</f>
        <v>37622</v>
      </c>
      <c r="BA43" s="126"/>
      <c r="BB43" s="481" t="n">
        <f aca="false">X43</f>
        <v>36.3249984741211</v>
      </c>
      <c r="BC43" s="481" t="n">
        <f aca="false">'Curve Analysis - Base Case'!D35</f>
        <v>48.5484524609954</v>
      </c>
      <c r="BD43" s="479" t="n">
        <f aca="false">L43</f>
        <v>0.071774577695173</v>
      </c>
      <c r="BE43" s="479" t="n">
        <f aca="false">L43</f>
        <v>0.071774577695173</v>
      </c>
      <c r="BF43" s="489" t="n">
        <f aca="false">PJM_01212000!X43</f>
        <v>0.18612</v>
      </c>
      <c r="BG43" s="425" t="n">
        <f aca="false">(AX43+15)-$K$1</f>
        <v>1048</v>
      </c>
      <c r="BH43" s="433" t="n">
        <f aca="false">AD43</f>
        <v>0</v>
      </c>
      <c r="BJ43" s="486" t="e">
        <f aca="false">EURO(BB43,BC43,BD43,BE43,BF43,BG43,1,0)*BH43</f>
        <v>#NAME?</v>
      </c>
      <c r="BK43" s="433" t="n">
        <f aca="false">(AI43-AJ43)*N43</f>
        <v>0</v>
      </c>
      <c r="BM43" s="433" t="e">
        <f aca="false">BJ43-BK43</f>
        <v>#NAME?</v>
      </c>
    </row>
    <row r="44" customFormat="false" ht="16.5" hidden="false" customHeight="false" outlineLevel="0" collapsed="false">
      <c r="A44" s="59" t="n">
        <f aca="false">A43+1</f>
        <v>38</v>
      </c>
      <c r="C44" s="59" t="n">
        <v>28</v>
      </c>
      <c r="D44" s="59" t="s">
        <v>165</v>
      </c>
      <c r="E44" s="125" t="n">
        <f aca="false">E43+C43</f>
        <v>37653</v>
      </c>
      <c r="F44" s="425" t="n">
        <v>20</v>
      </c>
      <c r="G44" s="433" t="n">
        <f aca="false">C44-F44</f>
        <v>8</v>
      </c>
      <c r="H44" s="433"/>
      <c r="I44" s="433"/>
      <c r="J44" s="59" t="n">
        <f aca="false">K45-K44</f>
        <v>28</v>
      </c>
      <c r="K44" s="478" t="n">
        <v>37653</v>
      </c>
      <c r="L44" s="490" t="n">
        <v>0.07186210109711</v>
      </c>
      <c r="M44" s="491" t="n">
        <v>0.066209682932364</v>
      </c>
      <c r="N44" s="480" t="n">
        <f aca="false">(1+L44/2)^(-2*((K44+$T$1)-$K$1)/365.25)</f>
        <v>0.807210018749089</v>
      </c>
      <c r="O44" s="127" t="n">
        <f aca="false">VLOOKUP(K44,Inflation!$B$8:$C$266,2)</f>
        <v>1.08802716359723</v>
      </c>
      <c r="P44" s="480"/>
      <c r="Q44" s="481" t="n">
        <f aca="false">VLOOKUP(K44,'Fuel Curve'!$B$11:$F$268,5)</f>
        <v>4.73155172413793</v>
      </c>
      <c r="R44" s="482" t="n">
        <f aca="false">VLOOKUP(K44,'Fuel Curve Simulation'!$B$12:$J$258,9)</f>
        <v>4.73155172413793</v>
      </c>
      <c r="S44" s="481" t="n">
        <f aca="false">(R44*$S$2)/1000</f>
        <v>45.3235339655173</v>
      </c>
      <c r="T44" s="483"/>
      <c r="V44" s="128" t="n">
        <f aca="false">VLOOKUP(K44,PJM_01212000!$A$7:$C$259,3)</f>
        <v>36.3249984741211</v>
      </c>
      <c r="W44" s="128"/>
      <c r="X44" s="484" t="n">
        <f aca="false">'PJM Curve Simulation'!J44</f>
        <v>36.3249984741211</v>
      </c>
      <c r="Y44" s="489"/>
      <c r="Z44" s="483"/>
      <c r="AA44" s="59" t="n">
        <f aca="false">AA43</f>
        <v>315</v>
      </c>
      <c r="AB44" s="425" t="n">
        <f aca="false">AA44*F44*16</f>
        <v>100800</v>
      </c>
      <c r="AC44" s="425" t="n">
        <f aca="false">VLOOKUP(K44,'Company Volumes'!$B$20:$C$259,2)</f>
        <v>870.001850666666</v>
      </c>
      <c r="AD44" s="485" t="n">
        <f aca="false">IF(V44&gt;S44+($AM$5*1000*O44),AA44*F44*16,0)</f>
        <v>0</v>
      </c>
      <c r="AE44" s="425"/>
      <c r="AF44" s="425" t="n">
        <v>0</v>
      </c>
      <c r="AG44" s="425" t="n">
        <v>0</v>
      </c>
      <c r="AH44" s="425" t="n">
        <f aca="false">X44*AD44</f>
        <v>0</v>
      </c>
      <c r="AI44" s="425" t="n">
        <f aca="false">SUM(AF44:AH44)</f>
        <v>0</v>
      </c>
      <c r="AJ44" s="425" t="n">
        <f aca="false">(AD44*1000*$S$2)/1000000*R44</f>
        <v>0</v>
      </c>
      <c r="AK44" s="425" t="n">
        <f aca="false">($AK$5*O44)/12</f>
        <v>54401.3581798617</v>
      </c>
      <c r="AL44" s="425" t="n">
        <f aca="false">($AL$5*O44)/12</f>
        <v>138723.463358647</v>
      </c>
      <c r="AM44" s="425" t="n">
        <f aca="false">AD44*$AM$5*1000*O44</f>
        <v>0</v>
      </c>
      <c r="AN44" s="425" t="n">
        <f aca="false">(($AN$5*O44)/12)*$S$4</f>
        <v>124397.772371284</v>
      </c>
      <c r="AO44" s="425" t="n">
        <f aca="false">($AO$5*O44)/12</f>
        <v>27200.6790899308</v>
      </c>
      <c r="AP44" s="425" t="n">
        <f aca="false">AP43</f>
        <v>46500.5582152336</v>
      </c>
      <c r="AQ44" s="433" t="n">
        <f aca="false">SUM(AK44:AP44)</f>
        <v>391223.831214957</v>
      </c>
      <c r="AR44" s="425" t="n">
        <f aca="false">($AR$5*O44)/12</f>
        <v>13600.3395449654</v>
      </c>
      <c r="AS44" s="433" t="n">
        <f aca="false">AS43</f>
        <v>30387.755</v>
      </c>
      <c r="AT44" s="425" t="n">
        <f aca="false">(AI44/100)*$AT$6*O44</f>
        <v>0</v>
      </c>
      <c r="AU44" s="433" t="n">
        <f aca="false">SUM(AJ44:AT44)-AQ44</f>
        <v>435211.925759923</v>
      </c>
      <c r="AV44" s="433" t="n">
        <f aca="false">AI44-AU44</f>
        <v>-435211.925759923</v>
      </c>
      <c r="AW44" s="493"/>
      <c r="AX44" s="423" t="n">
        <f aca="false">K44</f>
        <v>37653</v>
      </c>
      <c r="BA44" s="126"/>
      <c r="BB44" s="481" t="n">
        <f aca="false">X44</f>
        <v>36.3249984741211</v>
      </c>
      <c r="BC44" s="481" t="n">
        <f aca="false">'Curve Analysis - Base Case'!D36</f>
        <v>47.4995882927117</v>
      </c>
      <c r="BD44" s="479" t="n">
        <f aca="false">L44</f>
        <v>0.07186210109711</v>
      </c>
      <c r="BE44" s="479" t="n">
        <f aca="false">L44</f>
        <v>0.07186210109711</v>
      </c>
      <c r="BF44" s="489" t="n">
        <f aca="false">PJM_01212000!X44</f>
        <v>0.18612</v>
      </c>
      <c r="BG44" s="425" t="n">
        <f aca="false">(AX44+15)-$K$1</f>
        <v>1079</v>
      </c>
      <c r="BH44" s="433" t="n">
        <f aca="false">AD44</f>
        <v>0</v>
      </c>
      <c r="BJ44" s="486" t="e">
        <f aca="false">EURO(BB44,BC44,BD44,BE44,BF44,BG44,1,0)*BH44</f>
        <v>#NAME?</v>
      </c>
      <c r="BK44" s="433" t="n">
        <f aca="false">(AI44-AJ44)*N44</f>
        <v>0</v>
      </c>
      <c r="BM44" s="433" t="e">
        <f aca="false">BJ44-BK44</f>
        <v>#NAME?</v>
      </c>
    </row>
    <row r="45" customFormat="false" ht="16.5" hidden="false" customHeight="false" outlineLevel="0" collapsed="false">
      <c r="A45" s="59" t="n">
        <f aca="false">A44+1</f>
        <v>39</v>
      </c>
      <c r="C45" s="59" t="n">
        <v>31</v>
      </c>
      <c r="D45" s="59" t="s">
        <v>166</v>
      </c>
      <c r="E45" s="125" t="n">
        <f aca="false">E44+C44</f>
        <v>37681</v>
      </c>
      <c r="F45" s="425" t="n">
        <v>21</v>
      </c>
      <c r="G45" s="433" t="n">
        <f aca="false">C45-F45</f>
        <v>10</v>
      </c>
      <c r="H45" s="433"/>
      <c r="I45" s="433"/>
      <c r="J45" s="59" t="n">
        <f aca="false">K46-K45</f>
        <v>31</v>
      </c>
      <c r="K45" s="478" t="n">
        <v>37681</v>
      </c>
      <c r="L45" s="490" t="n">
        <v>0.071941154494584</v>
      </c>
      <c r="M45" s="491" t="n">
        <v>0.066238921754012</v>
      </c>
      <c r="N45" s="480" t="n">
        <f aca="false">(1+L45/2)^(-2*((K45+$T$1)-$K$1)/365.25)</f>
        <v>0.802662452765934</v>
      </c>
      <c r="O45" s="127" t="n">
        <f aca="false">VLOOKUP(K45,Inflation!$B$8:$C$266,2)</f>
        <v>1.09044544246805</v>
      </c>
      <c r="P45" s="480"/>
      <c r="Q45" s="481" t="n">
        <f aca="false">VLOOKUP(K45,'Fuel Curve'!$B$11:$F$268,5)</f>
        <v>4.62224137931035</v>
      </c>
      <c r="R45" s="482" t="n">
        <f aca="false">VLOOKUP(K45,'Fuel Curve Simulation'!$B$12:$J$258,9)</f>
        <v>4.62224137931035</v>
      </c>
      <c r="S45" s="481" t="n">
        <f aca="false">(R45*$S$2)/1000</f>
        <v>44.2764501724138</v>
      </c>
      <c r="T45" s="483"/>
      <c r="V45" s="128" t="n">
        <f aca="false">VLOOKUP(K45,PJM_01212000!$A$7:$C$259,3)</f>
        <v>26.2000007629395</v>
      </c>
      <c r="W45" s="128"/>
      <c r="X45" s="484" t="n">
        <f aca="false">'PJM Curve Simulation'!J45</f>
        <v>26.2000007629395</v>
      </c>
      <c r="Y45" s="489"/>
      <c r="Z45" s="483"/>
      <c r="AA45" s="59" t="n">
        <f aca="false">AA44</f>
        <v>315</v>
      </c>
      <c r="AB45" s="425" t="n">
        <f aca="false">AA45*F45*16</f>
        <v>105840</v>
      </c>
      <c r="AC45" s="425" t="n">
        <f aca="false">VLOOKUP(K45,'Company Volumes'!$B$20:$C$259,2)</f>
        <v>870.001850666666</v>
      </c>
      <c r="AD45" s="485" t="n">
        <f aca="false">IF(V45&gt;S45+($AM$5*1000*O45),AA45*F45*16,0)</f>
        <v>0</v>
      </c>
      <c r="AE45" s="425"/>
      <c r="AF45" s="425" t="n">
        <v>0</v>
      </c>
      <c r="AG45" s="425" t="n">
        <v>0</v>
      </c>
      <c r="AH45" s="425" t="n">
        <f aca="false">X45*AD45</f>
        <v>0</v>
      </c>
      <c r="AI45" s="425" t="n">
        <f aca="false">SUM(AF45:AH45)</f>
        <v>0</v>
      </c>
      <c r="AJ45" s="425" t="n">
        <f aca="false">(AD45*1000*$S$2)/1000000*R45</f>
        <v>0</v>
      </c>
      <c r="AK45" s="425" t="n">
        <f aca="false">($AK$5*O45)/12</f>
        <v>54522.2721234023</v>
      </c>
      <c r="AL45" s="425" t="n">
        <f aca="false">($AL$5*O45)/12</f>
        <v>139031.793914676</v>
      </c>
      <c r="AM45" s="425" t="n">
        <f aca="false">AD45*$AM$5*1000*O45</f>
        <v>0</v>
      </c>
      <c r="AN45" s="425" t="n">
        <f aca="false">(($AN$5*O45)/12)*$S$4</f>
        <v>124674.262255513</v>
      </c>
      <c r="AO45" s="425" t="n">
        <f aca="false">($AO$5*O45)/12</f>
        <v>27261.1360617012</v>
      </c>
      <c r="AP45" s="425" t="n">
        <f aca="false">AP44</f>
        <v>46500.5582152336</v>
      </c>
      <c r="AQ45" s="433" t="n">
        <f aca="false">SUM(AK45:AP45)</f>
        <v>391990.022570526</v>
      </c>
      <c r="AR45" s="425" t="n">
        <f aca="false">($AR$5*O45)/12</f>
        <v>13630.5680308506</v>
      </c>
      <c r="AS45" s="433" t="n">
        <f aca="false">AS44</f>
        <v>30387.755</v>
      </c>
      <c r="AT45" s="425" t="n">
        <f aca="false">(AI45/100)*$AT$6*O45</f>
        <v>0</v>
      </c>
      <c r="AU45" s="433" t="n">
        <f aca="false">SUM(AJ45:AT45)-AQ45</f>
        <v>436008.345601377</v>
      </c>
      <c r="AV45" s="433" t="n">
        <f aca="false">AI45-AU45</f>
        <v>-436008.345601377</v>
      </c>
      <c r="AW45" s="493"/>
      <c r="AX45" s="423" t="n">
        <f aca="false">K45</f>
        <v>37681</v>
      </c>
      <c r="BA45" s="126"/>
      <c r="BB45" s="481" t="n">
        <f aca="false">X45</f>
        <v>26.2000007629395</v>
      </c>
      <c r="BC45" s="481" t="n">
        <f aca="false">'Curve Analysis - Base Case'!D37</f>
        <v>46.4573410573499</v>
      </c>
      <c r="BD45" s="479" t="n">
        <f aca="false">L45</f>
        <v>0.071941154494584</v>
      </c>
      <c r="BE45" s="479" t="n">
        <f aca="false">L45</f>
        <v>0.071941154494584</v>
      </c>
      <c r="BF45" s="489" t="n">
        <f aca="false">PJM_01212000!X45</f>
        <v>0.1551</v>
      </c>
      <c r="BG45" s="425" t="n">
        <f aca="false">(AX45+15)-$K$1</f>
        <v>1107</v>
      </c>
      <c r="BH45" s="433" t="n">
        <f aca="false">AD45</f>
        <v>0</v>
      </c>
      <c r="BJ45" s="486" t="e">
        <f aca="false">EURO(BB45,BC45,BD45,BE45,BF45,BG45,1,0)*BH45</f>
        <v>#NAME?</v>
      </c>
      <c r="BK45" s="433" t="n">
        <f aca="false">(AI45-AJ45)*N45</f>
        <v>0</v>
      </c>
      <c r="BM45" s="433" t="e">
        <f aca="false">BJ45-BK45</f>
        <v>#NAME?</v>
      </c>
    </row>
    <row r="46" customFormat="false" ht="16.5" hidden="false" customHeight="false" outlineLevel="0" collapsed="false">
      <c r="A46" s="59" t="n">
        <f aca="false">A45+1</f>
        <v>40</v>
      </c>
      <c r="C46" s="59" t="n">
        <v>30</v>
      </c>
      <c r="D46" s="59" t="s">
        <v>167</v>
      </c>
      <c r="E46" s="125" t="n">
        <f aca="false">E45+C45</f>
        <v>37712</v>
      </c>
      <c r="F46" s="425" t="n">
        <v>22</v>
      </c>
      <c r="G46" s="433" t="n">
        <f aca="false">C46-F46</f>
        <v>8</v>
      </c>
      <c r="H46" s="433"/>
      <c r="I46" s="433"/>
      <c r="J46" s="59" t="n">
        <f aca="false">K47-K46</f>
        <v>30</v>
      </c>
      <c r="K46" s="478" t="n">
        <v>37712</v>
      </c>
      <c r="L46" s="490" t="n">
        <v>0.072017864961397</v>
      </c>
      <c r="M46" s="491" t="n">
        <v>0.066271293313488</v>
      </c>
      <c r="N46" s="480" t="n">
        <f aca="false">(1+L46/2)^(-2*((K46+$T$1)-$K$1)/365.25)</f>
        <v>0.797673248177405</v>
      </c>
      <c r="O46" s="127" t="n">
        <f aca="false">VLOOKUP(K46,Inflation!$B$8:$C$266,2)</f>
        <v>1.09286909627148</v>
      </c>
      <c r="P46" s="480"/>
      <c r="Q46" s="481" t="n">
        <f aca="false">VLOOKUP(K46,'Fuel Curve'!$B$11:$F$268,5)</f>
        <v>4.51137931034483</v>
      </c>
      <c r="R46" s="482" t="n">
        <f aca="false">VLOOKUP(K46,'Fuel Curve Simulation'!$B$12:$J$258,9)</f>
        <v>4.51137931034483</v>
      </c>
      <c r="S46" s="481" t="n">
        <f aca="false">(R46*$S$2)/1000</f>
        <v>43.2145024137931</v>
      </c>
      <c r="T46" s="483"/>
      <c r="V46" s="128" t="n">
        <f aca="false">VLOOKUP(K46,PJM_01212000!$A$7:$C$259,3)</f>
        <v>25.9750007629395</v>
      </c>
      <c r="W46" s="128"/>
      <c r="X46" s="484" t="n">
        <f aca="false">'PJM Curve Simulation'!J46</f>
        <v>25.9750007629395</v>
      </c>
      <c r="Y46" s="489"/>
      <c r="Z46" s="483"/>
      <c r="AA46" s="59" t="n">
        <f aca="false">AA45</f>
        <v>315</v>
      </c>
      <c r="AB46" s="425" t="n">
        <f aca="false">AA46*F46*16</f>
        <v>110880</v>
      </c>
      <c r="AC46" s="425" t="n">
        <f aca="false">VLOOKUP(K46,'Company Volumes'!$B$20:$C$259,2)</f>
        <v>11199.2583796551</v>
      </c>
      <c r="AD46" s="485" t="n">
        <f aca="false">IF(V46&gt;S46+($AM$5*1000*O46),AA46*F46*16,0)</f>
        <v>0</v>
      </c>
      <c r="AE46" s="425"/>
      <c r="AF46" s="425" t="n">
        <v>0</v>
      </c>
      <c r="AG46" s="425" t="n">
        <v>0</v>
      </c>
      <c r="AH46" s="425" t="n">
        <f aca="false">X46*AD46</f>
        <v>0</v>
      </c>
      <c r="AI46" s="425" t="n">
        <f aca="false">SUM(AF46:AH46)</f>
        <v>0</v>
      </c>
      <c r="AJ46" s="425" t="n">
        <f aca="false">(AD46*1000*$S$2)/1000000*R46</f>
        <v>0</v>
      </c>
      <c r="AK46" s="425" t="n">
        <f aca="false">($AK$5*O46)/12</f>
        <v>54643.4548135742</v>
      </c>
      <c r="AL46" s="425" t="n">
        <f aca="false">($AL$5*O46)/12</f>
        <v>139340.809774614</v>
      </c>
      <c r="AM46" s="425" t="n">
        <f aca="false">AD46*$AM$5*1000*O46</f>
        <v>0</v>
      </c>
      <c r="AN46" s="425" t="n">
        <f aca="false">(($AN$5*O46)/12)*$S$4</f>
        <v>124951.366673706</v>
      </c>
      <c r="AO46" s="425" t="n">
        <f aca="false">($AO$5*O46)/12</f>
        <v>27321.7274067871</v>
      </c>
      <c r="AP46" s="425" t="n">
        <f aca="false">AP45</f>
        <v>46500.5582152336</v>
      </c>
      <c r="AQ46" s="433" t="n">
        <f aca="false">SUM(AK46:AP46)</f>
        <v>392757.916883915</v>
      </c>
      <c r="AR46" s="425" t="n">
        <f aca="false">($AR$5*O46)/12</f>
        <v>13660.8637033935</v>
      </c>
      <c r="AS46" s="433" t="n">
        <f aca="false">AS45</f>
        <v>30387.755</v>
      </c>
      <c r="AT46" s="425" t="n">
        <f aca="false">(AI46/100)*$AT$6*O46</f>
        <v>0</v>
      </c>
      <c r="AU46" s="433" t="n">
        <f aca="false">SUM(AJ46:AT46)-AQ46</f>
        <v>436806.535587309</v>
      </c>
      <c r="AV46" s="433" t="n">
        <f aca="false">AI46-AU46</f>
        <v>-436806.535587309</v>
      </c>
      <c r="AW46" s="493"/>
      <c r="AX46" s="423" t="n">
        <f aca="false">K46</f>
        <v>37712</v>
      </c>
      <c r="BA46" s="126"/>
      <c r="BB46" s="481" t="n">
        <f aca="false">X46</f>
        <v>25.9750007629395</v>
      </c>
      <c r="BC46" s="481" t="n">
        <f aca="false">'Curve Analysis - Base Case'!D38</f>
        <v>45.4002406063361</v>
      </c>
      <c r="BD46" s="479" t="n">
        <f aca="false">L46</f>
        <v>0.072017864961397</v>
      </c>
      <c r="BE46" s="479" t="n">
        <f aca="false">L46</f>
        <v>0.072017864961397</v>
      </c>
      <c r="BF46" s="489" t="n">
        <f aca="false">PJM_01212000!X46</f>
        <v>0.147345</v>
      </c>
      <c r="BG46" s="425" t="n">
        <f aca="false">(AX46+15)-$K$1</f>
        <v>1138</v>
      </c>
      <c r="BH46" s="433" t="n">
        <f aca="false">AD46</f>
        <v>0</v>
      </c>
      <c r="BJ46" s="486" t="e">
        <f aca="false">EURO(BB46,BC46,BD46,BE46,BF46,BG46,1,0)*BH46</f>
        <v>#NAME?</v>
      </c>
      <c r="BK46" s="433" t="n">
        <f aca="false">(AI46-AJ46)*N46</f>
        <v>0</v>
      </c>
      <c r="BM46" s="433" t="e">
        <f aca="false">BJ46-BK46</f>
        <v>#NAME?</v>
      </c>
    </row>
    <row r="47" customFormat="false" ht="16.5" hidden="false" customHeight="false" outlineLevel="0" collapsed="false">
      <c r="A47" s="59" t="n">
        <f aca="false">A46+1</f>
        <v>41</v>
      </c>
      <c r="C47" s="59" t="n">
        <v>31</v>
      </c>
      <c r="D47" s="59" t="s">
        <v>29</v>
      </c>
      <c r="E47" s="125" t="n">
        <f aca="false">E46+C46</f>
        <v>37742</v>
      </c>
      <c r="F47" s="425" t="n">
        <v>22</v>
      </c>
      <c r="G47" s="433" t="n">
        <f aca="false">C47-F47</f>
        <v>9</v>
      </c>
      <c r="H47" s="433"/>
      <c r="I47" s="433"/>
      <c r="J47" s="59" t="n">
        <f aca="false">K48-K47</f>
        <v>31</v>
      </c>
      <c r="K47" s="478" t="n">
        <v>37742</v>
      </c>
      <c r="L47" s="490" t="n">
        <v>0.072077719331942</v>
      </c>
      <c r="M47" s="491" t="n">
        <v>0.066302620636051</v>
      </c>
      <c r="N47" s="480" t="n">
        <f aca="false">(1+L47/2)^(-2*((K47+$T$1)-$K$1)/365.25)</f>
        <v>0.792901103049877</v>
      </c>
      <c r="O47" s="127" t="n">
        <f aca="false">VLOOKUP(K47,Inflation!$B$8:$C$266,2)</f>
        <v>1.09529813695402</v>
      </c>
      <c r="P47" s="480"/>
      <c r="Q47" s="481" t="n">
        <f aca="false">VLOOKUP(K47,'Fuel Curve'!$B$11:$F$268,5)</f>
        <v>4.43172413793104</v>
      </c>
      <c r="R47" s="482" t="n">
        <f aca="false">VLOOKUP(K47,'Fuel Curve Simulation'!$B$12:$J$258,9)</f>
        <v>4.43172413793104</v>
      </c>
      <c r="S47" s="481" t="n">
        <f aca="false">(R47*$S$2)/1000</f>
        <v>42.4514855172414</v>
      </c>
      <c r="T47" s="483"/>
      <c r="V47" s="128" t="n">
        <f aca="false">VLOOKUP(K47,PJM_01212000!$A$7:$C$259,3)</f>
        <v>30.975</v>
      </c>
      <c r="W47" s="128"/>
      <c r="X47" s="484" t="n">
        <f aca="false">'PJM Curve Simulation'!J47</f>
        <v>30.975</v>
      </c>
      <c r="Y47" s="489"/>
      <c r="Z47" s="483"/>
      <c r="AA47" s="59" t="n">
        <f aca="false">AA46</f>
        <v>315</v>
      </c>
      <c r="AB47" s="425" t="n">
        <f aca="false">AA47*F47*16</f>
        <v>110880</v>
      </c>
      <c r="AC47" s="425" t="n">
        <f aca="false">VLOOKUP(K47,'Company Volumes'!$B$20:$C$259,2)</f>
        <v>18970.9989140436</v>
      </c>
      <c r="AD47" s="485" t="n">
        <f aca="false">IF(V47&gt;S47+($AM$5*1000*O47),AA47*F47*16,0)</f>
        <v>0</v>
      </c>
      <c r="AE47" s="425"/>
      <c r="AF47" s="425" t="n">
        <v>0</v>
      </c>
      <c r="AG47" s="425" t="n">
        <v>0</v>
      </c>
      <c r="AH47" s="425" t="n">
        <f aca="false">X47*AD47</f>
        <v>0</v>
      </c>
      <c r="AI47" s="425" t="n">
        <f aca="false">SUM(AF47:AH47)</f>
        <v>0</v>
      </c>
      <c r="AJ47" s="425" t="n">
        <f aca="false">(AD47*1000*$S$2)/1000000*R47</f>
        <v>0</v>
      </c>
      <c r="AK47" s="425" t="n">
        <f aca="false">($AK$5*O47)/12</f>
        <v>54764.9068477008</v>
      </c>
      <c r="AL47" s="425" t="n">
        <f aca="false">($AL$5*O47)/12</f>
        <v>139650.512461637</v>
      </c>
      <c r="AM47" s="425" t="n">
        <f aca="false">AD47*$AM$5*1000*O47</f>
        <v>0</v>
      </c>
      <c r="AN47" s="425" t="n">
        <f aca="false">(($AN$5*O47)/12)*$S$4</f>
        <v>125229.086991742</v>
      </c>
      <c r="AO47" s="425" t="n">
        <f aca="false">($AO$5*O47)/12</f>
        <v>27382.4534238504</v>
      </c>
      <c r="AP47" s="425" t="n">
        <f aca="false">AP46</f>
        <v>46500.5582152336</v>
      </c>
      <c r="AQ47" s="433" t="n">
        <f aca="false">SUM(AK47:AP47)</f>
        <v>393527.517940164</v>
      </c>
      <c r="AR47" s="425" t="n">
        <f aca="false">($AR$5*O47)/12</f>
        <v>13691.2267119252</v>
      </c>
      <c r="AS47" s="433" t="n">
        <f aca="false">AS46</f>
        <v>30387.755</v>
      </c>
      <c r="AT47" s="425" t="n">
        <f aca="false">(AI47/100)*$AT$6*O47</f>
        <v>0</v>
      </c>
      <c r="AU47" s="433" t="n">
        <f aca="false">SUM(AJ47:AT47)-AQ47</f>
        <v>437606.49965209</v>
      </c>
      <c r="AV47" s="433" t="n">
        <f aca="false">AI47-AU47</f>
        <v>-437606.49965209</v>
      </c>
      <c r="AW47" s="493"/>
      <c r="AX47" s="423" t="n">
        <f aca="false">K47</f>
        <v>37742</v>
      </c>
      <c r="BA47" s="126"/>
      <c r="BB47" s="481" t="n">
        <f aca="false">X47</f>
        <v>30.975</v>
      </c>
      <c r="BC47" s="481" t="n">
        <f aca="false">'Curve Analysis - Base Case'!D39</f>
        <v>44.6420817911494</v>
      </c>
      <c r="BD47" s="479" t="n">
        <f aca="false">L47</f>
        <v>0.072077719331942</v>
      </c>
      <c r="BE47" s="479" t="n">
        <f aca="false">L47</f>
        <v>0.072077719331942</v>
      </c>
      <c r="BF47" s="489" t="n">
        <f aca="false">PJM_01212000!X47</f>
        <v>0.162855</v>
      </c>
      <c r="BG47" s="425" t="n">
        <f aca="false">(AX47+15)-$K$1</f>
        <v>1168</v>
      </c>
      <c r="BH47" s="433" t="n">
        <f aca="false">AD47</f>
        <v>0</v>
      </c>
      <c r="BJ47" s="486" t="e">
        <f aca="false">EURO(BB47,BC47,BD47,BE47,BF47,BG47,1,0)*BH47</f>
        <v>#NAME?</v>
      </c>
      <c r="BK47" s="433" t="n">
        <f aca="false">(AI47-AJ47)*N47</f>
        <v>0</v>
      </c>
      <c r="BM47" s="433" t="e">
        <f aca="false">BJ47-BK47</f>
        <v>#NAME?</v>
      </c>
    </row>
    <row r="48" customFormat="false" ht="16.5" hidden="false" customHeight="false" outlineLevel="0" collapsed="false">
      <c r="A48" s="59" t="n">
        <f aca="false">A47+1</f>
        <v>42</v>
      </c>
      <c r="C48" s="59" t="n">
        <v>30</v>
      </c>
      <c r="D48" s="59" t="s">
        <v>168</v>
      </c>
      <c r="E48" s="125" t="n">
        <f aca="false">E47+C47</f>
        <v>37773</v>
      </c>
      <c r="F48" s="425" t="n">
        <v>21</v>
      </c>
      <c r="G48" s="433" t="n">
        <f aca="false">C48-F48</f>
        <v>9</v>
      </c>
      <c r="H48" s="433"/>
      <c r="I48" s="433"/>
      <c r="J48" s="59" t="n">
        <f aca="false">K49-K48</f>
        <v>30</v>
      </c>
      <c r="K48" s="478" t="n">
        <v>37773</v>
      </c>
      <c r="L48" s="490" t="n">
        <v>0.072139568849415</v>
      </c>
      <c r="M48" s="491" t="n">
        <v>0.066334992209871</v>
      </c>
      <c r="N48" s="480" t="n">
        <f aca="false">(1+L48/2)^(-2*((K48+$T$1)-$K$1)/365.25)</f>
        <v>0.78799202563956</v>
      </c>
      <c r="O48" s="127" t="n">
        <f aca="false">VLOOKUP(K48,Inflation!$B$8:$C$266,2)</f>
        <v>1.09773257648867</v>
      </c>
      <c r="P48" s="480"/>
      <c r="Q48" s="481" t="n">
        <f aca="false">VLOOKUP(K48,'Fuel Curve'!$B$11:$F$268,5)</f>
        <v>4.415</v>
      </c>
      <c r="R48" s="482" t="n">
        <f aca="false">VLOOKUP(K48,'Fuel Curve Simulation'!$B$12:$J$258,9)</f>
        <v>4.415</v>
      </c>
      <c r="S48" s="481" t="n">
        <f aca="false">(R48*$S$2)/1000</f>
        <v>42.291285</v>
      </c>
      <c r="T48" s="483"/>
      <c r="V48" s="128" t="n">
        <f aca="false">VLOOKUP(K48,PJM_01212000!$A$7:$C$259,3)</f>
        <v>55.0999984741211</v>
      </c>
      <c r="W48" s="128"/>
      <c r="X48" s="484" t="n">
        <f aca="false">'PJM Curve Simulation'!J48</f>
        <v>55.0999984741211</v>
      </c>
      <c r="Y48" s="489"/>
      <c r="Z48" s="483"/>
      <c r="AA48" s="59" t="n">
        <f aca="false">AA47</f>
        <v>315</v>
      </c>
      <c r="AB48" s="425" t="n">
        <f aca="false">AA48*F48*16</f>
        <v>105840</v>
      </c>
      <c r="AC48" s="425" t="n">
        <f aca="false">VLOOKUP(K48,'Company Volumes'!$B$20:$C$259,2)</f>
        <v>32361.9967366827</v>
      </c>
      <c r="AD48" s="485" t="n">
        <f aca="false">IF(V48&gt;S48+($AM$5*1000*O48),AA48*F48*16,0)</f>
        <v>105840</v>
      </c>
      <c r="AE48" s="425"/>
      <c r="AF48" s="425" t="n">
        <v>0</v>
      </c>
      <c r="AG48" s="425" t="n">
        <v>0</v>
      </c>
      <c r="AH48" s="425" t="n">
        <f aca="false">X48*AD48</f>
        <v>5831783.83850098</v>
      </c>
      <c r="AI48" s="425" t="n">
        <f aca="false">SUM(AF48:AH48)</f>
        <v>5831783.83850098</v>
      </c>
      <c r="AJ48" s="425" t="n">
        <f aca="false">(AD48*1000*$S$2)/1000000*R48</f>
        <v>4476109.6044</v>
      </c>
      <c r="AK48" s="425" t="n">
        <f aca="false">($AK$5*O48)/12</f>
        <v>54886.6288244334</v>
      </c>
      <c r="AL48" s="425" t="n">
        <f aca="false">($AL$5*O48)/12</f>
        <v>139960.903502305</v>
      </c>
      <c r="AM48" s="425" t="n">
        <f aca="false">AD48*$AM$5*1000*O48</f>
        <v>232368.031791121</v>
      </c>
      <c r="AN48" s="425" t="n">
        <f aca="false">(($AN$5*O48)/12)*$S$4</f>
        <v>125507.424578538</v>
      </c>
      <c r="AO48" s="425" t="n">
        <f aca="false">($AO$5*O48)/12</f>
        <v>27443.3144122167</v>
      </c>
      <c r="AP48" s="425" t="n">
        <f aca="false">AP47</f>
        <v>46500.5582152336</v>
      </c>
      <c r="AQ48" s="433" t="n">
        <f aca="false">SUM(AK48:AP48)</f>
        <v>626666.861323848</v>
      </c>
      <c r="AR48" s="425" t="n">
        <f aca="false">($AR$5*O48)/12</f>
        <v>13721.6572061084</v>
      </c>
      <c r="AS48" s="433" t="n">
        <f aca="false">AS47</f>
        <v>30387.755</v>
      </c>
      <c r="AT48" s="425" t="n">
        <f aca="false">(AI48/100)*$AT$6*O48</f>
        <v>38410.4345913759</v>
      </c>
      <c r="AU48" s="433" t="n">
        <f aca="false">SUM(AJ48:AT48)-AQ48</f>
        <v>5185296.31252133</v>
      </c>
      <c r="AV48" s="433" t="n">
        <f aca="false">AI48-AU48</f>
        <v>646487.525979644</v>
      </c>
      <c r="AW48" s="493"/>
      <c r="AX48" s="423" t="n">
        <f aca="false">K48</f>
        <v>37773</v>
      </c>
      <c r="BA48" s="126"/>
      <c r="BB48" s="481" t="n">
        <f aca="false">X48</f>
        <v>55.0999984741211</v>
      </c>
      <c r="BC48" s="481" t="n">
        <f aca="false">'Curve Analysis - Base Case'!D40</f>
        <v>44.4867501529773</v>
      </c>
      <c r="BD48" s="479" t="n">
        <f aca="false">L48</f>
        <v>0.072139568849415</v>
      </c>
      <c r="BE48" s="479" t="n">
        <f aca="false">L48</f>
        <v>0.072139568849415</v>
      </c>
      <c r="BF48" s="489" t="n">
        <f aca="false">PJM_01212000!X48</f>
        <v>0.209385</v>
      </c>
      <c r="BG48" s="425" t="n">
        <f aca="false">(AX48+15)-$K$1</f>
        <v>1199</v>
      </c>
      <c r="BH48" s="433" t="n">
        <f aca="false">AD48</f>
        <v>105840</v>
      </c>
      <c r="BJ48" s="486" t="e">
        <f aca="false">EURO(BB48,BC48,BD48,BE48,BF48,BG48,1,0)*BH48</f>
        <v>#NAME?</v>
      </c>
      <c r="BK48" s="433" t="n">
        <f aca="false">(AI48-AJ48)*N48</f>
        <v>1068260.48583659</v>
      </c>
      <c r="BM48" s="433" t="e">
        <f aca="false">BJ48-BK48</f>
        <v>#NAME?</v>
      </c>
    </row>
    <row r="49" customFormat="false" ht="16.5" hidden="false" customHeight="false" outlineLevel="0" collapsed="false">
      <c r="A49" s="59" t="n">
        <f aca="false">A48+1</f>
        <v>43</v>
      </c>
      <c r="C49" s="59" t="n">
        <v>31</v>
      </c>
      <c r="D49" s="59" t="s">
        <v>169</v>
      </c>
      <c r="E49" s="125" t="n">
        <f aca="false">E48+C48</f>
        <v>37803</v>
      </c>
      <c r="F49" s="425" t="n">
        <v>23</v>
      </c>
      <c r="G49" s="433" t="n">
        <f aca="false">C49-F49</f>
        <v>8</v>
      </c>
      <c r="H49" s="433"/>
      <c r="I49" s="433"/>
      <c r="J49" s="59" t="n">
        <f aca="false">K50-K49</f>
        <v>31</v>
      </c>
      <c r="K49" s="478" t="n">
        <v>37803</v>
      </c>
      <c r="L49" s="490" t="n">
        <v>0.072196593496435</v>
      </c>
      <c r="M49" s="491" t="n">
        <v>0.066366319546315</v>
      </c>
      <c r="N49" s="480" t="n">
        <f aca="false">(1+L49/2)^(-2*((K49+$T$1)-$K$1)/365.25)</f>
        <v>0.783270061390786</v>
      </c>
      <c r="O49" s="127" t="n">
        <f aca="false">VLOOKUP(K49,Inflation!$B$8:$C$266,2)</f>
        <v>1.10017242687508</v>
      </c>
      <c r="P49" s="480"/>
      <c r="Q49" s="481" t="n">
        <f aca="false">VLOOKUP(K49,'Fuel Curve'!$B$11:$F$268,5)</f>
        <v>4.46068965517241</v>
      </c>
      <c r="R49" s="482" t="n">
        <f aca="false">VLOOKUP(K49,'Fuel Curve Simulation'!$B$12:$J$258,9)</f>
        <v>4.46068965517241</v>
      </c>
      <c r="S49" s="481" t="n">
        <f aca="false">(R49*$S$2)/1000</f>
        <v>42.7289462068966</v>
      </c>
      <c r="T49" s="483"/>
      <c r="V49" s="128" t="n">
        <f aca="false">VLOOKUP(K49,PJM_01212000!$A$7:$C$259,3)</f>
        <v>94.1999969482422</v>
      </c>
      <c r="W49" s="128"/>
      <c r="X49" s="484" t="n">
        <f aca="false">'PJM Curve Simulation'!J49</f>
        <v>94.1999969482422</v>
      </c>
      <c r="Y49" s="489"/>
      <c r="Z49" s="483"/>
      <c r="AA49" s="59" t="n">
        <f aca="false">AA48</f>
        <v>315</v>
      </c>
      <c r="AB49" s="425" t="n">
        <f aca="false">AA49*F49*16</f>
        <v>115920</v>
      </c>
      <c r="AC49" s="425" t="n">
        <f aca="false">VLOOKUP(K49,'Company Volumes'!$B$20:$C$259,2)</f>
        <v>53980.5369349058</v>
      </c>
      <c r="AD49" s="485" t="n">
        <f aca="false">IF(V49&gt;S49+($AM$5*1000*O49),AA49*F49*16,0)</f>
        <v>115920</v>
      </c>
      <c r="AE49" s="425"/>
      <c r="AF49" s="425" t="n">
        <v>0</v>
      </c>
      <c r="AG49" s="425" t="n">
        <v>0</v>
      </c>
      <c r="AH49" s="425" t="n">
        <f aca="false">X49*AD49</f>
        <v>10919663.6462402</v>
      </c>
      <c r="AI49" s="425" t="n">
        <f aca="false">SUM(AF49:AH49)</f>
        <v>10919663.6462402</v>
      </c>
      <c r="AJ49" s="425" t="n">
        <f aca="false">(AD49*1000*$S$2)/1000000*R49</f>
        <v>4953139.44430345</v>
      </c>
      <c r="AK49" s="425" t="n">
        <f aca="false">($AK$5*O49)/12</f>
        <v>55008.6213437539</v>
      </c>
      <c r="AL49" s="425" t="n">
        <f aca="false">($AL$5*O49)/12</f>
        <v>140271.984426572</v>
      </c>
      <c r="AM49" s="425" t="n">
        <f aca="false">AD49*$AM$5*1000*O49</f>
        <v>255063.975446718</v>
      </c>
      <c r="AN49" s="425" t="n">
        <f aca="false">(($AN$5*O49)/12)*$S$4</f>
        <v>125786.38080605</v>
      </c>
      <c r="AO49" s="425" t="n">
        <f aca="false">($AO$5*O49)/12</f>
        <v>27504.3106718769</v>
      </c>
      <c r="AP49" s="425" t="n">
        <f aca="false">AP48</f>
        <v>46500.5582152336</v>
      </c>
      <c r="AQ49" s="433" t="n">
        <f aca="false">SUM(AK49:AP49)</f>
        <v>650135.830910205</v>
      </c>
      <c r="AR49" s="425" t="n">
        <f aca="false">($AR$5*O49)/12</f>
        <v>13752.1553359385</v>
      </c>
      <c r="AS49" s="433" t="n">
        <f aca="false">AS48</f>
        <v>30387.755</v>
      </c>
      <c r="AT49" s="425" t="n">
        <f aca="false">(AI49/100)*$AT$6*O49</f>
        <v>72081.077126062</v>
      </c>
      <c r="AU49" s="433" t="n">
        <f aca="false">SUM(AJ49:AT49)-AQ49</f>
        <v>5719496.26267565</v>
      </c>
      <c r="AV49" s="433" t="n">
        <f aca="false">AI49-AU49</f>
        <v>5200167.38356458</v>
      </c>
      <c r="AW49" s="493"/>
      <c r="AX49" s="423" t="n">
        <f aca="false">K49</f>
        <v>37803</v>
      </c>
      <c r="BA49" s="126"/>
      <c r="BB49" s="481" t="n">
        <f aca="false">X49</f>
        <v>94.1999969482422</v>
      </c>
      <c r="BC49" s="481" t="n">
        <f aca="false">'Curve Analysis - Base Case'!D41</f>
        <v>44.9292910606467</v>
      </c>
      <c r="BD49" s="479" t="n">
        <f aca="false">L49</f>
        <v>0.072196593496435</v>
      </c>
      <c r="BE49" s="479" t="n">
        <f aca="false">L49</f>
        <v>0.072196593496435</v>
      </c>
      <c r="BF49" s="489" t="n">
        <f aca="false">PJM_01212000!X49</f>
        <v>0.255915</v>
      </c>
      <c r="BG49" s="425" t="n">
        <f aca="false">(AX49+15)-$K$1</f>
        <v>1229</v>
      </c>
      <c r="BH49" s="433" t="n">
        <f aca="false">AD49</f>
        <v>115920</v>
      </c>
      <c r="BJ49" s="486" t="e">
        <f aca="false">EURO(BB49,BC49,BD49,BE49,BF49,BG49,1,0)*BH49</f>
        <v>#NAME?</v>
      </c>
      <c r="BK49" s="433" t="n">
        <f aca="false">(AI49-AJ49)*N49</f>
        <v>4673399.77794064</v>
      </c>
      <c r="BM49" s="433" t="e">
        <f aca="false">BJ49-BK49</f>
        <v>#NAME?</v>
      </c>
    </row>
    <row r="50" customFormat="false" ht="16.5" hidden="false" customHeight="false" outlineLevel="0" collapsed="false">
      <c r="A50" s="59" t="n">
        <f aca="false">A49+1</f>
        <v>44</v>
      </c>
      <c r="C50" s="59" t="n">
        <v>31</v>
      </c>
      <c r="D50" s="59" t="s">
        <v>170</v>
      </c>
      <c r="E50" s="125" t="n">
        <f aca="false">E49+C49</f>
        <v>37834</v>
      </c>
      <c r="F50" s="425" t="n">
        <v>21</v>
      </c>
      <c r="G50" s="433" t="n">
        <f aca="false">C50-F50</f>
        <v>10</v>
      </c>
      <c r="H50" s="433"/>
      <c r="I50" s="433"/>
      <c r="J50" s="59" t="n">
        <f aca="false">K51-K50</f>
        <v>31</v>
      </c>
      <c r="K50" s="478" t="n">
        <v>37834</v>
      </c>
      <c r="L50" s="490" t="n">
        <v>0.072251448163748</v>
      </c>
      <c r="M50" s="491" t="n">
        <v>0.066398691134478</v>
      </c>
      <c r="N50" s="480" t="n">
        <f aca="false">(1+L50/2)^(-2*((K50+$T$1)-$K$1)/365.25)</f>
        <v>0.778423826491303</v>
      </c>
      <c r="O50" s="127" t="n">
        <f aca="false">VLOOKUP(K50,Inflation!$B$8:$C$266,2)</f>
        <v>1.10261770013955</v>
      </c>
      <c r="P50" s="480"/>
      <c r="Q50" s="481" t="n">
        <f aca="false">VLOOKUP(K50,'Fuel Curve'!$B$11:$F$268,5)</f>
        <v>4.53896551724138</v>
      </c>
      <c r="R50" s="482" t="n">
        <f aca="false">VLOOKUP(K50,'Fuel Curve Simulation'!$B$12:$J$258,9)</f>
        <v>4.53896551724138</v>
      </c>
      <c r="S50" s="481" t="n">
        <f aca="false">(R50*$S$2)/1000</f>
        <v>43.4787506896552</v>
      </c>
      <c r="T50" s="483"/>
      <c r="V50" s="128" t="n">
        <f aca="false">VLOOKUP(K50,PJM_01212000!$A$7:$C$259,3)</f>
        <v>81.1999969482422</v>
      </c>
      <c r="W50" s="128"/>
      <c r="X50" s="484" t="n">
        <f aca="false">'PJM Curve Simulation'!J50</f>
        <v>81.1999969482422</v>
      </c>
      <c r="Y50" s="489"/>
      <c r="Z50" s="483"/>
      <c r="AA50" s="59" t="n">
        <f aca="false">AA49</f>
        <v>315</v>
      </c>
      <c r="AB50" s="425" t="n">
        <f aca="false">AA50*F50*16</f>
        <v>105840</v>
      </c>
      <c r="AC50" s="425" t="n">
        <f aca="false">VLOOKUP(K50,'Company Volumes'!$B$20:$C$259,2)</f>
        <v>35987.024623928</v>
      </c>
      <c r="AD50" s="485" t="n">
        <f aca="false">IF(V50&gt;S50+($AM$5*1000*O50),AA50*F50*16,0)</f>
        <v>105840</v>
      </c>
      <c r="AE50" s="425"/>
      <c r="AF50" s="425" t="n">
        <v>0</v>
      </c>
      <c r="AG50" s="425" t="n">
        <v>0</v>
      </c>
      <c r="AH50" s="425" t="n">
        <f aca="false">X50*AD50</f>
        <v>8594207.67700195</v>
      </c>
      <c r="AI50" s="425" t="n">
        <f aca="false">SUM(AF50:AH50)</f>
        <v>8594207.67700195</v>
      </c>
      <c r="AJ50" s="425" t="n">
        <f aca="false">(AD50*1000*$S$2)/1000000*R50</f>
        <v>4601790.9729931</v>
      </c>
      <c r="AK50" s="425" t="n">
        <f aca="false">($AK$5*O50)/12</f>
        <v>55130.8850069774</v>
      </c>
      <c r="AL50" s="425" t="n">
        <f aca="false">($AL$5*O50)/12</f>
        <v>140583.756767792</v>
      </c>
      <c r="AM50" s="425" t="n">
        <f aca="false">AD50*$AM$5*1000*O50</f>
        <v>233402.11476554</v>
      </c>
      <c r="AN50" s="425" t="n">
        <f aca="false">(($AN$5*O50)/12)*$S$4</f>
        <v>126065.957049288</v>
      </c>
      <c r="AO50" s="425" t="n">
        <f aca="false">($AO$5*O50)/12</f>
        <v>27565.4425034887</v>
      </c>
      <c r="AP50" s="425" t="n">
        <f aca="false">AP49</f>
        <v>46500.5582152336</v>
      </c>
      <c r="AQ50" s="433" t="n">
        <f aca="false">SUM(AK50:AP50)</f>
        <v>629248.71430832</v>
      </c>
      <c r="AR50" s="425" t="n">
        <f aca="false">($AR$5*O50)/12</f>
        <v>13782.7212517444</v>
      </c>
      <c r="AS50" s="433" t="n">
        <f aca="false">AS49</f>
        <v>30387.755</v>
      </c>
      <c r="AT50" s="425" t="n">
        <f aca="false">(AI50/100)*$AT$6*O50</f>
        <v>56856.7530200253</v>
      </c>
      <c r="AU50" s="433" t="n">
        <f aca="false">SUM(AJ50:AT50)-AQ50</f>
        <v>5332066.91657319</v>
      </c>
      <c r="AV50" s="433" t="n">
        <f aca="false">AI50-AU50</f>
        <v>3262140.76042876</v>
      </c>
      <c r="AW50" s="493"/>
      <c r="AX50" s="423" t="n">
        <f aca="false">K50</f>
        <v>37834</v>
      </c>
      <c r="BA50" s="126"/>
      <c r="BB50" s="481" t="n">
        <f aca="false">X50</f>
        <v>81.1999969482422</v>
      </c>
      <c r="BC50" s="481" t="n">
        <f aca="false">'Curve Analysis - Base Case'!D42</f>
        <v>45.6839860899343</v>
      </c>
      <c r="BD50" s="479" t="n">
        <f aca="false">L50</f>
        <v>0.072251448163748</v>
      </c>
      <c r="BE50" s="479" t="n">
        <f aca="false">L50</f>
        <v>0.072251448163748</v>
      </c>
      <c r="BF50" s="489" t="n">
        <f aca="false">PJM_01212000!X50</f>
        <v>0.255915</v>
      </c>
      <c r="BG50" s="425" t="n">
        <f aca="false">(AX50+15)-$K$1</f>
        <v>1260</v>
      </c>
      <c r="BH50" s="433" t="n">
        <f aca="false">AD50</f>
        <v>105840</v>
      </c>
      <c r="BJ50" s="486" t="e">
        <f aca="false">EURO(BB50,BC50,BD50,BE50,BF50,BG50,1,0)*BH50</f>
        <v>#NAME?</v>
      </c>
      <c r="BK50" s="433" t="n">
        <f aca="false">(AI50-AJ50)*N50</f>
        <v>3107792.28768237</v>
      </c>
      <c r="BM50" s="433" t="e">
        <f aca="false">BJ50-BK50</f>
        <v>#NAME?</v>
      </c>
    </row>
    <row r="51" customFormat="false" ht="16.5" hidden="false" customHeight="false" outlineLevel="0" collapsed="false">
      <c r="A51" s="59" t="n">
        <f aca="false">A50+1</f>
        <v>45</v>
      </c>
      <c r="C51" s="59" t="n">
        <v>30</v>
      </c>
      <c r="D51" s="59" t="s">
        <v>171</v>
      </c>
      <c r="E51" s="125" t="n">
        <f aca="false">E50+C50</f>
        <v>37865</v>
      </c>
      <c r="F51" s="425" t="n">
        <v>22</v>
      </c>
      <c r="G51" s="433" t="n">
        <f aca="false">C51-F51</f>
        <v>8</v>
      </c>
      <c r="H51" s="433"/>
      <c r="I51" s="433"/>
      <c r="J51" s="59" t="n">
        <f aca="false">K52-K51</f>
        <v>30</v>
      </c>
      <c r="K51" s="478" t="n">
        <v>37865</v>
      </c>
      <c r="L51" s="490" t="n">
        <v>0.072306302832056</v>
      </c>
      <c r="M51" s="491" t="n">
        <v>0.066431062729931</v>
      </c>
      <c r="N51" s="480" t="n">
        <f aca="false">(1+L51/2)^(-2*((K51+$T$1)-$K$1)/365.25)</f>
        <v>0.773600627769881</v>
      </c>
      <c r="O51" s="127" t="n">
        <f aca="false">VLOOKUP(K51,Inflation!$B$8:$C$266,2)</f>
        <v>1.10506840833512</v>
      </c>
      <c r="P51" s="480"/>
      <c r="Q51" s="481" t="n">
        <f aca="false">VLOOKUP(K51,'Fuel Curve'!$B$11:$F$268,5)</f>
        <v>4.62362068965517</v>
      </c>
      <c r="R51" s="482" t="n">
        <f aca="false">VLOOKUP(K51,'Fuel Curve Simulation'!$B$12:$J$258,9)</f>
        <v>4.62362068965517</v>
      </c>
      <c r="S51" s="481" t="n">
        <f aca="false">(R51*$S$2)/1000</f>
        <v>44.2896625862069</v>
      </c>
      <c r="T51" s="483"/>
      <c r="V51" s="128" t="n">
        <f aca="false">VLOOKUP(K51,PJM_01212000!$A$7:$C$259,3)</f>
        <v>33.0749984741211</v>
      </c>
      <c r="W51" s="128"/>
      <c r="X51" s="484" t="n">
        <f aca="false">'PJM Curve Simulation'!J51</f>
        <v>33.0749984741211</v>
      </c>
      <c r="Y51" s="489"/>
      <c r="Z51" s="483"/>
      <c r="AA51" s="59" t="n">
        <f aca="false">AA50</f>
        <v>315</v>
      </c>
      <c r="AB51" s="425" t="n">
        <f aca="false">AA51*F51*16</f>
        <v>110880</v>
      </c>
      <c r="AC51" s="425" t="n">
        <f aca="false">VLOOKUP(K51,'Company Volumes'!$B$20:$C$259,2)</f>
        <v>23186.776450936</v>
      </c>
      <c r="AD51" s="485" t="n">
        <f aca="false">IF(V51&gt;S51+($AM$5*1000*O51),AA51*F51*16,0)</f>
        <v>0</v>
      </c>
      <c r="AE51" s="425"/>
      <c r="AF51" s="425" t="n">
        <v>0</v>
      </c>
      <c r="AG51" s="425" t="n">
        <v>0</v>
      </c>
      <c r="AH51" s="425" t="n">
        <f aca="false">X51*AD51</f>
        <v>0</v>
      </c>
      <c r="AI51" s="425" t="n">
        <f aca="false">SUM(AF51:AH51)</f>
        <v>0</v>
      </c>
      <c r="AJ51" s="425" t="n">
        <f aca="false">(AD51*1000*$S$2)/1000000*R51</f>
        <v>0</v>
      </c>
      <c r="AK51" s="425" t="n">
        <f aca="false">($AK$5*O51)/12</f>
        <v>55253.420416756</v>
      </c>
      <c r="AL51" s="425" t="n">
        <f aca="false">($AL$5*O51)/12</f>
        <v>140896.222062728</v>
      </c>
      <c r="AM51" s="425" t="n">
        <f aca="false">AD51*$AM$5*1000*O51</f>
        <v>0</v>
      </c>
      <c r="AN51" s="425" t="n">
        <f aca="false">(($AN$5*O51)/12)*$S$4</f>
        <v>126346.154686315</v>
      </c>
      <c r="AO51" s="425" t="n">
        <f aca="false">($AO$5*O51)/12</f>
        <v>27626.710208378</v>
      </c>
      <c r="AP51" s="425" t="n">
        <f aca="false">AP50</f>
        <v>46500.5582152336</v>
      </c>
      <c r="AQ51" s="433" t="n">
        <f aca="false">SUM(AK51:AP51)</f>
        <v>396623.065589411</v>
      </c>
      <c r="AR51" s="425" t="n">
        <f aca="false">($AR$5*O51)/12</f>
        <v>13813.355104189</v>
      </c>
      <c r="AS51" s="433" t="n">
        <f aca="false">AS50</f>
        <v>30387.755</v>
      </c>
      <c r="AT51" s="425" t="n">
        <f aca="false">(AI51/100)*$AT$6*O51</f>
        <v>0</v>
      </c>
      <c r="AU51" s="433" t="n">
        <f aca="false">SUM(AJ51:AT51)-AQ51</f>
        <v>440824.1756936</v>
      </c>
      <c r="AV51" s="433" t="n">
        <f aca="false">AI51-AU51</f>
        <v>-440824.1756936</v>
      </c>
      <c r="AW51" s="493"/>
      <c r="AX51" s="423" t="n">
        <f aca="false">K51</f>
        <v>37865</v>
      </c>
      <c r="BA51" s="126"/>
      <c r="BB51" s="481" t="n">
        <f aca="false">X51</f>
        <v>33.0749984741211</v>
      </c>
      <c r="BC51" s="481" t="n">
        <f aca="false">'Curve Analysis - Base Case'!D43</f>
        <v>46.4997994028771</v>
      </c>
      <c r="BD51" s="479" t="n">
        <f aca="false">L51</f>
        <v>0.072306302832056</v>
      </c>
      <c r="BE51" s="479" t="n">
        <f aca="false">L51</f>
        <v>0.072306302832056</v>
      </c>
      <c r="BF51" s="489" t="n">
        <f aca="false">PJM_01212000!X51</f>
        <v>0.1645</v>
      </c>
      <c r="BG51" s="425" t="n">
        <f aca="false">(AX51+15)-$K$1</f>
        <v>1291</v>
      </c>
      <c r="BH51" s="433" t="n">
        <f aca="false">AD51</f>
        <v>0</v>
      </c>
      <c r="BJ51" s="486" t="e">
        <f aca="false">EURO(BB51,BC51,BD51,BE51,BF51,BG51,1,0)*BH51</f>
        <v>#NAME?</v>
      </c>
      <c r="BK51" s="433" t="n">
        <f aca="false">(AI51-AJ51)*N51</f>
        <v>0</v>
      </c>
      <c r="BM51" s="433" t="e">
        <f aca="false">BJ51-BK51</f>
        <v>#NAME?</v>
      </c>
    </row>
    <row r="52" customFormat="false" ht="16.5" hidden="false" customHeight="false" outlineLevel="0" collapsed="false">
      <c r="A52" s="59" t="n">
        <f aca="false">A51+1</f>
        <v>46</v>
      </c>
      <c r="C52" s="59" t="n">
        <v>31</v>
      </c>
      <c r="D52" s="59" t="s">
        <v>172</v>
      </c>
      <c r="E52" s="125" t="n">
        <f aca="false">E51+C51</f>
        <v>37895</v>
      </c>
      <c r="F52" s="425" t="n">
        <v>23</v>
      </c>
      <c r="G52" s="433" t="n">
        <f aca="false">C52-F52</f>
        <v>8</v>
      </c>
      <c r="H52" s="433"/>
      <c r="I52" s="433"/>
      <c r="J52" s="59" t="n">
        <f aca="false">K53-K52</f>
        <v>31</v>
      </c>
      <c r="K52" s="478" t="n">
        <v>37895</v>
      </c>
      <c r="L52" s="490" t="n">
        <v>0.072356619918754</v>
      </c>
      <c r="M52" s="491" t="n">
        <v>0.06646239008731</v>
      </c>
      <c r="N52" s="480" t="n">
        <f aca="false">(1+L52/2)^(-2*((K52+$T$1)-$K$1)/365.25)</f>
        <v>0.768962489377476</v>
      </c>
      <c r="O52" s="127" t="n">
        <f aca="false">VLOOKUP(K52,Inflation!$B$8:$C$266,2)</f>
        <v>1.10752456354162</v>
      </c>
      <c r="P52" s="480"/>
      <c r="Q52" s="481" t="n">
        <f aca="false">VLOOKUP(K52,'Fuel Curve'!$B$11:$F$268,5)</f>
        <v>4.70396551724138</v>
      </c>
      <c r="R52" s="482" t="n">
        <f aca="false">VLOOKUP(K52,'Fuel Curve Simulation'!$B$12:$J$258,9)</f>
        <v>4.70396551724138</v>
      </c>
      <c r="S52" s="481" t="n">
        <f aca="false">(R52*$S$2)/1000</f>
        <v>45.0592856896552</v>
      </c>
      <c r="T52" s="483"/>
      <c r="V52" s="128" t="n">
        <f aca="false">VLOOKUP(K52,PJM_01212000!$A$7:$C$259,3)</f>
        <v>26.7250003814697</v>
      </c>
      <c r="W52" s="128"/>
      <c r="X52" s="484" t="n">
        <f aca="false">'PJM Curve Simulation'!J52</f>
        <v>26.7250003814697</v>
      </c>
      <c r="Y52" s="489"/>
      <c r="Z52" s="483"/>
      <c r="AA52" s="59" t="n">
        <f aca="false">AA51</f>
        <v>315</v>
      </c>
      <c r="AB52" s="425" t="n">
        <f aca="false">AA52*F52*16</f>
        <v>115920</v>
      </c>
      <c r="AC52" s="425" t="n">
        <f aca="false">VLOOKUP(K52,'Company Volumes'!$B$20:$C$259,2)</f>
        <v>4817.05150313333</v>
      </c>
      <c r="AD52" s="485" t="n">
        <f aca="false">IF(V52&gt;S52+($AM$5*1000*O52),AA52*F52*16,0)</f>
        <v>0</v>
      </c>
      <c r="AE52" s="425"/>
      <c r="AF52" s="425" t="n">
        <v>0</v>
      </c>
      <c r="AG52" s="425" t="n">
        <v>0</v>
      </c>
      <c r="AH52" s="425" t="n">
        <f aca="false">X52*AD52</f>
        <v>0</v>
      </c>
      <c r="AI52" s="425" t="n">
        <f aca="false">SUM(AF52:AH52)</f>
        <v>0</v>
      </c>
      <c r="AJ52" s="425" t="n">
        <f aca="false">(AD52*1000*$S$2)/1000000*R52</f>
        <v>0</v>
      </c>
      <c r="AK52" s="425" t="n">
        <f aca="false">($AK$5*O52)/12</f>
        <v>55376.2281770809</v>
      </c>
      <c r="AL52" s="425" t="n">
        <f aca="false">($AL$5*O52)/12</f>
        <v>141209.381851556</v>
      </c>
      <c r="AM52" s="425" t="n">
        <f aca="false">AD52*$AM$5*1000*O52</f>
        <v>0</v>
      </c>
      <c r="AN52" s="425" t="n">
        <f aca="false">(($AN$5*O52)/12)*$S$4</f>
        <v>126626.975098258</v>
      </c>
      <c r="AO52" s="425" t="n">
        <f aca="false">($AO$5*O52)/12</f>
        <v>27688.1140885404</v>
      </c>
      <c r="AP52" s="425" t="n">
        <f aca="false">AP51</f>
        <v>46500.5582152336</v>
      </c>
      <c r="AQ52" s="433" t="n">
        <f aca="false">SUM(AK52:AP52)</f>
        <v>397401.25743067</v>
      </c>
      <c r="AR52" s="425" t="n">
        <f aca="false">($AR$5*O52)/12</f>
        <v>13844.0570442702</v>
      </c>
      <c r="AS52" s="433" t="n">
        <f aca="false">AS51</f>
        <v>30387.755</v>
      </c>
      <c r="AT52" s="425" t="n">
        <f aca="false">(AI52/100)*$AT$6*O52</f>
        <v>0</v>
      </c>
      <c r="AU52" s="433" t="n">
        <f aca="false">SUM(AJ52:AT52)-AQ52</f>
        <v>441633.06947494</v>
      </c>
      <c r="AV52" s="433" t="n">
        <f aca="false">AI52-AU52</f>
        <v>-441633.06947494</v>
      </c>
      <c r="AW52" s="493"/>
      <c r="AX52" s="423" t="n">
        <f aca="false">K52</f>
        <v>37895</v>
      </c>
      <c r="BA52" s="126"/>
      <c r="BB52" s="481" t="n">
        <f aca="false">X52</f>
        <v>26.7250003814697</v>
      </c>
      <c r="BC52" s="481" t="n">
        <f aca="false">'Curve Analysis - Base Case'!D44</f>
        <v>47.2743348167384</v>
      </c>
      <c r="BD52" s="479" t="n">
        <f aca="false">L52</f>
        <v>0.072356619918754</v>
      </c>
      <c r="BE52" s="479" t="n">
        <f aca="false">L52</f>
        <v>0.072356619918754</v>
      </c>
      <c r="BF52" s="489" t="n">
        <f aca="false">PJM_01212000!X52</f>
        <v>0.116325</v>
      </c>
      <c r="BG52" s="425" t="n">
        <f aca="false">(AX52+15)-$K$1</f>
        <v>1321</v>
      </c>
      <c r="BH52" s="433" t="n">
        <f aca="false">AD52</f>
        <v>0</v>
      </c>
      <c r="BJ52" s="486" t="e">
        <f aca="false">EURO(BB52,BC52,BD52,BE52,BF52,BG52,1,0)*BH52</f>
        <v>#NAME?</v>
      </c>
      <c r="BK52" s="433" t="n">
        <f aca="false">(AI52-AJ52)*N52</f>
        <v>0</v>
      </c>
      <c r="BM52" s="433" t="e">
        <f aca="false">BJ52-BK52</f>
        <v>#NAME?</v>
      </c>
    </row>
    <row r="53" customFormat="false" ht="16.5" hidden="false" customHeight="false" outlineLevel="0" collapsed="false">
      <c r="A53" s="59" t="n">
        <f aca="false">A52+1</f>
        <v>47</v>
      </c>
      <c r="C53" s="59" t="n">
        <v>30</v>
      </c>
      <c r="D53" s="59" t="s">
        <v>173</v>
      </c>
      <c r="E53" s="125" t="n">
        <f aca="false">E52+C52</f>
        <v>37926</v>
      </c>
      <c r="F53" s="425" t="n">
        <v>20</v>
      </c>
      <c r="G53" s="433" t="n">
        <f aca="false">C53-F53</f>
        <v>10</v>
      </c>
      <c r="H53" s="433"/>
      <c r="I53" s="433"/>
      <c r="J53" s="59" t="n">
        <f aca="false">K54-K53</f>
        <v>30</v>
      </c>
      <c r="K53" s="478" t="n">
        <v>37926</v>
      </c>
      <c r="L53" s="490" t="n">
        <v>0.072405134672305</v>
      </c>
      <c r="M53" s="491" t="n">
        <v>0.066494761697106</v>
      </c>
      <c r="N53" s="480" t="n">
        <f aca="false">(1+L53/2)^(-2*((K53+$T$1)-$K$1)/365.25)</f>
        <v>0.76420226024837</v>
      </c>
      <c r="O53" s="127" t="n">
        <f aca="false">VLOOKUP(K53,Inflation!$B$8:$C$266,2)</f>
        <v>1.10998617786572</v>
      </c>
      <c r="P53" s="480"/>
      <c r="Q53" s="481" t="n">
        <f aca="false">VLOOKUP(K53,'Fuel Curve'!$B$11:$F$268,5)</f>
        <v>4.78362068965517</v>
      </c>
      <c r="R53" s="482" t="n">
        <f aca="false">VLOOKUP(K53,'Fuel Curve Simulation'!$B$12:$J$258,9)</f>
        <v>4.78362068965517</v>
      </c>
      <c r="S53" s="481" t="n">
        <f aca="false">(R53*$S$2)/1000</f>
        <v>45.8223025862069</v>
      </c>
      <c r="T53" s="483"/>
      <c r="V53" s="128" t="n">
        <f aca="false">VLOOKUP(K53,PJM_01212000!$A$7:$C$259,3)</f>
        <v>26.3974990844727</v>
      </c>
      <c r="W53" s="128"/>
      <c r="X53" s="484" t="n">
        <f aca="false">'PJM Curve Simulation'!J53</f>
        <v>26.3974990844727</v>
      </c>
      <c r="Y53" s="489"/>
      <c r="Z53" s="483"/>
      <c r="AA53" s="59" t="n">
        <f aca="false">AA52</f>
        <v>315</v>
      </c>
      <c r="AB53" s="425" t="n">
        <f aca="false">AA53*F53*16</f>
        <v>100800</v>
      </c>
      <c r="AC53" s="425" t="n">
        <f aca="false">VLOOKUP(K53,'Company Volumes'!$B$20:$C$259,2)</f>
        <v>8337.430007144</v>
      </c>
      <c r="AD53" s="485" t="n">
        <f aca="false">IF(V53&gt;S53+($AM$5*1000*O53),AA53*F53*16,0)</f>
        <v>0</v>
      </c>
      <c r="AE53" s="425"/>
      <c r="AF53" s="425" t="n">
        <v>0</v>
      </c>
      <c r="AG53" s="425" t="n">
        <v>0</v>
      </c>
      <c r="AH53" s="425" t="n">
        <f aca="false">X53*AD53</f>
        <v>0</v>
      </c>
      <c r="AI53" s="425" t="n">
        <f aca="false">SUM(AF53:AH53)</f>
        <v>0</v>
      </c>
      <c r="AJ53" s="425" t="n">
        <f aca="false">(AD53*1000*$S$2)/1000000*R53</f>
        <v>0</v>
      </c>
      <c r="AK53" s="425" t="n">
        <f aca="false">($AK$5*O53)/12</f>
        <v>55499.3088932858</v>
      </c>
      <c r="AL53" s="425" t="n">
        <f aca="false">($AL$5*O53)/12</f>
        <v>141523.237677879</v>
      </c>
      <c r="AM53" s="425" t="n">
        <f aca="false">AD53*$AM$5*1000*O53</f>
        <v>0</v>
      </c>
      <c r="AN53" s="425" t="n">
        <f aca="false">(($AN$5*O53)/12)*$S$4</f>
        <v>126908.419669314</v>
      </c>
      <c r="AO53" s="425" t="n">
        <f aca="false">($AO$5*O53)/12</f>
        <v>27749.6544466429</v>
      </c>
      <c r="AP53" s="425" t="n">
        <f aca="false">AP52</f>
        <v>46500.5582152336</v>
      </c>
      <c r="AQ53" s="433" t="n">
        <f aca="false">SUM(AK53:AP53)</f>
        <v>398181.178902355</v>
      </c>
      <c r="AR53" s="425" t="n">
        <f aca="false">($AR$5*O53)/12</f>
        <v>13874.8272233215</v>
      </c>
      <c r="AS53" s="433" t="n">
        <f aca="false">AS52</f>
        <v>30387.755</v>
      </c>
      <c r="AT53" s="425" t="n">
        <f aca="false">(AI53/100)*$AT$6*O53</f>
        <v>0</v>
      </c>
      <c r="AU53" s="433" t="n">
        <f aca="false">SUM(AJ53:AT53)-AQ53</f>
        <v>442443.761125676</v>
      </c>
      <c r="AV53" s="433" t="n">
        <f aca="false">AI53-AU53</f>
        <v>-442443.761125676</v>
      </c>
      <c r="AW53" s="493"/>
      <c r="AX53" s="423" t="n">
        <f aca="false">K53</f>
        <v>37926</v>
      </c>
      <c r="BA53" s="126"/>
      <c r="BB53" s="481" t="n">
        <f aca="false">X53</f>
        <v>26.3974990844727</v>
      </c>
      <c r="BC53" s="481" t="n">
        <f aca="false">'Curve Analysis - Base Case'!D45</f>
        <v>48.0422749419383</v>
      </c>
      <c r="BD53" s="479" t="n">
        <f aca="false">L53</f>
        <v>0.072405134672305</v>
      </c>
      <c r="BE53" s="479" t="n">
        <f aca="false">L53</f>
        <v>0.072405134672305</v>
      </c>
      <c r="BF53" s="489" t="n">
        <f aca="false">PJM_01212000!X53</f>
        <v>0.116325</v>
      </c>
      <c r="BG53" s="425" t="n">
        <f aca="false">(AX53+15)-$K$1</f>
        <v>1352</v>
      </c>
      <c r="BH53" s="433" t="n">
        <f aca="false">AD53</f>
        <v>0</v>
      </c>
      <c r="BJ53" s="486" t="e">
        <f aca="false">EURO(BB53,BC53,BD53,BE53,BF53,BG53,1,0)*BH53</f>
        <v>#NAME?</v>
      </c>
      <c r="BK53" s="433" t="n">
        <f aca="false">(AI53-AJ53)*N53</f>
        <v>0</v>
      </c>
      <c r="BM53" s="433" t="e">
        <f aca="false">BJ53-BK53</f>
        <v>#NAME?</v>
      </c>
    </row>
    <row r="54" customFormat="false" ht="16.5" hidden="false" customHeight="false" outlineLevel="0" collapsed="false">
      <c r="A54" s="59" t="n">
        <f aca="false">A53+1</f>
        <v>48</v>
      </c>
      <c r="C54" s="59" t="n">
        <v>31</v>
      </c>
      <c r="D54" s="59" t="s">
        <v>174</v>
      </c>
      <c r="E54" s="125" t="n">
        <f aca="false">E53+C53</f>
        <v>37956</v>
      </c>
      <c r="F54" s="425" t="n">
        <v>23</v>
      </c>
      <c r="G54" s="433" t="n">
        <f aca="false">C54-F54</f>
        <v>8</v>
      </c>
      <c r="H54" s="433" t="n">
        <f aca="false">SUM(F43:G54)</f>
        <v>365</v>
      </c>
      <c r="I54" s="433"/>
      <c r="J54" s="59" t="n">
        <f aca="false">K55-K54</f>
        <v>31</v>
      </c>
      <c r="K54" s="478" t="n">
        <v>37956</v>
      </c>
      <c r="L54" s="490" t="n">
        <v>0.072452084434547</v>
      </c>
      <c r="M54" s="491" t="n">
        <v>0.066526089068365</v>
      </c>
      <c r="N54" s="480" t="n">
        <f aca="false">(1+L54/2)^(-2*((K54+$T$1)-$K$1)/365.25)</f>
        <v>0.759617901104366</v>
      </c>
      <c r="O54" s="127" t="n">
        <f aca="false">VLOOKUP(K54,Inflation!$B$8:$C$266,2)</f>
        <v>1.112453263441</v>
      </c>
      <c r="P54" s="480"/>
      <c r="Q54" s="481" t="n">
        <f aca="false">VLOOKUP(K54,'Fuel Curve'!$B$11:$F$268,5)</f>
        <v>4.82051724137931</v>
      </c>
      <c r="R54" s="482" t="n">
        <f aca="false">VLOOKUP(K54,'Fuel Curve Simulation'!$B$12:$J$258,9)</f>
        <v>4.82051724137931</v>
      </c>
      <c r="S54" s="481" t="n">
        <f aca="false">(R54*$S$2)/1000</f>
        <v>46.1757346551724</v>
      </c>
      <c r="T54" s="483"/>
      <c r="V54" s="128" t="n">
        <f aca="false">VLOOKUP(K54,PJM_01212000!$A$7:$C$259,3)</f>
        <v>28.1499996185303</v>
      </c>
      <c r="W54" s="128"/>
      <c r="X54" s="484" t="n">
        <f aca="false">'PJM Curve Simulation'!J54</f>
        <v>28.1499996185303</v>
      </c>
      <c r="Y54" s="489"/>
      <c r="Z54" s="483"/>
      <c r="AA54" s="59" t="n">
        <f aca="false">AA53</f>
        <v>315</v>
      </c>
      <c r="AB54" s="425" t="n">
        <f aca="false">AA54*F54*16</f>
        <v>115920</v>
      </c>
      <c r="AC54" s="425" t="n">
        <f aca="false">VLOOKUP(K54,'Company Volumes'!$B$20:$C$259,2)</f>
        <v>8337.430007144</v>
      </c>
      <c r="AD54" s="485" t="n">
        <f aca="false">IF(V54&gt;S54+($AM$5*1000*O54),AA54*F54*16,0)</f>
        <v>0</v>
      </c>
      <c r="AE54" s="425"/>
      <c r="AF54" s="425" t="n">
        <v>0</v>
      </c>
      <c r="AG54" s="425" t="n">
        <v>0</v>
      </c>
      <c r="AH54" s="425" t="n">
        <f aca="false">X54*AD54</f>
        <v>0</v>
      </c>
      <c r="AI54" s="425" t="n">
        <f aca="false">SUM(AF54:AH54)</f>
        <v>0</v>
      </c>
      <c r="AJ54" s="425" t="n">
        <f aca="false">(AD54*1000*$S$2)/1000000*R54</f>
        <v>0</v>
      </c>
      <c r="AK54" s="425" t="n">
        <f aca="false">($AK$5*O54)/12</f>
        <v>55622.66317205</v>
      </c>
      <c r="AL54" s="425" t="n">
        <f aca="false">($AL$5*O54)/12</f>
        <v>141837.791088727</v>
      </c>
      <c r="AM54" s="425" t="n">
        <f aca="false">AD54*$AM$5*1000*O54</f>
        <v>0</v>
      </c>
      <c r="AN54" s="425" t="n">
        <f aca="false">(($AN$5*O54)/12)*$S$4</f>
        <v>127190.489786754</v>
      </c>
      <c r="AO54" s="425" t="n">
        <f aca="false">($AO$5*O54)/12</f>
        <v>27811.331586025</v>
      </c>
      <c r="AP54" s="425" t="n">
        <f aca="false">AP53</f>
        <v>46500.5582152336</v>
      </c>
      <c r="AQ54" s="433" t="n">
        <f aca="false">SUM(AK54:AP54)</f>
        <v>398962.83384879</v>
      </c>
      <c r="AR54" s="425" t="n">
        <f aca="false">($AR$5*O54)/12</f>
        <v>13905.6657930125</v>
      </c>
      <c r="AS54" s="433" t="n">
        <f aca="false">AS53</f>
        <v>30387.755</v>
      </c>
      <c r="AT54" s="425" t="n">
        <f aca="false">(AI54/100)*$AT$6*O54</f>
        <v>0</v>
      </c>
      <c r="AU54" s="433" t="n">
        <f aca="false">SUM(AJ54:AT54)-AQ54</f>
        <v>443256.254641803</v>
      </c>
      <c r="AV54" s="433" t="n">
        <f aca="false">AI54-AU54</f>
        <v>-443256.254641803</v>
      </c>
      <c r="AW54" s="493"/>
      <c r="AX54" s="423" t="n">
        <f aca="false">K54</f>
        <v>37956</v>
      </c>
      <c r="AY54" s="425" t="n">
        <f aca="false">'Debt Amortization'!K8</f>
        <v>2808464.43486236</v>
      </c>
      <c r="AZ54" s="425" t="n">
        <f aca="false">AY54*N54</f>
        <v>2133359.8593364</v>
      </c>
      <c r="BA54" s="126"/>
      <c r="BB54" s="481" t="n">
        <f aca="false">X54</f>
        <v>28.1499996185303</v>
      </c>
      <c r="BC54" s="481" t="n">
        <f aca="false">'Curve Analysis - Base Case'!D46</f>
        <v>48.4006411820544</v>
      </c>
      <c r="BD54" s="479" t="n">
        <f aca="false">L54</f>
        <v>0.072452084434547</v>
      </c>
      <c r="BE54" s="479" t="n">
        <f aca="false">L54</f>
        <v>0.072452084434547</v>
      </c>
      <c r="BF54" s="489" t="n">
        <f aca="false">PJM_01212000!X54</f>
        <v>0.116325</v>
      </c>
      <c r="BG54" s="425" t="n">
        <f aca="false">(AX54+15)-$K$1</f>
        <v>1382</v>
      </c>
      <c r="BH54" s="433" t="n">
        <f aca="false">AD54</f>
        <v>0</v>
      </c>
      <c r="BJ54" s="486" t="e">
        <f aca="false">EURO(BB54,BC54,BD54,BE54,BF54,BG54,1,0)*BH54</f>
        <v>#NAME?</v>
      </c>
      <c r="BK54" s="433" t="n">
        <f aca="false">(AI54-AJ54)*N54</f>
        <v>0</v>
      </c>
      <c r="BM54" s="433" t="e">
        <f aca="false">BJ54-BK54</f>
        <v>#NAME?</v>
      </c>
    </row>
    <row r="55" customFormat="false" ht="16.5" hidden="false" customHeight="false" outlineLevel="0" collapsed="false">
      <c r="A55" s="59" t="n">
        <f aca="false">A54+1</f>
        <v>49</v>
      </c>
      <c r="C55" s="59" t="n">
        <v>31</v>
      </c>
      <c r="D55" s="59" t="s">
        <v>164</v>
      </c>
      <c r="E55" s="125" t="n">
        <f aca="false">E54+C54</f>
        <v>37987</v>
      </c>
      <c r="F55" s="425" t="n">
        <v>22</v>
      </c>
      <c r="G55" s="433" t="n">
        <f aca="false">C55-F55</f>
        <v>9</v>
      </c>
      <c r="H55" s="433"/>
      <c r="I55" s="433"/>
      <c r="J55" s="59" t="n">
        <f aca="false">K56-K55</f>
        <v>31</v>
      </c>
      <c r="K55" s="478" t="n">
        <v>37987</v>
      </c>
      <c r="L55" s="490" t="n">
        <v>0.072504748875384</v>
      </c>
      <c r="M55" s="491" t="n">
        <v>0.066558460692503</v>
      </c>
      <c r="N55" s="480" t="n">
        <f aca="false">(1+L55/2)^(-2*((K55+$T$1)-$K$1)/365.25)</f>
        <v>0.754891785095307</v>
      </c>
      <c r="O55" s="127" t="n">
        <f aca="false">VLOOKUP(K55,Inflation!$B$8:$C$266,2)</f>
        <v>1.11492583242802</v>
      </c>
      <c r="P55" s="480"/>
      <c r="Q55" s="481" t="n">
        <f aca="false">VLOOKUP(K55,'Fuel Curve'!$B$11:$F$268,5)</f>
        <v>4.75827586206897</v>
      </c>
      <c r="R55" s="482" t="n">
        <f aca="false">VLOOKUP(K55,'Fuel Curve Simulation'!$B$12:$J$258,9)</f>
        <v>4.75827586206897</v>
      </c>
      <c r="S55" s="481" t="n">
        <f aca="false">(R55*$S$2)/1000</f>
        <v>45.5795244827586</v>
      </c>
      <c r="T55" s="483"/>
      <c r="V55" s="128" t="n">
        <f aca="false">VLOOKUP(K55,PJM_01212000!$A$7:$C$259,3)</f>
        <v>36.8249984741211</v>
      </c>
      <c r="W55" s="128"/>
      <c r="X55" s="484" t="n">
        <f aca="false">'PJM Curve Simulation'!J55</f>
        <v>36.8249984741211</v>
      </c>
      <c r="Y55" s="489"/>
      <c r="Z55" s="483"/>
      <c r="AA55" s="59" t="n">
        <f aca="false">AA54</f>
        <v>315</v>
      </c>
      <c r="AB55" s="425" t="n">
        <f aca="false">AA55*F55*16</f>
        <v>110880</v>
      </c>
      <c r="AC55" s="425" t="n">
        <f aca="false">VLOOKUP(K55,'Company Volumes'!$B$20:$C$259,2)</f>
        <v>17580.8268410009</v>
      </c>
      <c r="AD55" s="485" t="n">
        <f aca="false">IF(V55&gt;S55+($AM$5*1000*O55),AA55*F55*16,0)</f>
        <v>0</v>
      </c>
      <c r="AE55" s="425"/>
      <c r="AF55" s="425" t="n">
        <v>0</v>
      </c>
      <c r="AG55" s="425" t="n">
        <v>0</v>
      </c>
      <c r="AH55" s="425" t="n">
        <f aca="false">X55*AD55</f>
        <v>0</v>
      </c>
      <c r="AI55" s="425" t="n">
        <f aca="false">SUM(AF55:AH55)</f>
        <v>0</v>
      </c>
      <c r="AJ55" s="425" t="n">
        <f aca="false">(AD55*1000*$S$2)/1000000*R55</f>
        <v>0</v>
      </c>
      <c r="AK55" s="425" t="n">
        <f aca="false">($AK$5*O55)/12</f>
        <v>55746.291621401</v>
      </c>
      <c r="AL55" s="425" t="n">
        <f aca="false">($AL$5*O55)/12</f>
        <v>142153.043634573</v>
      </c>
      <c r="AM55" s="425" t="n">
        <f aca="false">AD55*$AM$5*1000*O55</f>
        <v>0</v>
      </c>
      <c r="AN55" s="425" t="n">
        <f aca="false">(($AN$5*O55)/12)*$S$4</f>
        <v>127473.186840937</v>
      </c>
      <c r="AO55" s="425" t="n">
        <f aca="false">($AO$5*O55)/12</f>
        <v>27873.1458107005</v>
      </c>
      <c r="AP55" s="425" t="n">
        <f aca="false">AP54</f>
        <v>46500.5582152336</v>
      </c>
      <c r="AQ55" s="433" t="n">
        <f aca="false">SUM(AK55:AP55)</f>
        <v>399746.226122845</v>
      </c>
      <c r="AR55" s="425" t="n">
        <f aca="false">($AR$5*O55)/12</f>
        <v>13936.5729053503</v>
      </c>
      <c r="AS55" s="433" t="n">
        <f aca="false">AS54</f>
        <v>30387.755</v>
      </c>
      <c r="AT55" s="425" t="n">
        <f aca="false">(AI55/100)*$AT$6*O55</f>
        <v>0</v>
      </c>
      <c r="AU55" s="433" t="n">
        <f aca="false">SUM(AJ55:AT55)-AQ55</f>
        <v>444070.554028195</v>
      </c>
      <c r="AV55" s="433" t="n">
        <f aca="false">AI55-AU55</f>
        <v>-444070.554028195</v>
      </c>
      <c r="AW55" s="493"/>
      <c r="AX55" s="423" t="n">
        <f aca="false">K55</f>
        <v>37987</v>
      </c>
      <c r="BA55" s="126"/>
      <c r="BB55" s="481" t="n">
        <f aca="false">X55</f>
        <v>36.8249984741211</v>
      </c>
      <c r="BC55" s="481" t="n">
        <f aca="false">'Curve Analysis - Base Case'!D47</f>
        <v>47.8093761476147</v>
      </c>
      <c r="BD55" s="479" t="n">
        <f aca="false">L55</f>
        <v>0.072504748875384</v>
      </c>
      <c r="BE55" s="479" t="n">
        <f aca="false">L55</f>
        <v>0.072504748875384</v>
      </c>
      <c r="BF55" s="489" t="n">
        <f aca="false">PJM_01212000!X55</f>
        <v>0.1786752</v>
      </c>
      <c r="BG55" s="425" t="n">
        <f aca="false">(AX55+15)-$K$1</f>
        <v>1413</v>
      </c>
      <c r="BH55" s="433" t="n">
        <f aca="false">AD55</f>
        <v>0</v>
      </c>
      <c r="BJ55" s="486" t="e">
        <f aca="false">EURO(BB55,BC55,BD55,BE55,BF55,BG55,1,0)*BH55</f>
        <v>#NAME?</v>
      </c>
      <c r="BK55" s="433" t="n">
        <f aca="false">(AI55-AJ55)*N55</f>
        <v>0</v>
      </c>
      <c r="BM55" s="433" t="e">
        <f aca="false">BJ55-BK55</f>
        <v>#NAME?</v>
      </c>
    </row>
    <row r="56" customFormat="false" ht="16.5" hidden="false" customHeight="false" outlineLevel="0" collapsed="false">
      <c r="A56" s="59" t="n">
        <f aca="false">A55+1</f>
        <v>50</v>
      </c>
      <c r="C56" s="496" t="n">
        <v>29</v>
      </c>
      <c r="D56" s="497" t="s">
        <v>165</v>
      </c>
      <c r="E56" s="125" t="n">
        <f aca="false">E55+C55</f>
        <v>38018</v>
      </c>
      <c r="F56" s="425" t="n">
        <v>20</v>
      </c>
      <c r="G56" s="433" t="n">
        <f aca="false">C56-F56</f>
        <v>9</v>
      </c>
      <c r="H56" s="433"/>
      <c r="I56" s="433"/>
      <c r="J56" s="59" t="n">
        <f aca="false">K57-K56</f>
        <v>29</v>
      </c>
      <c r="K56" s="478" t="n">
        <v>38018</v>
      </c>
      <c r="L56" s="490" t="n">
        <v>0.072561839648691</v>
      </c>
      <c r="M56" s="491" t="n">
        <v>0.066590832323931</v>
      </c>
      <c r="N56" s="480" t="n">
        <f aca="false">(1+L56/2)^(-2*((K56+$T$1)-$K$1)/365.25)</f>
        <v>0.750175683094589</v>
      </c>
      <c r="O56" s="127" t="n">
        <f aca="false">VLOOKUP(K56,Inflation!$B$8:$C$266,2)</f>
        <v>1.11740389701436</v>
      </c>
      <c r="P56" s="480"/>
      <c r="Q56" s="481" t="n">
        <f aca="false">VLOOKUP(K56,'Fuel Curve'!$B$11:$F$268,5)</f>
        <v>4.65396551724138</v>
      </c>
      <c r="R56" s="482" t="n">
        <f aca="false">VLOOKUP(K56,'Fuel Curve Simulation'!$B$12:$J$258,9)</f>
        <v>4.65396551724138</v>
      </c>
      <c r="S56" s="481" t="n">
        <f aca="false">(R56*$S$2)/1000</f>
        <v>44.5803356896552</v>
      </c>
      <c r="T56" s="483"/>
      <c r="V56" s="128" t="n">
        <f aca="false">VLOOKUP(K56,PJM_01212000!$A$7:$C$259,3)</f>
        <v>36.8249984741211</v>
      </c>
      <c r="W56" s="128"/>
      <c r="X56" s="484" t="n">
        <f aca="false">'PJM Curve Simulation'!J56</f>
        <v>36.8249984741211</v>
      </c>
      <c r="Y56" s="489"/>
      <c r="Z56" s="483"/>
      <c r="AA56" s="59" t="n">
        <f aca="false">AA55</f>
        <v>315</v>
      </c>
      <c r="AB56" s="425" t="n">
        <f aca="false">AA56*F56*16</f>
        <v>100800</v>
      </c>
      <c r="AC56" s="425" t="n">
        <f aca="false">VLOOKUP(K56,'Company Volumes'!$B$20:$C$259,2)</f>
        <v>761.887923007555</v>
      </c>
      <c r="AD56" s="485" t="n">
        <f aca="false">IF(V56&gt;S56+($AM$5*1000*O56),AA56*F56*16,0)</f>
        <v>0</v>
      </c>
      <c r="AE56" s="425"/>
      <c r="AF56" s="425" t="n">
        <v>0</v>
      </c>
      <c r="AG56" s="425" t="n">
        <v>0</v>
      </c>
      <c r="AH56" s="425" t="n">
        <f aca="false">X56*AD56</f>
        <v>0</v>
      </c>
      <c r="AI56" s="425" t="n">
        <f aca="false">SUM(AF56:AH56)</f>
        <v>0</v>
      </c>
      <c r="AJ56" s="425" t="n">
        <f aca="false">(AD56*1000*$S$2)/1000000*R56</f>
        <v>0</v>
      </c>
      <c r="AK56" s="425" t="n">
        <f aca="false">($AK$5*O56)/12</f>
        <v>55870.1948507179</v>
      </c>
      <c r="AL56" s="425" t="n">
        <f aca="false">($AL$5*O56)/12</f>
        <v>142468.996869331</v>
      </c>
      <c r="AM56" s="425" t="n">
        <f aca="false">AD56*$AM$5*1000*O56</f>
        <v>0</v>
      </c>
      <c r="AN56" s="425" t="n">
        <f aca="false">(($AN$5*O56)/12)*$S$4</f>
        <v>127756.512225308</v>
      </c>
      <c r="AO56" s="425" t="n">
        <f aca="false">($AO$5*O56)/12</f>
        <v>27935.097425359</v>
      </c>
      <c r="AP56" s="425" t="n">
        <f aca="false">AP55</f>
        <v>46500.5582152336</v>
      </c>
      <c r="AQ56" s="433" t="n">
        <f aca="false">SUM(AK56:AP56)</f>
        <v>400531.35958595</v>
      </c>
      <c r="AR56" s="425" t="n">
        <f aca="false">($AR$5*O56)/12</f>
        <v>13967.5487126795</v>
      </c>
      <c r="AS56" s="433" t="n">
        <f aca="false">AS55</f>
        <v>30387.755</v>
      </c>
      <c r="AT56" s="425" t="n">
        <f aca="false">(AI56/100)*$AT$6*O56</f>
        <v>0</v>
      </c>
      <c r="AU56" s="433" t="n">
        <f aca="false">SUM(AJ56:AT56)-AQ56</f>
        <v>444886.663298629</v>
      </c>
      <c r="AV56" s="433" t="n">
        <f aca="false">AI56-AU56</f>
        <v>-444886.663298629</v>
      </c>
      <c r="AW56" s="493"/>
      <c r="AX56" s="423" t="n">
        <f aca="false">K56</f>
        <v>38018</v>
      </c>
      <c r="BA56" s="126"/>
      <c r="BB56" s="481" t="n">
        <f aca="false">X56</f>
        <v>36.8249984741211</v>
      </c>
      <c r="BC56" s="481" t="n">
        <f aca="false">'Curve Analysis - Base Case'!D48</f>
        <v>46.8151434836839</v>
      </c>
      <c r="BD56" s="479" t="n">
        <f aca="false">L56</f>
        <v>0.072561839648691</v>
      </c>
      <c r="BE56" s="479" t="n">
        <f aca="false">L56</f>
        <v>0.072561839648691</v>
      </c>
      <c r="BF56" s="489" t="n">
        <f aca="false">PJM_01212000!X56</f>
        <v>0.1786752</v>
      </c>
      <c r="BG56" s="425" t="n">
        <f aca="false">(AX56+15)-$K$1</f>
        <v>1444</v>
      </c>
      <c r="BH56" s="433" t="n">
        <f aca="false">AD56</f>
        <v>0</v>
      </c>
      <c r="BJ56" s="486" t="e">
        <f aca="false">EURO(BB56,BC56,BD56,BE56,BF56,BG56,1,0)*BH56</f>
        <v>#NAME?</v>
      </c>
      <c r="BK56" s="433" t="n">
        <f aca="false">(AI56-AJ56)*N56</f>
        <v>0</v>
      </c>
      <c r="BM56" s="433" t="e">
        <f aca="false">BJ56-BK56</f>
        <v>#NAME?</v>
      </c>
    </row>
    <row r="57" customFormat="false" ht="16.5" hidden="false" customHeight="false" outlineLevel="0" collapsed="false">
      <c r="A57" s="59" t="n">
        <f aca="false">A56+1</f>
        <v>51</v>
      </c>
      <c r="C57" s="59" t="n">
        <v>31</v>
      </c>
      <c r="D57" s="59" t="s">
        <v>166</v>
      </c>
      <c r="E57" s="125" t="n">
        <f aca="false">E56+C56</f>
        <v>38047</v>
      </c>
      <c r="F57" s="425" t="n">
        <v>23</v>
      </c>
      <c r="G57" s="433" t="n">
        <f aca="false">C57-F57</f>
        <v>8</v>
      </c>
      <c r="H57" s="433"/>
      <c r="I57" s="433"/>
      <c r="J57" s="59" t="n">
        <f aca="false">K58-K57</f>
        <v>31</v>
      </c>
      <c r="K57" s="478" t="n">
        <v>38047</v>
      </c>
      <c r="L57" s="490" t="n">
        <v>0.072615247147275</v>
      </c>
      <c r="M57" s="491" t="n">
        <v>0.066621115469606</v>
      </c>
      <c r="N57" s="480" t="n">
        <f aca="false">(1+L57/2)^(-2*((K57+$T$1)-$K$1)/365.25)</f>
        <v>0.745784212856381</v>
      </c>
      <c r="O57" s="127" t="n">
        <f aca="false">VLOOKUP(K57,Inflation!$B$8:$C$266,2)</f>
        <v>1.11988746941468</v>
      </c>
      <c r="P57" s="480"/>
      <c r="Q57" s="481" t="n">
        <f aca="false">VLOOKUP(K57,'Fuel Curve'!$B$11:$F$268,5)</f>
        <v>4.55051724137931</v>
      </c>
      <c r="R57" s="482" t="n">
        <f aca="false">VLOOKUP(K57,'Fuel Curve Simulation'!$B$12:$J$258,9)</f>
        <v>4.55051724137931</v>
      </c>
      <c r="S57" s="481" t="n">
        <f aca="false">(R57*$S$2)/1000</f>
        <v>43.5894046551724</v>
      </c>
      <c r="T57" s="483"/>
      <c r="V57" s="128" t="n">
        <f aca="false">VLOOKUP(K57,PJM_01212000!$A$7:$C$259,3)</f>
        <v>26.5500007629395</v>
      </c>
      <c r="W57" s="128"/>
      <c r="X57" s="484" t="n">
        <f aca="false">'PJM Curve Simulation'!J57</f>
        <v>26.5500007629395</v>
      </c>
      <c r="Y57" s="489"/>
      <c r="Z57" s="483"/>
      <c r="AA57" s="59" t="n">
        <f aca="false">AA56</f>
        <v>315</v>
      </c>
      <c r="AB57" s="425" t="n">
        <f aca="false">AA57*F57*16</f>
        <v>115920</v>
      </c>
      <c r="AC57" s="425" t="n">
        <f aca="false">VLOOKUP(K57,'Company Volumes'!$B$20:$C$259,2)</f>
        <v>761.887923007555</v>
      </c>
      <c r="AD57" s="485" t="n">
        <f aca="false">IF(V57&gt;S57+($AM$5*1000*O57),AA57*F57*16,0)</f>
        <v>0</v>
      </c>
      <c r="AE57" s="425"/>
      <c r="AF57" s="425" t="n">
        <v>0</v>
      </c>
      <c r="AG57" s="425" t="n">
        <v>0</v>
      </c>
      <c r="AH57" s="425" t="n">
        <f aca="false">X57*AD57</f>
        <v>0</v>
      </c>
      <c r="AI57" s="425" t="n">
        <f aca="false">SUM(AF57:AH57)</f>
        <v>0</v>
      </c>
      <c r="AJ57" s="425" t="n">
        <f aca="false">(AD57*1000*$S$2)/1000000*R57</f>
        <v>0</v>
      </c>
      <c r="AK57" s="425" t="n">
        <f aca="false">($AK$5*O57)/12</f>
        <v>55994.3734707342</v>
      </c>
      <c r="AL57" s="425" t="n">
        <f aca="false">($AL$5*O57)/12</f>
        <v>142785.652350372</v>
      </c>
      <c r="AM57" s="425" t="n">
        <f aca="false">AD57*$AM$5*1000*O57</f>
        <v>0</v>
      </c>
      <c r="AN57" s="425" t="n">
        <f aca="false">(($AN$5*O57)/12)*$S$4</f>
        <v>128040.467336412</v>
      </c>
      <c r="AO57" s="425" t="n">
        <f aca="false">($AO$5*O57)/12</f>
        <v>27997.1867353671</v>
      </c>
      <c r="AP57" s="425" t="n">
        <f aca="false">AP56</f>
        <v>46500.5582152336</v>
      </c>
      <c r="AQ57" s="433" t="n">
        <f aca="false">SUM(AK57:AP57)</f>
        <v>401318.238108119</v>
      </c>
      <c r="AR57" s="425" t="n">
        <f aca="false">($AR$5*O57)/12</f>
        <v>13998.5933676835</v>
      </c>
      <c r="AS57" s="433" t="n">
        <f aca="false">AS56</f>
        <v>30387.755</v>
      </c>
      <c r="AT57" s="425" t="n">
        <f aca="false">(AI57/100)*$AT$6*O57</f>
        <v>0</v>
      </c>
      <c r="AU57" s="433" t="n">
        <f aca="false">SUM(AJ57:AT57)-AQ57</f>
        <v>445704.586475803</v>
      </c>
      <c r="AV57" s="433" t="n">
        <f aca="false">AI57-AU57</f>
        <v>-445704.586475803</v>
      </c>
      <c r="AW57" s="493"/>
      <c r="AX57" s="423" t="n">
        <f aca="false">K57</f>
        <v>38047</v>
      </c>
      <c r="BA57" s="126"/>
      <c r="BB57" s="481" t="n">
        <f aca="false">X57</f>
        <v>26.5500007629395</v>
      </c>
      <c r="BC57" s="481" t="n">
        <f aca="false">'Curve Analysis - Base Case'!D49</f>
        <v>45.8291795940018</v>
      </c>
      <c r="BD57" s="479" t="n">
        <f aca="false">L57</f>
        <v>0.072615247147275</v>
      </c>
      <c r="BE57" s="479" t="n">
        <f aca="false">L57</f>
        <v>0.072615247147275</v>
      </c>
      <c r="BF57" s="489" t="n">
        <f aca="false">PJM_01212000!X57</f>
        <v>0.148896</v>
      </c>
      <c r="BG57" s="425" t="n">
        <f aca="false">(AX57+15)-$K$1</f>
        <v>1473</v>
      </c>
      <c r="BH57" s="433" t="n">
        <f aca="false">AD57</f>
        <v>0</v>
      </c>
      <c r="BJ57" s="486" t="e">
        <f aca="false">EURO(BB57,BC57,BD57,BE57,BF57,BG57,1,0)*BH57</f>
        <v>#NAME?</v>
      </c>
      <c r="BK57" s="433" t="n">
        <f aca="false">(AI57-AJ57)*N57</f>
        <v>0</v>
      </c>
      <c r="BM57" s="433" t="e">
        <f aca="false">BJ57-BK57</f>
        <v>#NAME?</v>
      </c>
    </row>
    <row r="58" customFormat="false" ht="16.5" hidden="false" customHeight="false" outlineLevel="0" collapsed="false">
      <c r="A58" s="59" t="n">
        <f aca="false">A57+1</f>
        <v>52</v>
      </c>
      <c r="C58" s="59" t="n">
        <v>30</v>
      </c>
      <c r="D58" s="59" t="s">
        <v>167</v>
      </c>
      <c r="E58" s="125" t="n">
        <f aca="false">E57+C57</f>
        <v>38078</v>
      </c>
      <c r="F58" s="425" t="n">
        <v>22</v>
      </c>
      <c r="G58" s="433" t="n">
        <f aca="false">C58-F58</f>
        <v>8</v>
      </c>
      <c r="H58" s="433"/>
      <c r="I58" s="433"/>
      <c r="J58" s="59" t="n">
        <f aca="false">K59-K58</f>
        <v>30</v>
      </c>
      <c r="K58" s="478" t="n">
        <v>38078</v>
      </c>
      <c r="L58" s="490" t="n">
        <v>0.072673184464531</v>
      </c>
      <c r="M58" s="491" t="n">
        <v>0.06665348711514</v>
      </c>
      <c r="N58" s="480" t="n">
        <f aca="false">(1+L58/2)^(-2*((K58+$T$1)-$K$1)/365.25)</f>
        <v>0.74110906328764</v>
      </c>
      <c r="O58" s="127" t="n">
        <f aca="false">VLOOKUP(K58,Inflation!$B$8:$C$266,2)</f>
        <v>1.12237656187081</v>
      </c>
      <c r="P58" s="480"/>
      <c r="Q58" s="481" t="n">
        <f aca="false">VLOOKUP(K58,'Fuel Curve'!$B$11:$F$268,5)</f>
        <v>4.4448275862069</v>
      </c>
      <c r="R58" s="482" t="n">
        <f aca="false">VLOOKUP(K58,'Fuel Curve Simulation'!$B$12:$J$258,9)</f>
        <v>4.4448275862069</v>
      </c>
      <c r="S58" s="481" t="n">
        <f aca="false">(R58*$S$2)/1000</f>
        <v>42.5770034482759</v>
      </c>
      <c r="T58" s="483"/>
      <c r="V58" s="128" t="n">
        <f aca="false">VLOOKUP(K58,PJM_01212000!$A$7:$C$259,3)</f>
        <v>26.3250007629395</v>
      </c>
      <c r="W58" s="128"/>
      <c r="X58" s="484" t="n">
        <f aca="false">'PJM Curve Simulation'!J58</f>
        <v>26.3250007629395</v>
      </c>
      <c r="Y58" s="489"/>
      <c r="Z58" s="483"/>
      <c r="AA58" s="59" t="n">
        <f aca="false">AA57</f>
        <v>315</v>
      </c>
      <c r="AB58" s="425" t="n">
        <f aca="false">AA58*F58*16</f>
        <v>110880</v>
      </c>
      <c r="AC58" s="425" t="n">
        <f aca="false">VLOOKUP(K58,'Company Volumes'!$B$20:$C$259,2)</f>
        <v>9712.40236905555</v>
      </c>
      <c r="AD58" s="485" t="n">
        <f aca="false">IF(V58&gt;S58+($AM$5*1000*O58),AA58*F58*16,0)</f>
        <v>0</v>
      </c>
      <c r="AE58" s="425"/>
      <c r="AF58" s="425" t="n">
        <v>0</v>
      </c>
      <c r="AG58" s="425" t="n">
        <v>0</v>
      </c>
      <c r="AH58" s="425" t="n">
        <f aca="false">X58*AD58</f>
        <v>0</v>
      </c>
      <c r="AI58" s="425" t="n">
        <f aca="false">SUM(AF58:AH58)</f>
        <v>0</v>
      </c>
      <c r="AJ58" s="425" t="n">
        <f aca="false">(AD58*1000*$S$2)/1000000*R58</f>
        <v>0</v>
      </c>
      <c r="AK58" s="425" t="n">
        <f aca="false">($AK$5*O58)/12</f>
        <v>56118.8280935407</v>
      </c>
      <c r="AL58" s="425" t="n">
        <f aca="false">($AL$5*O58)/12</f>
        <v>143103.011638529</v>
      </c>
      <c r="AM58" s="425" t="n">
        <f aca="false">AD58*$AM$5*1000*O58</f>
        <v>0</v>
      </c>
      <c r="AN58" s="425" t="n">
        <f aca="false">(($AN$5*O58)/12)*$S$4</f>
        <v>128325.053573896</v>
      </c>
      <c r="AO58" s="425" t="n">
        <f aca="false">($AO$5*O58)/12</f>
        <v>28059.4140467703</v>
      </c>
      <c r="AP58" s="425" t="n">
        <f aca="false">AP57</f>
        <v>46500.5582152336</v>
      </c>
      <c r="AQ58" s="433" t="n">
        <f aca="false">SUM(AK58:AP58)</f>
        <v>402106.86556797</v>
      </c>
      <c r="AR58" s="425" t="n">
        <f aca="false">($AR$5*O58)/12</f>
        <v>14029.7070233852</v>
      </c>
      <c r="AS58" s="433" t="n">
        <f aca="false">AS57</f>
        <v>30387.755</v>
      </c>
      <c r="AT58" s="425" t="n">
        <f aca="false">(AI58/100)*$AT$6*O58</f>
        <v>0</v>
      </c>
      <c r="AU58" s="433" t="n">
        <f aca="false">SUM(AJ58:AT58)-AQ58</f>
        <v>446524.327591355</v>
      </c>
      <c r="AV58" s="433" t="n">
        <f aca="false">AI58-AU58</f>
        <v>-446524.327591355</v>
      </c>
      <c r="AW58" s="493"/>
      <c r="AX58" s="423" t="n">
        <f aca="false">K58</f>
        <v>38078</v>
      </c>
      <c r="BA58" s="126"/>
      <c r="BB58" s="481" t="n">
        <f aca="false">X58</f>
        <v>26.3250007629395</v>
      </c>
      <c r="BC58" s="481" t="n">
        <f aca="false">'Curve Analysis - Base Case'!D50</f>
        <v>44.8217565720175</v>
      </c>
      <c r="BD58" s="479" t="n">
        <f aca="false">L58</f>
        <v>0.072673184464531</v>
      </c>
      <c r="BE58" s="479" t="n">
        <f aca="false">L58</f>
        <v>0.072673184464531</v>
      </c>
      <c r="BF58" s="489" t="n">
        <f aca="false">PJM_01212000!X58</f>
        <v>0.1414512</v>
      </c>
      <c r="BG58" s="425" t="n">
        <f aca="false">(AX58+15)-$K$1</f>
        <v>1504</v>
      </c>
      <c r="BH58" s="433" t="n">
        <f aca="false">AD58</f>
        <v>0</v>
      </c>
      <c r="BJ58" s="486" t="e">
        <f aca="false">EURO(BB58,BC58,BD58,BE58,BF58,BG58,1,0)*BH58</f>
        <v>#NAME?</v>
      </c>
      <c r="BK58" s="433" t="n">
        <f aca="false">(AI58-AJ58)*N58</f>
        <v>0</v>
      </c>
      <c r="BM58" s="433" t="e">
        <f aca="false">BJ58-BK58</f>
        <v>#NAME?</v>
      </c>
    </row>
    <row r="59" customFormat="false" ht="16.5" hidden="false" customHeight="false" outlineLevel="0" collapsed="false">
      <c r="A59" s="59" t="n">
        <f aca="false">A58+1</f>
        <v>53</v>
      </c>
      <c r="C59" s="59" t="n">
        <v>31</v>
      </c>
      <c r="D59" s="59" t="s">
        <v>29</v>
      </c>
      <c r="E59" s="125" t="n">
        <f aca="false">E58+C58</f>
        <v>38108</v>
      </c>
      <c r="F59" s="425" t="n">
        <v>21</v>
      </c>
      <c r="G59" s="433" t="n">
        <f aca="false">C59-F59</f>
        <v>10</v>
      </c>
      <c r="H59" s="433"/>
      <c r="I59" s="433"/>
      <c r="J59" s="59" t="n">
        <f aca="false">K60-K59</f>
        <v>31</v>
      </c>
      <c r="K59" s="478" t="n">
        <v>38108</v>
      </c>
      <c r="L59" s="490" t="n">
        <v>0.072730126686808</v>
      </c>
      <c r="M59" s="491" t="n">
        <v>0.066684814520984</v>
      </c>
      <c r="N59" s="480" t="n">
        <f aca="false">(1+L59/2)^(-2*((K59+$T$1)-$K$1)/365.25)</f>
        <v>0.736603322523177</v>
      </c>
      <c r="O59" s="127" t="n">
        <f aca="false">VLOOKUP(K59,Inflation!$B$8:$C$266,2)</f>
        <v>1.12487118665177</v>
      </c>
      <c r="P59" s="480"/>
      <c r="Q59" s="481" t="n">
        <f aca="false">VLOOKUP(K59,'Fuel Curve'!$B$11:$F$268,5)</f>
        <v>4.37155172413793</v>
      </c>
      <c r="R59" s="482" t="n">
        <f aca="false">VLOOKUP(K59,'Fuel Curve Simulation'!$B$12:$J$258,9)</f>
        <v>4.37155172413793</v>
      </c>
      <c r="S59" s="481" t="n">
        <f aca="false">(R59*$S$2)/1000</f>
        <v>41.8750939655172</v>
      </c>
      <c r="T59" s="483"/>
      <c r="V59" s="128" t="n">
        <f aca="false">VLOOKUP(K59,PJM_01212000!$A$7:$C$259,3)</f>
        <v>31.325</v>
      </c>
      <c r="W59" s="128"/>
      <c r="X59" s="484" t="n">
        <f aca="false">'PJM Curve Simulation'!J59</f>
        <v>31.325</v>
      </c>
      <c r="Y59" s="489"/>
      <c r="Z59" s="483"/>
      <c r="AA59" s="59" t="n">
        <f aca="false">AA58</f>
        <v>315</v>
      </c>
      <c r="AB59" s="425" t="n">
        <f aca="false">AA59*F59*16</f>
        <v>105840</v>
      </c>
      <c r="AC59" s="425" t="n">
        <f aca="false">VLOOKUP(K59,'Company Volumes'!$B$20:$C$259,2)</f>
        <v>17254.3894068093</v>
      </c>
      <c r="AD59" s="485" t="n">
        <f aca="false">IF(V59&gt;S59+($AM$5*1000*O59),AA59*F59*16,0)</f>
        <v>0</v>
      </c>
      <c r="AE59" s="425"/>
      <c r="AF59" s="425" t="n">
        <v>0</v>
      </c>
      <c r="AG59" s="425" t="n">
        <v>0</v>
      </c>
      <c r="AH59" s="425" t="n">
        <f aca="false">X59*AD59</f>
        <v>0</v>
      </c>
      <c r="AI59" s="425" t="n">
        <f aca="false">SUM(AF59:AH59)</f>
        <v>0</v>
      </c>
      <c r="AJ59" s="425" t="n">
        <f aca="false">(AD59*1000*$S$2)/1000000*R59</f>
        <v>0</v>
      </c>
      <c r="AK59" s="425" t="n">
        <f aca="false">($AK$5*O59)/12</f>
        <v>56243.5593325887</v>
      </c>
      <c r="AL59" s="425" t="n">
        <f aca="false">($AL$5*O59)/12</f>
        <v>143421.076298101</v>
      </c>
      <c r="AM59" s="425" t="n">
        <f aca="false">AD59*$AM$5*1000*O59</f>
        <v>0</v>
      </c>
      <c r="AN59" s="425" t="n">
        <f aca="false">(($AN$5*O59)/12)*$S$4</f>
        <v>128610.27234052</v>
      </c>
      <c r="AO59" s="425" t="n">
        <f aca="false">($AO$5*O59)/12</f>
        <v>28121.7796662944</v>
      </c>
      <c r="AP59" s="425" t="n">
        <f aca="false">AP58</f>
        <v>46500.5582152336</v>
      </c>
      <c r="AQ59" s="433" t="n">
        <f aca="false">SUM(AK59:AP59)</f>
        <v>402897.245852737</v>
      </c>
      <c r="AR59" s="425" t="n">
        <f aca="false">($AR$5*O59)/12</f>
        <v>14060.8898331472</v>
      </c>
      <c r="AS59" s="433" t="n">
        <f aca="false">AS58</f>
        <v>30387.755</v>
      </c>
      <c r="AT59" s="425" t="n">
        <f aca="false">(AI59/100)*$AT$6*O59</f>
        <v>0</v>
      </c>
      <c r="AU59" s="433" t="n">
        <f aca="false">SUM(AJ59:AT59)-AQ59</f>
        <v>447345.890685885</v>
      </c>
      <c r="AV59" s="433" t="n">
        <f aca="false">AI59-AU59</f>
        <v>-447345.890685885</v>
      </c>
      <c r="AW59" s="493"/>
      <c r="AX59" s="423" t="n">
        <f aca="false">K59</f>
        <v>38108</v>
      </c>
      <c r="BA59" s="126"/>
      <c r="BB59" s="481" t="n">
        <f aca="false">X59</f>
        <v>31.325</v>
      </c>
      <c r="BC59" s="481" t="n">
        <f aca="false">'Curve Analysis - Base Case'!D51</f>
        <v>44.1248363388208</v>
      </c>
      <c r="BD59" s="479" t="n">
        <f aca="false">L59</f>
        <v>0.072730126686808</v>
      </c>
      <c r="BE59" s="479" t="n">
        <f aca="false">L59</f>
        <v>0.072730126686808</v>
      </c>
      <c r="BF59" s="489" t="n">
        <f aca="false">PJM_01212000!X59</f>
        <v>0.1563408</v>
      </c>
      <c r="BG59" s="425" t="n">
        <f aca="false">(AX59+15)-$K$1</f>
        <v>1534</v>
      </c>
      <c r="BH59" s="433" t="n">
        <f aca="false">AD59</f>
        <v>0</v>
      </c>
      <c r="BJ59" s="486" t="e">
        <f aca="false">EURO(BB59,BC59,BD59,BE59,BF59,BG59,1,0)*BH59</f>
        <v>#NAME?</v>
      </c>
      <c r="BK59" s="433" t="n">
        <f aca="false">(AI59-AJ59)*N59</f>
        <v>0</v>
      </c>
      <c r="BM59" s="433" t="e">
        <f aca="false">BJ59-BK59</f>
        <v>#NAME?</v>
      </c>
    </row>
    <row r="60" customFormat="false" ht="16.5" hidden="false" customHeight="false" outlineLevel="0" collapsed="false">
      <c r="A60" s="59" t="n">
        <f aca="false">A59+1</f>
        <v>54</v>
      </c>
      <c r="C60" s="59" t="n">
        <v>30</v>
      </c>
      <c r="D60" s="59" t="s">
        <v>168</v>
      </c>
      <c r="E60" s="125" t="n">
        <f aca="false">E59+C59</f>
        <v>38139</v>
      </c>
      <c r="F60" s="425" t="n">
        <v>22</v>
      </c>
      <c r="G60" s="433" t="n">
        <f aca="false">C60-F60</f>
        <v>8</v>
      </c>
      <c r="H60" s="433"/>
      <c r="I60" s="433"/>
      <c r="J60" s="59" t="n">
        <f aca="false">K61-K60</f>
        <v>30</v>
      </c>
      <c r="K60" s="478" t="n">
        <v>38139</v>
      </c>
      <c r="L60" s="490" t="n">
        <v>0.072788966984285</v>
      </c>
      <c r="M60" s="491" t="n">
        <v>0.06671718618086</v>
      </c>
      <c r="N60" s="480" t="n">
        <f aca="false">(1+L60/2)^(-2*((K60+$T$1)-$K$1)/365.25)</f>
        <v>0.731969231402715</v>
      </c>
      <c r="O60" s="127" t="n">
        <f aca="false">VLOOKUP(K60,Inflation!$B$8:$C$266,2)</f>
        <v>1.12737135605386</v>
      </c>
      <c r="P60" s="480"/>
      <c r="Q60" s="481" t="n">
        <f aca="false">VLOOKUP(K60,'Fuel Curve'!$B$11:$F$268,5)</f>
        <v>4.36068965517242</v>
      </c>
      <c r="R60" s="482" t="n">
        <f aca="false">VLOOKUP(K60,'Fuel Curve Simulation'!$B$12:$J$258,9)</f>
        <v>4.36068965517242</v>
      </c>
      <c r="S60" s="481" t="n">
        <f aca="false">(R60*$S$2)/1000</f>
        <v>41.7710462068966</v>
      </c>
      <c r="T60" s="483"/>
      <c r="V60" s="128" t="n">
        <f aca="false">VLOOKUP(K60,PJM_01212000!$A$7:$C$259,3)</f>
        <v>55.5999984741211</v>
      </c>
      <c r="W60" s="128"/>
      <c r="X60" s="484" t="n">
        <f aca="false">'PJM Curve Simulation'!J60</f>
        <v>55.5999984741211</v>
      </c>
      <c r="Y60" s="489"/>
      <c r="Z60" s="483"/>
      <c r="AA60" s="59" t="n">
        <f aca="false">AA59</f>
        <v>315</v>
      </c>
      <c r="AB60" s="425" t="n">
        <f aca="false">AA60*F60*16</f>
        <v>110880</v>
      </c>
      <c r="AC60" s="425" t="n">
        <f aca="false">VLOOKUP(K60,'Company Volumes'!$B$20:$C$259,2)</f>
        <v>33059.5261535529</v>
      </c>
      <c r="AD60" s="485" t="n">
        <f aca="false">IF(V60&gt;S60+($AM$5*1000*O60),AA60*F60*16,0)</f>
        <v>110880</v>
      </c>
      <c r="AE60" s="425"/>
      <c r="AF60" s="425" t="n">
        <v>0</v>
      </c>
      <c r="AG60" s="425" t="n">
        <v>0</v>
      </c>
      <c r="AH60" s="425" t="n">
        <f aca="false">X60*AD60</f>
        <v>6164927.83081055</v>
      </c>
      <c r="AI60" s="425" t="n">
        <f aca="false">SUM(AF60:AH60)</f>
        <v>6164927.83081055</v>
      </c>
      <c r="AJ60" s="425" t="n">
        <f aca="false">(AD60*1000*$S$2)/1000000*R60</f>
        <v>4631573.60342069</v>
      </c>
      <c r="AK60" s="425" t="n">
        <f aca="false">($AK$5*O60)/12</f>
        <v>56368.5678026931</v>
      </c>
      <c r="AL60" s="425" t="n">
        <f aca="false">($AL$5*O60)/12</f>
        <v>143739.847896867</v>
      </c>
      <c r="AM60" s="425" t="n">
        <f aca="false">AD60*$AM$5*1000*O60</f>
        <v>250005.871918505</v>
      </c>
      <c r="AN60" s="425" t="n">
        <f aca="false">(($AN$5*O60)/12)*$S$4</f>
        <v>128896.125042158</v>
      </c>
      <c r="AO60" s="425" t="n">
        <f aca="false">($AO$5*O60)/12</f>
        <v>28184.2839013466</v>
      </c>
      <c r="AP60" s="425" t="n">
        <f aca="false">AP59</f>
        <v>46500.5582152336</v>
      </c>
      <c r="AQ60" s="433" t="n">
        <f aca="false">SUM(AK60:AP60)</f>
        <v>653695.254776804</v>
      </c>
      <c r="AR60" s="425" t="n">
        <f aca="false">($AR$5*O60)/12</f>
        <v>14092.1419506733</v>
      </c>
      <c r="AS60" s="433" t="n">
        <f aca="false">AS59</f>
        <v>30387.755</v>
      </c>
      <c r="AT60" s="425" t="n">
        <f aca="false">(AI60/100)*$AT$6*O60</f>
        <v>41700.9782915705</v>
      </c>
      <c r="AU60" s="433" t="n">
        <f aca="false">SUM(AJ60:AT60)-AQ60</f>
        <v>5371449.73343974</v>
      </c>
      <c r="AV60" s="433" t="n">
        <f aca="false">AI60-AU60</f>
        <v>793478.09737081</v>
      </c>
      <c r="AW60" s="493"/>
      <c r="AX60" s="423" t="n">
        <f aca="false">K60</f>
        <v>38139</v>
      </c>
      <c r="BA60" s="126"/>
      <c r="BB60" s="481" t="n">
        <f aca="false">X60</f>
        <v>55.5999984741211</v>
      </c>
      <c r="BC60" s="481" t="n">
        <f aca="false">'Curve Analysis - Base Case'!D52</f>
        <v>44.0257889190043</v>
      </c>
      <c r="BD60" s="479" t="n">
        <f aca="false">L60</f>
        <v>0.072788966984285</v>
      </c>
      <c r="BE60" s="479" t="n">
        <f aca="false">L60</f>
        <v>0.072788966984285</v>
      </c>
      <c r="BF60" s="489" t="n">
        <f aca="false">PJM_01212000!X60</f>
        <v>0.2010096</v>
      </c>
      <c r="BG60" s="425" t="n">
        <f aca="false">(AX60+15)-$K$1</f>
        <v>1565</v>
      </c>
      <c r="BH60" s="433" t="n">
        <f aca="false">AD60</f>
        <v>110880</v>
      </c>
      <c r="BJ60" s="486" t="e">
        <f aca="false">EURO(BB60,BC60,BD60,BE60,BF60,BG60,1,0)*BH60</f>
        <v>#NAME?</v>
      </c>
      <c r="BK60" s="433" t="n">
        <f aca="false">(AI60-AJ60)*N60</f>
        <v>1122368.11529066</v>
      </c>
      <c r="BM60" s="433" t="e">
        <f aca="false">BJ60-BK60</f>
        <v>#NAME?</v>
      </c>
    </row>
    <row r="61" customFormat="false" ht="16.5" hidden="false" customHeight="false" outlineLevel="0" collapsed="false">
      <c r="A61" s="59" t="n">
        <f aca="false">A60+1</f>
        <v>55</v>
      </c>
      <c r="C61" s="59" t="n">
        <v>31</v>
      </c>
      <c r="D61" s="59" t="s">
        <v>169</v>
      </c>
      <c r="E61" s="125" t="n">
        <f aca="false">E60+C60</f>
        <v>38169</v>
      </c>
      <c r="F61" s="425" t="n">
        <v>22</v>
      </c>
      <c r="G61" s="433" t="n">
        <f aca="false">C61-F61</f>
        <v>9</v>
      </c>
      <c r="H61" s="433"/>
      <c r="I61" s="433"/>
      <c r="J61" s="59" t="n">
        <f aca="false">K62-K61</f>
        <v>31</v>
      </c>
      <c r="K61" s="478" t="n">
        <v>38169</v>
      </c>
      <c r="L61" s="490" t="n">
        <v>0.072845909208739</v>
      </c>
      <c r="M61" s="491" t="n">
        <v>0.066748513600582</v>
      </c>
      <c r="N61" s="480" t="n">
        <f aca="false">(1+L61/2)^(-2*((K61+$T$1)-$K$1)/365.25)</f>
        <v>0.727505716604073</v>
      </c>
      <c r="O61" s="127" t="n">
        <f aca="false">VLOOKUP(K61,Inflation!$B$8:$C$266,2)</f>
        <v>1.1298770824007</v>
      </c>
      <c r="P61" s="480"/>
      <c r="Q61" s="481" t="n">
        <f aca="false">VLOOKUP(K61,'Fuel Curve'!$B$11:$F$268,5)</f>
        <v>4.41137931034483</v>
      </c>
      <c r="R61" s="482" t="n">
        <f aca="false">VLOOKUP(K61,'Fuel Curve Simulation'!$B$12:$J$258,9)</f>
        <v>4.41137931034483</v>
      </c>
      <c r="S61" s="481" t="n">
        <f aca="false">(R61*$S$2)/1000</f>
        <v>42.2566024137931</v>
      </c>
      <c r="T61" s="483"/>
      <c r="V61" s="128" t="n">
        <f aca="false">VLOOKUP(K61,PJM_01212000!$A$7:$C$259,3)</f>
        <v>94.4499969482422</v>
      </c>
      <c r="W61" s="128"/>
      <c r="X61" s="484" t="n">
        <f aca="false">'PJM Curve Simulation'!J61</f>
        <v>94.4499969482422</v>
      </c>
      <c r="Y61" s="489"/>
      <c r="Z61" s="483"/>
      <c r="AA61" s="59" t="n">
        <f aca="false">AA60</f>
        <v>315</v>
      </c>
      <c r="AB61" s="425" t="n">
        <f aca="false">AA61*F61*16</f>
        <v>110880</v>
      </c>
      <c r="AC61" s="425" t="n">
        <f aca="false">VLOOKUP(K61,'Company Volumes'!$B$20:$C$259,2)</f>
        <v>52080.5947256124</v>
      </c>
      <c r="AD61" s="485" t="n">
        <f aca="false">IF(V61&gt;S61+($AM$5*1000*O61),AA61*F61*16,0)</f>
        <v>110880</v>
      </c>
      <c r="AE61" s="425"/>
      <c r="AF61" s="425" t="n">
        <v>0</v>
      </c>
      <c r="AG61" s="425" t="n">
        <v>0</v>
      </c>
      <c r="AH61" s="425" t="n">
        <f aca="false">X61*AD61</f>
        <v>10472615.6616211</v>
      </c>
      <c r="AI61" s="425" t="n">
        <f aca="false">SUM(AF61:AH61)</f>
        <v>10472615.6616211</v>
      </c>
      <c r="AJ61" s="425" t="n">
        <f aca="false">(AD61*1000*$S$2)/1000000*R61</f>
        <v>4685412.07564138</v>
      </c>
      <c r="AK61" s="425" t="n">
        <f aca="false">($AK$5*O61)/12</f>
        <v>56493.8541200352</v>
      </c>
      <c r="AL61" s="425" t="n">
        <f aca="false">($AL$5*O61)/12</f>
        <v>144059.32800609</v>
      </c>
      <c r="AM61" s="425" t="n">
        <f aca="false">AD61*$AM$5*1000*O61</f>
        <v>250561.54179318</v>
      </c>
      <c r="AN61" s="425" t="n">
        <f aca="false">(($AN$5*O61)/12)*$S$4</f>
        <v>129182.613087814</v>
      </c>
      <c r="AO61" s="425" t="n">
        <f aca="false">($AO$5*O61)/12</f>
        <v>28246.9270600176</v>
      </c>
      <c r="AP61" s="425" t="n">
        <f aca="false">AP60</f>
        <v>46500.5582152336</v>
      </c>
      <c r="AQ61" s="433" t="n">
        <f aca="false">SUM(AK61:AP61)</f>
        <v>655044.82228237</v>
      </c>
      <c r="AR61" s="425" t="n">
        <f aca="false">($AR$5*O61)/12</f>
        <v>14123.4635300088</v>
      </c>
      <c r="AS61" s="433" t="n">
        <f aca="false">AS60</f>
        <v>30387.755</v>
      </c>
      <c r="AT61" s="425" t="n">
        <f aca="false">(AI61/100)*$AT$6*O61</f>
        <v>70996.6105731382</v>
      </c>
      <c r="AU61" s="433" t="n">
        <f aca="false">SUM(AJ61:AT61)-AQ61</f>
        <v>5455964.7270269</v>
      </c>
      <c r="AV61" s="433" t="n">
        <f aca="false">AI61-AU61</f>
        <v>5016650.9345942</v>
      </c>
      <c r="AW61" s="493"/>
      <c r="AX61" s="423" t="n">
        <f aca="false">K61</f>
        <v>38169</v>
      </c>
      <c r="BA61" s="126"/>
      <c r="BB61" s="481" t="n">
        <f aca="false">X61</f>
        <v>94.4499969482422</v>
      </c>
      <c r="BC61" s="481" t="n">
        <f aca="false">'Curve Analysis - Base Case'!D53</f>
        <v>44.5163565785945</v>
      </c>
      <c r="BD61" s="479" t="n">
        <f aca="false">L61</f>
        <v>0.072845909208739</v>
      </c>
      <c r="BE61" s="479" t="n">
        <f aca="false">L61</f>
        <v>0.072845909208739</v>
      </c>
      <c r="BF61" s="489" t="n">
        <f aca="false">PJM_01212000!X61</f>
        <v>0.2456784</v>
      </c>
      <c r="BG61" s="425" t="n">
        <f aca="false">(AX61+15)-$K$1</f>
        <v>1595</v>
      </c>
      <c r="BH61" s="433" t="n">
        <f aca="false">AD61</f>
        <v>110880</v>
      </c>
      <c r="BJ61" s="486" t="e">
        <f aca="false">EURO(BB61,BC61,BD61,BE61,BF61,BG61,1,0)*BH61</f>
        <v>#NAME?</v>
      </c>
      <c r="BK61" s="433" t="n">
        <f aca="false">(AI61-AJ61)*N61</f>
        <v>4210223.69195183</v>
      </c>
      <c r="BM61" s="433" t="e">
        <f aca="false">BJ61-BK61</f>
        <v>#NAME?</v>
      </c>
    </row>
    <row r="62" customFormat="false" ht="16.5" hidden="false" customHeight="false" outlineLevel="0" collapsed="false">
      <c r="A62" s="59" t="n">
        <f aca="false">A61+1</f>
        <v>56</v>
      </c>
      <c r="C62" s="59" t="n">
        <v>31</v>
      </c>
      <c r="D62" s="59" t="s">
        <v>170</v>
      </c>
      <c r="E62" s="125" t="n">
        <f aca="false">E61+C61</f>
        <v>38200</v>
      </c>
      <c r="F62" s="425" t="n">
        <v>22</v>
      </c>
      <c r="G62" s="433" t="n">
        <f aca="false">C62-F62</f>
        <v>9</v>
      </c>
      <c r="H62" s="433"/>
      <c r="I62" s="433"/>
      <c r="J62" s="59" t="n">
        <f aca="false">K63-K62</f>
        <v>31</v>
      </c>
      <c r="K62" s="478" t="n">
        <v>38200</v>
      </c>
      <c r="L62" s="490" t="n">
        <v>0.072904749508467</v>
      </c>
      <c r="M62" s="491" t="n">
        <v>0.066780885274799</v>
      </c>
      <c r="N62" s="480" t="n">
        <f aca="false">(1+L62/2)^(-2*((K62+$T$1)-$K$1)/365.25)</f>
        <v>0.722915161120814</v>
      </c>
      <c r="O62" s="127" t="n">
        <f aca="false">VLOOKUP(K62,Inflation!$B$8:$C$266,2)</f>
        <v>1.13238837804332</v>
      </c>
      <c r="P62" s="480"/>
      <c r="Q62" s="481" t="n">
        <f aca="false">VLOOKUP(K62,'Fuel Curve'!$B$11:$F$268,5)</f>
        <v>4.49620689655172</v>
      </c>
      <c r="R62" s="482" t="n">
        <f aca="false">VLOOKUP(K62,'Fuel Curve Simulation'!$B$12:$J$258,9)</f>
        <v>4.49620689655172</v>
      </c>
      <c r="S62" s="481" t="n">
        <f aca="false">(R62*$S$2)/1000</f>
        <v>43.069165862069</v>
      </c>
      <c r="T62" s="483"/>
      <c r="V62" s="128" t="n">
        <f aca="false">VLOOKUP(K62,PJM_01212000!$A$7:$C$259,3)</f>
        <v>81.4499969482422</v>
      </c>
      <c r="W62" s="128"/>
      <c r="X62" s="484" t="n">
        <f aca="false">'PJM Curve Simulation'!J62</f>
        <v>81.4499969482422</v>
      </c>
      <c r="Y62" s="489"/>
      <c r="Z62" s="483"/>
      <c r="AA62" s="59" t="n">
        <f aca="false">AA61</f>
        <v>315</v>
      </c>
      <c r="AB62" s="425" t="n">
        <f aca="false">AA62*F62*16</f>
        <v>110880</v>
      </c>
      <c r="AC62" s="425" t="n">
        <f aca="false">VLOOKUP(K62,'Company Volumes'!$B$20:$C$259,2)</f>
        <v>34720.3964834129</v>
      </c>
      <c r="AD62" s="485" t="n">
        <f aca="false">IF(V62&gt;S62+($AM$5*1000*O62),AA62*F62*16,0)</f>
        <v>110880</v>
      </c>
      <c r="AE62" s="425"/>
      <c r="AF62" s="425" t="n">
        <v>0</v>
      </c>
      <c r="AG62" s="425" t="n">
        <v>0</v>
      </c>
      <c r="AH62" s="425" t="n">
        <f aca="false">X62*AD62</f>
        <v>9031175.66162109</v>
      </c>
      <c r="AI62" s="425" t="n">
        <f aca="false">SUM(AF62:AH62)</f>
        <v>9031175.66162109</v>
      </c>
      <c r="AJ62" s="425" t="n">
        <f aca="false">(AD62*1000*$S$2)/1000000*R62</f>
        <v>4775509.11078621</v>
      </c>
      <c r="AK62" s="425" t="n">
        <f aca="false">($AK$5*O62)/12</f>
        <v>56619.4189021658</v>
      </c>
      <c r="AL62" s="425" t="n">
        <f aca="false">($AL$5*O62)/12</f>
        <v>144379.518200523</v>
      </c>
      <c r="AM62" s="425" t="n">
        <f aca="false">AD62*$AM$5*1000*O62</f>
        <v>251118.446714886</v>
      </c>
      <c r="AN62" s="425" t="n">
        <f aca="false">(($AN$5*O62)/12)*$S$4</f>
        <v>129469.737889619</v>
      </c>
      <c r="AO62" s="425" t="n">
        <f aca="false">($AO$5*O62)/12</f>
        <v>28309.7094510829</v>
      </c>
      <c r="AP62" s="425" t="n">
        <f aca="false">AP61</f>
        <v>46500.5582152336</v>
      </c>
      <c r="AQ62" s="433" t="n">
        <f aca="false">SUM(AK62:AP62)</f>
        <v>656397.38937351</v>
      </c>
      <c r="AR62" s="425" t="n">
        <f aca="false">($AR$5*O62)/12</f>
        <v>14154.8547255415</v>
      </c>
      <c r="AS62" s="433" t="n">
        <f aca="false">AS61</f>
        <v>30387.755</v>
      </c>
      <c r="AT62" s="425" t="n">
        <f aca="false">(AI62/100)*$AT$6*O62</f>
        <v>61360.7901557243</v>
      </c>
      <c r="AU62" s="433" t="n">
        <f aca="false">SUM(AJ62:AT62)-AQ62</f>
        <v>5537809.90004098</v>
      </c>
      <c r="AV62" s="433" t="n">
        <f aca="false">AI62-AU62</f>
        <v>3493365.76158011</v>
      </c>
      <c r="AW62" s="493"/>
      <c r="AX62" s="423" t="n">
        <f aca="false">K62</f>
        <v>38200</v>
      </c>
      <c r="BA62" s="126"/>
      <c r="BB62" s="481" t="n">
        <f aca="false">X62</f>
        <v>81.4499969482422</v>
      </c>
      <c r="BC62" s="481" t="n">
        <f aca="false">'Curve Analysis - Base Case'!D54</f>
        <v>45.3339426181556</v>
      </c>
      <c r="BD62" s="479" t="n">
        <f aca="false">L62</f>
        <v>0.072904749508467</v>
      </c>
      <c r="BE62" s="479" t="n">
        <f aca="false">L62</f>
        <v>0.072904749508467</v>
      </c>
      <c r="BF62" s="489" t="n">
        <f aca="false">PJM_01212000!X62</f>
        <v>0.2456784</v>
      </c>
      <c r="BG62" s="425" t="n">
        <f aca="false">(AX62+15)-$K$1</f>
        <v>1626</v>
      </c>
      <c r="BH62" s="433" t="n">
        <f aca="false">AD62</f>
        <v>110880</v>
      </c>
      <c r="BJ62" s="486" t="e">
        <f aca="false">EURO(BB62,BC62,BD62,BE62,BF62,BG62,1,0)*BH62</f>
        <v>#NAME?</v>
      </c>
      <c r="BK62" s="433" t="n">
        <f aca="false">(AI62-AJ62)*N62</f>
        <v>3076485.87027326</v>
      </c>
      <c r="BM62" s="433" t="e">
        <f aca="false">BJ62-BK62</f>
        <v>#NAME?</v>
      </c>
    </row>
    <row r="63" customFormat="false" ht="16.5" hidden="false" customHeight="false" outlineLevel="0" collapsed="false">
      <c r="A63" s="59" t="n">
        <f aca="false">A62+1</f>
        <v>57</v>
      </c>
      <c r="C63" s="59" t="n">
        <v>30</v>
      </c>
      <c r="D63" s="59" t="s">
        <v>171</v>
      </c>
      <c r="E63" s="125" t="n">
        <f aca="false">E62+C62</f>
        <v>38231</v>
      </c>
      <c r="F63" s="425" t="n">
        <v>22</v>
      </c>
      <c r="G63" s="433" t="n">
        <f aca="false">C63-F63</f>
        <v>8</v>
      </c>
      <c r="H63" s="433"/>
      <c r="I63" s="433"/>
      <c r="J63" s="59" t="n">
        <f aca="false">K64-K63</f>
        <v>30</v>
      </c>
      <c r="K63" s="478" t="n">
        <v>38231</v>
      </c>
      <c r="L63" s="490" t="n">
        <v>0.072963589809337</v>
      </c>
      <c r="M63" s="491" t="n">
        <v>0.06664232366614</v>
      </c>
      <c r="N63" s="480" t="n">
        <f aca="false">(1+L63/2)^(-2*((K63+$T$1)-$K$1)/365.25)</f>
        <v>0.718346654745936</v>
      </c>
      <c r="O63" s="127" t="n">
        <f aca="false">VLOOKUP(K63,Inflation!$B$8:$C$266,2)</f>
        <v>1.13490525536017</v>
      </c>
      <c r="P63" s="480"/>
      <c r="Q63" s="481" t="n">
        <f aca="false">VLOOKUP(K63,'Fuel Curve'!$B$11:$F$268,5)</f>
        <v>4.58603448275862</v>
      </c>
      <c r="R63" s="482" t="n">
        <f aca="false">VLOOKUP(K63,'Fuel Curve Simulation'!$B$12:$J$258,9)</f>
        <v>4.58603448275862</v>
      </c>
      <c r="S63" s="481" t="n">
        <f aca="false">(R63*$S$2)/1000</f>
        <v>43.9296243103448</v>
      </c>
      <c r="T63" s="483"/>
      <c r="V63" s="128" t="n">
        <f aca="false">VLOOKUP(K63,PJM_01212000!$A$7:$C$259,3)</f>
        <v>33.4249984741211</v>
      </c>
      <c r="W63" s="128"/>
      <c r="X63" s="484" t="n">
        <f aca="false">'PJM Curve Simulation'!J63</f>
        <v>33.4249984741211</v>
      </c>
      <c r="Y63" s="489"/>
      <c r="Z63" s="483"/>
      <c r="AA63" s="59" t="n">
        <f aca="false">AA62</f>
        <v>315</v>
      </c>
      <c r="AB63" s="425" t="n">
        <f aca="false">AA63*F63*16</f>
        <v>110880</v>
      </c>
      <c r="AC63" s="425" t="n">
        <f aca="false">VLOOKUP(K63,'Company Volumes'!$B$20:$C$259,2)</f>
        <v>21088.6981635493</v>
      </c>
      <c r="AD63" s="485" t="n">
        <f aca="false">IF(V63&gt;S63+($AM$5*1000*O63),AA63*F63*16,0)</f>
        <v>0</v>
      </c>
      <c r="AE63" s="425"/>
      <c r="AF63" s="425" t="n">
        <v>0</v>
      </c>
      <c r="AG63" s="425" t="n">
        <v>0</v>
      </c>
      <c r="AH63" s="425" t="n">
        <f aca="false">X63*AD63</f>
        <v>0</v>
      </c>
      <c r="AI63" s="425" t="n">
        <f aca="false">SUM(AF63:AH63)</f>
        <v>0</v>
      </c>
      <c r="AJ63" s="425" t="n">
        <f aca="false">(AD63*1000*$S$2)/1000000*R63</f>
        <v>0</v>
      </c>
      <c r="AK63" s="425" t="n">
        <f aca="false">($AK$5*O63)/12</f>
        <v>56745.2627680084</v>
      </c>
      <c r="AL63" s="425" t="n">
        <f aca="false">($AL$5*O63)/12</f>
        <v>144700.420058421</v>
      </c>
      <c r="AM63" s="425" t="n">
        <f aca="false">AD63*$AM$5*1000*O63</f>
        <v>0</v>
      </c>
      <c r="AN63" s="425" t="n">
        <f aca="false">(($AN$5*O63)/12)*$S$4</f>
        <v>129757.500862846</v>
      </c>
      <c r="AO63" s="425" t="n">
        <f aca="false">($AO$5*O63)/12</f>
        <v>28372.6313840042</v>
      </c>
      <c r="AP63" s="425" t="n">
        <f aca="false">AP62</f>
        <v>46500.5582152336</v>
      </c>
      <c r="AQ63" s="433" t="n">
        <f aca="false">SUM(AK63:AP63)</f>
        <v>406076.373288514</v>
      </c>
      <c r="AR63" s="425" t="n">
        <f aca="false">($AR$5*O63)/12</f>
        <v>14186.3156920021</v>
      </c>
      <c r="AS63" s="433" t="n">
        <f aca="false">AS62</f>
        <v>30387.755</v>
      </c>
      <c r="AT63" s="425" t="n">
        <f aca="false">(AI63/100)*$AT$6*O63</f>
        <v>0</v>
      </c>
      <c r="AU63" s="433" t="n">
        <f aca="false">SUM(AJ63:AT63)-AQ63</f>
        <v>450650.443980516</v>
      </c>
      <c r="AV63" s="433" t="n">
        <f aca="false">AI63-AU63</f>
        <v>-450650.443980516</v>
      </c>
      <c r="AW63" s="493"/>
      <c r="AX63" s="423" t="n">
        <f aca="false">K63</f>
        <v>38231</v>
      </c>
      <c r="BA63" s="126"/>
      <c r="BB63" s="481" t="n">
        <f aca="false">X63</f>
        <v>33.4249984741211</v>
      </c>
      <c r="BC63" s="481" t="n">
        <f aca="false">'Curve Analysis - Base Case'!D55</f>
        <v>46.1994348210652</v>
      </c>
      <c r="BD63" s="479" t="n">
        <f aca="false">L63</f>
        <v>0.072963589809337</v>
      </c>
      <c r="BE63" s="479" t="n">
        <f aca="false">L63</f>
        <v>0.072963589809337</v>
      </c>
      <c r="BF63" s="489" t="n">
        <f aca="false">PJM_01212000!X63</f>
        <v>0.15792</v>
      </c>
      <c r="BG63" s="425" t="n">
        <f aca="false">(AX63+15)-$K$1</f>
        <v>1657</v>
      </c>
      <c r="BH63" s="433" t="n">
        <f aca="false">AD63</f>
        <v>0</v>
      </c>
      <c r="BJ63" s="486" t="e">
        <f aca="false">EURO(BB63,BC63,BD63,BE63,BF63,BG63,1,0)*BH63</f>
        <v>#NAME?</v>
      </c>
      <c r="BK63" s="433" t="n">
        <f aca="false">(AI63-AJ63)*N63</f>
        <v>0</v>
      </c>
      <c r="BM63" s="433" t="e">
        <f aca="false">BJ63-BK63</f>
        <v>#NAME?</v>
      </c>
    </row>
    <row r="64" customFormat="false" ht="16.5" hidden="false" customHeight="false" outlineLevel="0" collapsed="false">
      <c r="A64" s="59" t="n">
        <f aca="false">A63+1</f>
        <v>58</v>
      </c>
      <c r="C64" s="59" t="n">
        <v>31</v>
      </c>
      <c r="D64" s="59" t="s">
        <v>172</v>
      </c>
      <c r="E64" s="125" t="n">
        <f aca="false">E63+C63</f>
        <v>38261</v>
      </c>
      <c r="F64" s="425" t="n">
        <v>21</v>
      </c>
      <c r="G64" s="433" t="n">
        <f aca="false">C64-F64</f>
        <v>10</v>
      </c>
      <c r="H64" s="433"/>
      <c r="I64" s="433"/>
      <c r="J64" s="59" t="n">
        <f aca="false">K65-K64</f>
        <v>31</v>
      </c>
      <c r="K64" s="478" t="n">
        <v>38261</v>
      </c>
      <c r="L64" s="490" t="n">
        <v>0.073020532037075</v>
      </c>
      <c r="M64" s="491" t="n">
        <v>0.066372004516924</v>
      </c>
      <c r="N64" s="480" t="n">
        <f aca="false">(1+L64/2)^(-2*((K64+$T$1)-$K$1)/365.25)</f>
        <v>0.713946464875069</v>
      </c>
      <c r="O64" s="127" t="n">
        <f aca="false">VLOOKUP(K64,Inflation!$B$8:$C$266,2)</f>
        <v>1.13742772675724</v>
      </c>
      <c r="P64" s="480"/>
      <c r="Q64" s="481" t="n">
        <f aca="false">VLOOKUP(K64,'Fuel Curve'!$B$11:$F$268,5)</f>
        <v>4.67293103448276</v>
      </c>
      <c r="R64" s="482" t="n">
        <f aca="false">VLOOKUP(K64,'Fuel Curve Simulation'!$B$12:$J$258,9)</f>
        <v>4.67293103448276</v>
      </c>
      <c r="S64" s="481" t="n">
        <f aca="false">(R64*$S$2)/1000</f>
        <v>44.7620063793104</v>
      </c>
      <c r="T64" s="483"/>
      <c r="V64" s="128" t="n">
        <f aca="false">VLOOKUP(K64,PJM_01212000!$A$7:$C$259,3)</f>
        <v>27.0750003814697</v>
      </c>
      <c r="W64" s="128"/>
      <c r="X64" s="484" t="n">
        <f aca="false">'PJM Curve Simulation'!J64</f>
        <v>27.0750003814697</v>
      </c>
      <c r="Y64" s="489"/>
      <c r="Z64" s="483"/>
      <c r="AA64" s="59" t="n">
        <f aca="false">AA63</f>
        <v>315</v>
      </c>
      <c r="AB64" s="425" t="n">
        <f aca="false">AA64*F64*16</f>
        <v>105840</v>
      </c>
      <c r="AC64" s="425" t="n">
        <f aca="false">VLOOKUP(K64,'Company Volumes'!$B$20:$C$259,2)</f>
        <v>3729.761184184</v>
      </c>
      <c r="AD64" s="485" t="n">
        <f aca="false">IF(V64&gt;S64+($AM$5*1000*O64),AA64*F64*16,0)</f>
        <v>0</v>
      </c>
      <c r="AE64" s="425"/>
      <c r="AF64" s="425" t="n">
        <v>0</v>
      </c>
      <c r="AG64" s="425" t="n">
        <v>0</v>
      </c>
      <c r="AH64" s="425" t="n">
        <f aca="false">X64*AD64</f>
        <v>0</v>
      </c>
      <c r="AI64" s="425" t="n">
        <f aca="false">SUM(AF64:AH64)</f>
        <v>0</v>
      </c>
      <c r="AJ64" s="425" t="n">
        <f aca="false">(AD64*1000*$S$2)/1000000*R64</f>
        <v>0</v>
      </c>
      <c r="AK64" s="425" t="n">
        <f aca="false">($AK$5*O64)/12</f>
        <v>56871.3863378621</v>
      </c>
      <c r="AL64" s="425" t="n">
        <f aca="false">($AL$5*O64)/12</f>
        <v>145022.035161548</v>
      </c>
      <c r="AM64" s="425" t="n">
        <f aca="false">AD64*$AM$5*1000*O64</f>
        <v>0</v>
      </c>
      <c r="AN64" s="425" t="n">
        <f aca="false">(($AN$5*O64)/12)*$S$4</f>
        <v>130045.903425911</v>
      </c>
      <c r="AO64" s="425" t="n">
        <f aca="false">($AO$5*O64)/12</f>
        <v>28435.693168931</v>
      </c>
      <c r="AP64" s="425" t="n">
        <f aca="false">AP63</f>
        <v>46500.5582152336</v>
      </c>
      <c r="AQ64" s="433" t="n">
        <f aca="false">SUM(AK64:AP64)</f>
        <v>406875.576309486</v>
      </c>
      <c r="AR64" s="425" t="n">
        <f aca="false">($AR$5*O64)/12</f>
        <v>14217.8465844655</v>
      </c>
      <c r="AS64" s="433" t="n">
        <f aca="false">AS63</f>
        <v>30387.755</v>
      </c>
      <c r="AT64" s="425" t="n">
        <f aca="false">(AI64/100)*$AT$6*O64</f>
        <v>0</v>
      </c>
      <c r="AU64" s="433" t="n">
        <f aca="false">SUM(AJ64:AT64)-AQ64</f>
        <v>451481.177893952</v>
      </c>
      <c r="AV64" s="433" t="n">
        <f aca="false">AI64-AU64</f>
        <v>-451481.177893952</v>
      </c>
      <c r="AW64" s="493"/>
      <c r="AX64" s="423" t="n">
        <f aca="false">K64</f>
        <v>38261</v>
      </c>
      <c r="BA64" s="126"/>
      <c r="BB64" s="481" t="n">
        <f aca="false">X64</f>
        <v>27.0750003814697</v>
      </c>
      <c r="BC64" s="481" t="n">
        <f aca="false">'Curve Analysis - Base Case'!D56</f>
        <v>47.0368618328248</v>
      </c>
      <c r="BD64" s="479" t="n">
        <f aca="false">L64</f>
        <v>0.073020532037075</v>
      </c>
      <c r="BE64" s="479" t="n">
        <f aca="false">L64</f>
        <v>0.073020532037075</v>
      </c>
      <c r="BF64" s="489" t="n">
        <f aca="false">PJM_01212000!X64</f>
        <v>0.111672</v>
      </c>
      <c r="BG64" s="425" t="n">
        <f aca="false">(AX64+15)-$K$1</f>
        <v>1687</v>
      </c>
      <c r="BH64" s="433" t="n">
        <f aca="false">AD64</f>
        <v>0</v>
      </c>
      <c r="BJ64" s="486" t="e">
        <f aca="false">EURO(BB64,BC64,BD64,BE64,BF64,BG64,1,0)*BH64</f>
        <v>#NAME?</v>
      </c>
      <c r="BK64" s="433" t="n">
        <f aca="false">(AI64-AJ64)*N64</f>
        <v>0</v>
      </c>
      <c r="BM64" s="433" t="e">
        <f aca="false">BJ64-BK64</f>
        <v>#NAME?</v>
      </c>
    </row>
    <row r="65" customFormat="false" ht="16.5" hidden="false" customHeight="false" outlineLevel="0" collapsed="false">
      <c r="A65" s="59" t="n">
        <f aca="false">A64+1</f>
        <v>59</v>
      </c>
      <c r="C65" s="59" t="n">
        <v>30</v>
      </c>
      <c r="D65" s="59" t="s">
        <v>173</v>
      </c>
      <c r="E65" s="125" t="n">
        <f aca="false">E64+C64</f>
        <v>38292</v>
      </c>
      <c r="F65" s="425" t="n">
        <v>22</v>
      </c>
      <c r="G65" s="433" t="n">
        <f aca="false">C65-F65</f>
        <v>8</v>
      </c>
      <c r="H65" s="433"/>
      <c r="I65" s="433"/>
      <c r="J65" s="59" t="n">
        <f aca="false">K66-K65</f>
        <v>30</v>
      </c>
      <c r="K65" s="478" t="n">
        <v>38292</v>
      </c>
      <c r="L65" s="490" t="n">
        <v>0.073079372340195</v>
      </c>
      <c r="M65" s="491" t="n">
        <v>0.06609267526339</v>
      </c>
      <c r="N65" s="480" t="n">
        <f aca="false">(1+L65/2)^(-2*((K65+$T$1)-$K$1)/365.25)</f>
        <v>0.70942119524404</v>
      </c>
      <c r="O65" s="127" t="n">
        <f aca="false">VLOOKUP(K65,Inflation!$B$8:$C$266,2)</f>
        <v>1.13995580466809</v>
      </c>
      <c r="P65" s="480"/>
      <c r="Q65" s="481" t="n">
        <f aca="false">VLOOKUP(K65,'Fuel Curve'!$B$11:$F$268,5)</f>
        <v>4.75689655172414</v>
      </c>
      <c r="R65" s="482" t="n">
        <f aca="false">VLOOKUP(K65,'Fuel Curve Simulation'!$B$12:$J$258,9)</f>
        <v>4.75689655172414</v>
      </c>
      <c r="S65" s="481" t="n">
        <f aca="false">(R65*$S$2)/1000</f>
        <v>45.5663120689655</v>
      </c>
      <c r="T65" s="483"/>
      <c r="V65" s="128" t="n">
        <f aca="false">VLOOKUP(K65,PJM_01212000!$A$7:$C$259,3)</f>
        <v>26.7474990844727</v>
      </c>
      <c r="W65" s="128"/>
      <c r="X65" s="484" t="n">
        <f aca="false">'PJM Curve Simulation'!J65</f>
        <v>26.7474990844727</v>
      </c>
      <c r="Y65" s="489"/>
      <c r="Z65" s="483"/>
      <c r="AA65" s="59" t="n">
        <f aca="false">AA64</f>
        <v>315</v>
      </c>
      <c r="AB65" s="425" t="n">
        <f aca="false">AA65*F65*16</f>
        <v>110880</v>
      </c>
      <c r="AC65" s="425" t="n">
        <f aca="false">VLOOKUP(K65,'Company Volumes'!$B$20:$C$259,2)</f>
        <v>8546.17619823333</v>
      </c>
      <c r="AD65" s="485" t="n">
        <f aca="false">IF(V65&gt;S65+($AM$5*1000*O65),AA65*F65*16,0)</f>
        <v>0</v>
      </c>
      <c r="AE65" s="425"/>
      <c r="AF65" s="425" t="n">
        <v>0</v>
      </c>
      <c r="AG65" s="425" t="n">
        <v>0</v>
      </c>
      <c r="AH65" s="425" t="n">
        <f aca="false">X65*AD65</f>
        <v>0</v>
      </c>
      <c r="AI65" s="425" t="n">
        <f aca="false">SUM(AF65:AH65)</f>
        <v>0</v>
      </c>
      <c r="AJ65" s="425" t="n">
        <f aca="false">(AD65*1000*$S$2)/1000000*R65</f>
        <v>0</v>
      </c>
      <c r="AK65" s="425" t="n">
        <f aca="false">($AK$5*O65)/12</f>
        <v>56997.7902334045</v>
      </c>
      <c r="AL65" s="425" t="n">
        <f aca="false">($AL$5*O65)/12</f>
        <v>145344.365095182</v>
      </c>
      <c r="AM65" s="425" t="n">
        <f aca="false">AD65*$AM$5*1000*O65</f>
        <v>0</v>
      </c>
      <c r="AN65" s="425" t="n">
        <f aca="false">(($AN$5*O65)/12)*$S$4</f>
        <v>130334.947000385</v>
      </c>
      <c r="AO65" s="425" t="n">
        <f aca="false">($AO$5*O65)/12</f>
        <v>28498.8951167023</v>
      </c>
      <c r="AP65" s="425" t="n">
        <f aca="false">AP64</f>
        <v>46500.5582152336</v>
      </c>
      <c r="AQ65" s="433" t="n">
        <f aca="false">SUM(AK65:AP65)</f>
        <v>407676.555660907</v>
      </c>
      <c r="AR65" s="425" t="n">
        <f aca="false">($AR$5*O65)/12</f>
        <v>14249.4475583511</v>
      </c>
      <c r="AS65" s="433" t="n">
        <f aca="false">AS64</f>
        <v>30387.755</v>
      </c>
      <c r="AT65" s="425" t="n">
        <f aca="false">(AI65/100)*$AT$6*O65</f>
        <v>0</v>
      </c>
      <c r="AU65" s="433" t="n">
        <f aca="false">SUM(AJ65:AT65)-AQ65</f>
        <v>452313.758219258</v>
      </c>
      <c r="AV65" s="433" t="n">
        <f aca="false">AI65-AU65</f>
        <v>-452313.758219258</v>
      </c>
      <c r="AW65" s="493"/>
      <c r="AX65" s="423" t="n">
        <f aca="false">K65</f>
        <v>38292</v>
      </c>
      <c r="BA65" s="126"/>
      <c r="BB65" s="481" t="n">
        <f aca="false">X65</f>
        <v>26.7474990844727</v>
      </c>
      <c r="BC65" s="481" t="n">
        <f aca="false">'Curve Analysis - Base Case'!D57</f>
        <v>47.8462236783017</v>
      </c>
      <c r="BD65" s="479" t="n">
        <f aca="false">L65</f>
        <v>0.073079372340195</v>
      </c>
      <c r="BE65" s="479" t="n">
        <f aca="false">L65</f>
        <v>0.073079372340195</v>
      </c>
      <c r="BF65" s="489" t="n">
        <f aca="false">PJM_01212000!X65</f>
        <v>0.111672</v>
      </c>
      <c r="BG65" s="425" t="n">
        <f aca="false">(AX65+15)-$K$1</f>
        <v>1718</v>
      </c>
      <c r="BH65" s="433" t="n">
        <f aca="false">AD65</f>
        <v>0</v>
      </c>
      <c r="BJ65" s="486" t="e">
        <f aca="false">EURO(BB65,BC65,BD65,BE65,BF65,BG65,1,0)*BH65</f>
        <v>#NAME?</v>
      </c>
      <c r="BK65" s="433" t="n">
        <f aca="false">(AI65-AJ65)*N65</f>
        <v>0</v>
      </c>
      <c r="BM65" s="433" t="e">
        <f aca="false">BJ65-BK65</f>
        <v>#NAME?</v>
      </c>
    </row>
    <row r="66" customFormat="false" ht="16.5" hidden="false" customHeight="false" outlineLevel="0" collapsed="false">
      <c r="A66" s="59" t="n">
        <f aca="false">A65+1</f>
        <v>60</v>
      </c>
      <c r="C66" s="59" t="n">
        <v>31</v>
      </c>
      <c r="D66" s="59" t="s">
        <v>174</v>
      </c>
      <c r="E66" s="125" t="n">
        <f aca="false">E65+C65</f>
        <v>38322</v>
      </c>
      <c r="F66" s="425" t="n">
        <v>23</v>
      </c>
      <c r="G66" s="433" t="n">
        <f aca="false">C66-F66</f>
        <v>8</v>
      </c>
      <c r="H66" s="433" t="n">
        <f aca="false">SUM(F55:G66)</f>
        <v>366</v>
      </c>
      <c r="I66" s="433"/>
      <c r="J66" s="59" t="n">
        <f aca="false">K67-K66</f>
        <v>31</v>
      </c>
      <c r="K66" s="478" t="n">
        <v>38322</v>
      </c>
      <c r="L66" s="490" t="n">
        <v>0.073136314570109</v>
      </c>
      <c r="M66" s="491" t="n">
        <v>0.065959695227423</v>
      </c>
      <c r="N66" s="480" t="n">
        <f aca="false">(1+L66/2)^(-2*((K66+$T$1)-$K$1)/365.25)</f>
        <v>0.705062750325475</v>
      </c>
      <c r="O66" s="127" t="n">
        <f aca="false">VLOOKUP(K66,Inflation!$B$8:$C$266,2)</f>
        <v>1.14248950155391</v>
      </c>
      <c r="P66" s="480"/>
      <c r="Q66" s="481" t="n">
        <f aca="false">VLOOKUP(K66,'Fuel Curve'!$B$11:$F$268,5)</f>
        <v>4.79517241379311</v>
      </c>
      <c r="R66" s="482" t="n">
        <f aca="false">VLOOKUP(K66,'Fuel Curve Simulation'!$B$12:$J$258,9)</f>
        <v>4.79517241379311</v>
      </c>
      <c r="S66" s="481" t="n">
        <f aca="false">(R66*$S$2)/1000</f>
        <v>45.9329565517242</v>
      </c>
      <c r="T66" s="483"/>
      <c r="V66" s="128" t="n">
        <f aca="false">VLOOKUP(K66,PJM_01212000!$A$7:$C$259,3)</f>
        <v>28.4999996185303</v>
      </c>
      <c r="W66" s="128"/>
      <c r="X66" s="484" t="n">
        <f aca="false">'PJM Curve Simulation'!J66</f>
        <v>28.4999996185303</v>
      </c>
      <c r="Y66" s="489"/>
      <c r="Z66" s="483"/>
      <c r="AA66" s="59" t="n">
        <f aca="false">AA65</f>
        <v>315</v>
      </c>
      <c r="AB66" s="425" t="n">
        <f aca="false">AA66*F66*16</f>
        <v>115920</v>
      </c>
      <c r="AC66" s="425" t="n">
        <f aca="false">VLOOKUP(K66,'Company Volumes'!$B$20:$C$259,2)</f>
        <v>8546.17619823333</v>
      </c>
      <c r="AD66" s="485" t="n">
        <f aca="false">IF(V66&gt;S66+($AM$5*1000*O66),AA66*F66*16,0)</f>
        <v>0</v>
      </c>
      <c r="AE66" s="425"/>
      <c r="AF66" s="425" t="n">
        <v>0</v>
      </c>
      <c r="AG66" s="425" t="n">
        <v>0</v>
      </c>
      <c r="AH66" s="425" t="n">
        <f aca="false">X66*AD66</f>
        <v>0</v>
      </c>
      <c r="AI66" s="425" t="n">
        <f aca="false">SUM(AF66:AH66)</f>
        <v>0</v>
      </c>
      <c r="AJ66" s="425" t="n">
        <f aca="false">(AD66*1000*$S$2)/1000000*R66</f>
        <v>0</v>
      </c>
      <c r="AK66" s="425" t="n">
        <f aca="false">($AK$5*O66)/12</f>
        <v>57124.4750776953</v>
      </c>
      <c r="AL66" s="425" t="n">
        <f aca="false">($AL$5*O66)/12</f>
        <v>145667.411448123</v>
      </c>
      <c r="AM66" s="425" t="n">
        <f aca="false">AD66*$AM$5*1000*O66</f>
        <v>0</v>
      </c>
      <c r="AN66" s="425" t="n">
        <f aca="false">(($AN$5*O66)/12)*$S$4</f>
        <v>130624.633010997</v>
      </c>
      <c r="AO66" s="425" t="n">
        <f aca="false">($AO$5*O66)/12</f>
        <v>28562.2375388477</v>
      </c>
      <c r="AP66" s="425" t="n">
        <f aca="false">AP65</f>
        <v>46500.5582152336</v>
      </c>
      <c r="AQ66" s="433" t="n">
        <f aca="false">SUM(AK66:AP66)</f>
        <v>408479.315290896</v>
      </c>
      <c r="AR66" s="425" t="n">
        <f aca="false">($AR$5*O66)/12</f>
        <v>14281.1187694238</v>
      </c>
      <c r="AS66" s="433" t="n">
        <f aca="false">AS65</f>
        <v>30387.755</v>
      </c>
      <c r="AT66" s="425" t="n">
        <f aca="false">(AI66/100)*$AT$6*O66</f>
        <v>0</v>
      </c>
      <c r="AU66" s="433" t="n">
        <f aca="false">SUM(AJ66:AT66)-AQ66</f>
        <v>453148.18906032</v>
      </c>
      <c r="AV66" s="433" t="n">
        <f aca="false">AI66-AU66</f>
        <v>-453148.18906032</v>
      </c>
      <c r="AW66" s="493"/>
      <c r="AX66" s="423" t="n">
        <f aca="false">K66</f>
        <v>38322</v>
      </c>
      <c r="AY66" s="425" t="n">
        <f aca="false">'Debt Amortization'!L8</f>
        <v>3054181.19426523</v>
      </c>
      <c r="AZ66" s="425" t="n">
        <f aca="false">AY66*N66</f>
        <v>2153389.39282098</v>
      </c>
      <c r="BA66" s="126"/>
      <c r="BB66" s="481" t="n">
        <f aca="false">X66</f>
        <v>28.4999996185303</v>
      </c>
      <c r="BC66" s="481" t="n">
        <f aca="false">'Curve Analysis - Base Case'!D58</f>
        <v>48.217935554832</v>
      </c>
      <c r="BD66" s="479" t="n">
        <f aca="false">L66</f>
        <v>0.073136314570109</v>
      </c>
      <c r="BE66" s="479" t="n">
        <f aca="false">L66</f>
        <v>0.073136314570109</v>
      </c>
      <c r="BF66" s="489" t="n">
        <f aca="false">PJM_01212000!X66</f>
        <v>0.111672</v>
      </c>
      <c r="BG66" s="425" t="n">
        <f aca="false">(AX66+15)-$K$1</f>
        <v>1748</v>
      </c>
      <c r="BH66" s="433" t="n">
        <f aca="false">AD66</f>
        <v>0</v>
      </c>
      <c r="BJ66" s="486" t="e">
        <f aca="false">EURO(BB66,BC66,BD66,BE66,BF66,BG66,1,0)*BH66</f>
        <v>#NAME?</v>
      </c>
      <c r="BK66" s="433" t="n">
        <f aca="false">(AI66-AJ66)*N66</f>
        <v>0</v>
      </c>
      <c r="BM66" s="433" t="e">
        <f aca="false">BJ66-BK66</f>
        <v>#NAME?</v>
      </c>
    </row>
    <row r="67" customFormat="false" ht="16.5" hidden="false" customHeight="false" outlineLevel="0" collapsed="false">
      <c r="A67" s="59" t="n">
        <f aca="false">A66+1</f>
        <v>61</v>
      </c>
      <c r="C67" s="59" t="n">
        <v>31</v>
      </c>
      <c r="D67" s="59" t="s">
        <v>164</v>
      </c>
      <c r="E67" s="125" t="n">
        <f aca="false">E66+C66</f>
        <v>38353</v>
      </c>
      <c r="F67" s="425" t="n">
        <f aca="false">F19</f>
        <v>23</v>
      </c>
      <c r="G67" s="433" t="n">
        <f aca="false">C67-F67</f>
        <v>8</v>
      </c>
      <c r="H67" s="433"/>
      <c r="I67" s="433"/>
      <c r="J67" s="59" t="n">
        <f aca="false">K68-K67</f>
        <v>31</v>
      </c>
      <c r="K67" s="478" t="n">
        <v>38353</v>
      </c>
      <c r="L67" s="490" t="n">
        <v>0.073195154875478</v>
      </c>
      <c r="M67" s="491" t="n">
        <v>0.065946459160781</v>
      </c>
      <c r="N67" s="480" t="n">
        <f aca="false">(1+L67/2)^(-2*((K67+$T$1)-$K$1)/365.25)</f>
        <v>0.700580516261328</v>
      </c>
      <c r="O67" s="127" t="n">
        <f aca="false">VLOOKUP(K67,Inflation!$B$8:$C$266,2)</f>
        <v>1.14502882990358</v>
      </c>
      <c r="P67" s="480"/>
      <c r="Q67" s="481" t="n">
        <f aca="false">VLOOKUP(K67,'Fuel Curve'!$B$11:$F$268,5)</f>
        <v>4.73448275862069</v>
      </c>
      <c r="R67" s="482" t="n">
        <f aca="false">VLOOKUP(K67,'Fuel Curve Simulation'!$B$12:$J$258,9)</f>
        <v>4.73448275862069</v>
      </c>
      <c r="S67" s="481" t="n">
        <f aca="false">(R67*$S$2)/1000</f>
        <v>45.3516103448276</v>
      </c>
      <c r="T67" s="483"/>
      <c r="V67" s="128" t="n">
        <f aca="false">VLOOKUP(K67,PJM_01212000!$A$7:$C$259,3)</f>
        <v>37.3249984741211</v>
      </c>
      <c r="W67" s="128"/>
      <c r="X67" s="484" t="n">
        <f aca="false">'PJM Curve Simulation'!J67</f>
        <v>37.3249984741211</v>
      </c>
      <c r="Y67" s="489"/>
      <c r="Z67" s="483"/>
      <c r="AA67" s="59" t="n">
        <f aca="false">AA66</f>
        <v>315</v>
      </c>
      <c r="AB67" s="425" t="n">
        <f aca="false">AA67*F67*16</f>
        <v>115920</v>
      </c>
      <c r="AC67" s="425" t="n">
        <f aca="false">VLOOKUP(K67,'Company Volumes'!$B$20:$C$259,2)</f>
        <v>16643.5579708751</v>
      </c>
      <c r="AD67" s="485" t="n">
        <f aca="false">IF(V67&gt;S67+($AM$5*1000*O67),AA67*F67*16,0)</f>
        <v>0</v>
      </c>
      <c r="AE67" s="425"/>
      <c r="AF67" s="425" t="n">
        <v>0</v>
      </c>
      <c r="AG67" s="425" t="n">
        <v>0</v>
      </c>
      <c r="AH67" s="425" t="n">
        <f aca="false">X67*AD67</f>
        <v>0</v>
      </c>
      <c r="AI67" s="425" t="n">
        <f aca="false">SUM(AF67:AH67)</f>
        <v>0</v>
      </c>
      <c r="AJ67" s="425" t="n">
        <f aca="false">(AD67*1000*$S$2)/1000000*R67</f>
        <v>0</v>
      </c>
      <c r="AK67" s="425" t="n">
        <f aca="false">($AK$5*O67)/12</f>
        <v>57251.4414951788</v>
      </c>
      <c r="AL67" s="425" t="n">
        <f aca="false">($AL$5*O67)/12</f>
        <v>145991.175812706</v>
      </c>
      <c r="AM67" s="425" t="n">
        <f aca="false">AD67*$AM$5*1000*O67</f>
        <v>0</v>
      </c>
      <c r="AN67" s="425" t="n">
        <f aca="false">(($AN$5*O67)/12)*$S$4</f>
        <v>130914.962885642</v>
      </c>
      <c r="AO67" s="425" t="n">
        <f aca="false">($AO$5*O67)/12</f>
        <v>28625.7207475894</v>
      </c>
      <c r="AP67" s="425" t="n">
        <f aca="false">AP66</f>
        <v>46500.5582152336</v>
      </c>
      <c r="AQ67" s="433" t="n">
        <f aca="false">SUM(AK67:AP67)</f>
        <v>409283.85915635</v>
      </c>
      <c r="AR67" s="425" t="n">
        <f aca="false">($AR$5*O67)/12</f>
        <v>14312.8603737947</v>
      </c>
      <c r="AS67" s="433" t="n">
        <f aca="false">AS66</f>
        <v>30387.755</v>
      </c>
      <c r="AT67" s="425" t="n">
        <f aca="false">(AI67/100)*$AT$6*O67</f>
        <v>0</v>
      </c>
      <c r="AU67" s="433" t="n">
        <f aca="false">SUM(AJ67:AT67)-AQ67</f>
        <v>453984.474530145</v>
      </c>
      <c r="AV67" s="433" t="n">
        <f aca="false">AI67-AU67</f>
        <v>-453984.474530145</v>
      </c>
      <c r="AW67" s="493"/>
      <c r="AX67" s="423" t="n">
        <f aca="false">K67</f>
        <v>38353</v>
      </c>
      <c r="BA67" s="126"/>
      <c r="BB67" s="481" t="n">
        <f aca="false">X67</f>
        <v>37.3249984741211</v>
      </c>
      <c r="BC67" s="481" t="n">
        <f aca="false">'Curve Analysis - Base Case'!D59</f>
        <v>47.6416680046347</v>
      </c>
      <c r="BD67" s="479" t="n">
        <f aca="false">L67</f>
        <v>0.073195154875478</v>
      </c>
      <c r="BE67" s="479" t="n">
        <f aca="false">L67</f>
        <v>0.073195154875478</v>
      </c>
      <c r="BF67" s="489" t="n">
        <f aca="false">PJM_01212000!X67</f>
        <v>0.171528192</v>
      </c>
      <c r="BG67" s="425" t="n">
        <f aca="false">(AX67+15)-$K$1</f>
        <v>1779</v>
      </c>
      <c r="BH67" s="433" t="n">
        <f aca="false">AD67</f>
        <v>0</v>
      </c>
      <c r="BJ67" s="486" t="e">
        <f aca="false">EURO(BB67,BC67,BD67,BE67,BF67,BG67,1,0)*BH67</f>
        <v>#NAME?</v>
      </c>
      <c r="BK67" s="433" t="n">
        <f aca="false">(AI67-AJ67)*N67</f>
        <v>0</v>
      </c>
      <c r="BM67" s="433" t="e">
        <f aca="false">BJ67-BK67</f>
        <v>#NAME?</v>
      </c>
    </row>
    <row r="68" customFormat="false" ht="16.5" hidden="false" customHeight="false" outlineLevel="0" collapsed="false">
      <c r="A68" s="59" t="n">
        <f aca="false">A67+1</f>
        <v>62</v>
      </c>
      <c r="C68" s="59" t="n">
        <v>28</v>
      </c>
      <c r="D68" s="59" t="s">
        <v>165</v>
      </c>
      <c r="E68" s="125" t="n">
        <f aca="false">E67+C67</f>
        <v>38384</v>
      </c>
      <c r="F68" s="425" t="n">
        <f aca="false">F20</f>
        <v>20</v>
      </c>
      <c r="G68" s="433" t="n">
        <f aca="false">C68-F68</f>
        <v>8</v>
      </c>
      <c r="H68" s="433"/>
      <c r="I68" s="433"/>
      <c r="J68" s="59" t="n">
        <f aca="false">K69-K68</f>
        <v>28</v>
      </c>
      <c r="K68" s="478" t="n">
        <v>38384</v>
      </c>
      <c r="L68" s="490" t="n">
        <v>0.073253995182</v>
      </c>
      <c r="M68" s="491" t="n">
        <v>0.065933223095356</v>
      </c>
      <c r="N68" s="480" t="n">
        <f aca="false">(1+L68/2)^(-2*((K68+$T$1)-$K$1)/365.25)</f>
        <v>0.696120074888368</v>
      </c>
      <c r="O68" s="127" t="n">
        <f aca="false">VLOOKUP(K68,Inflation!$B$8:$C$266,2)</f>
        <v>1.14757380223375</v>
      </c>
      <c r="P68" s="480"/>
      <c r="Q68" s="481" t="n">
        <f aca="false">VLOOKUP(K68,'Fuel Curve'!$B$11:$F$268,5)</f>
        <v>4.63155172413793</v>
      </c>
      <c r="R68" s="482" t="n">
        <f aca="false">VLOOKUP(K68,'Fuel Curve Simulation'!$B$12:$J$258,9)</f>
        <v>4.63155172413793</v>
      </c>
      <c r="S68" s="481" t="n">
        <f aca="false">(R68*$S$2)/1000</f>
        <v>44.3656339655173</v>
      </c>
      <c r="T68" s="483"/>
      <c r="V68" s="128" t="n">
        <f aca="false">VLOOKUP(K68,PJM_01212000!$A$7:$C$259,3)</f>
        <v>37.3249984741211</v>
      </c>
      <c r="W68" s="128"/>
      <c r="X68" s="484" t="n">
        <f aca="false">'PJM Curve Simulation'!J68</f>
        <v>37.3249984741211</v>
      </c>
      <c r="Y68" s="489"/>
      <c r="Z68" s="483"/>
      <c r="AA68" s="59" t="n">
        <f aca="false">AA67</f>
        <v>315</v>
      </c>
      <c r="AB68" s="425" t="n">
        <f aca="false">AA68*F68*16</f>
        <v>100800</v>
      </c>
      <c r="AC68" s="425" t="n">
        <f aca="false">VLOOKUP(K68,'Company Volumes'!$B$20:$C$259,2)</f>
        <v>761.887923007555</v>
      </c>
      <c r="AD68" s="485" t="n">
        <f aca="false">IF(V68&gt;S68+($AM$5*1000*O68),AA68*F68*16,0)</f>
        <v>0</v>
      </c>
      <c r="AE68" s="425"/>
      <c r="AF68" s="425" t="n">
        <v>0</v>
      </c>
      <c r="AG68" s="425" t="n">
        <v>0</v>
      </c>
      <c r="AH68" s="425" t="n">
        <f aca="false">X68*AD68</f>
        <v>0</v>
      </c>
      <c r="AI68" s="425" t="n">
        <f aca="false">SUM(AF68:AH68)</f>
        <v>0</v>
      </c>
      <c r="AJ68" s="425" t="n">
        <f aca="false">(AD68*1000*$S$2)/1000000*R68</f>
        <v>0</v>
      </c>
      <c r="AK68" s="425" t="n">
        <f aca="false">($AK$5*O68)/12</f>
        <v>57378.6901116873</v>
      </c>
      <c r="AL68" s="425" t="n">
        <f aca="false">($AL$5*O68)/12</f>
        <v>146315.659784803</v>
      </c>
      <c r="AM68" s="425" t="n">
        <f aca="false">AD68*$AM$5*1000*O68</f>
        <v>0</v>
      </c>
      <c r="AN68" s="425" t="n">
        <f aca="false">(($AN$5*O68)/12)*$S$4</f>
        <v>131205.938055392</v>
      </c>
      <c r="AO68" s="425" t="n">
        <f aca="false">($AO$5*O68)/12</f>
        <v>28689.3450558437</v>
      </c>
      <c r="AP68" s="425" t="n">
        <f aca="false">AP67</f>
        <v>46500.5582152336</v>
      </c>
      <c r="AQ68" s="433" t="n">
        <f aca="false">SUM(AK68:AP68)</f>
        <v>410090.191222959</v>
      </c>
      <c r="AR68" s="425" t="n">
        <f aca="false">($AR$5*O68)/12</f>
        <v>14344.6725279218</v>
      </c>
      <c r="AS68" s="433" t="n">
        <f aca="false">AS67</f>
        <v>30387.755</v>
      </c>
      <c r="AT68" s="425" t="n">
        <f aca="false">(AI68/100)*$AT$6*O68</f>
        <v>0</v>
      </c>
      <c r="AU68" s="433" t="n">
        <f aca="false">SUM(AJ68:AT68)-AQ68</f>
        <v>454822.618750881</v>
      </c>
      <c r="AV68" s="433" t="n">
        <f aca="false">AI68-AU68</f>
        <v>-454822.618750881</v>
      </c>
      <c r="AW68" s="493"/>
      <c r="AX68" s="423" t="n">
        <f aca="false">K68</f>
        <v>38384</v>
      </c>
      <c r="BA68" s="126"/>
      <c r="BB68" s="481" t="n">
        <f aca="false">X68</f>
        <v>37.3249984741211</v>
      </c>
      <c r="BC68" s="481" t="n">
        <f aca="false">'Curve Analysis - Base Case'!D60</f>
        <v>46.6607815699847</v>
      </c>
      <c r="BD68" s="479" t="n">
        <f aca="false">L68</f>
        <v>0.073253995182</v>
      </c>
      <c r="BE68" s="479" t="n">
        <f aca="false">L68</f>
        <v>0.073253995182</v>
      </c>
      <c r="BF68" s="489" t="n">
        <f aca="false">PJM_01212000!X68</f>
        <v>0.171528192</v>
      </c>
      <c r="BG68" s="425" t="n">
        <f aca="false">(AX68+15)-$K$1</f>
        <v>1810</v>
      </c>
      <c r="BH68" s="433" t="n">
        <f aca="false">AD68</f>
        <v>0</v>
      </c>
      <c r="BJ68" s="486" t="e">
        <f aca="false">EURO(BB68,BC68,BD68,BE68,BF68,BG68,1,0)*BH68</f>
        <v>#NAME?</v>
      </c>
      <c r="BK68" s="433" t="n">
        <f aca="false">(AI68-AJ68)*N68</f>
        <v>0</v>
      </c>
      <c r="BM68" s="433" t="e">
        <f aca="false">BJ68-BK68</f>
        <v>#NAME?</v>
      </c>
    </row>
    <row r="69" customFormat="false" ht="16.5" hidden="false" customHeight="false" outlineLevel="0" collapsed="false">
      <c r="A69" s="59" t="n">
        <f aca="false">A68+1</f>
        <v>63</v>
      </c>
      <c r="C69" s="59" t="n">
        <v>31</v>
      </c>
      <c r="D69" s="59" t="s">
        <v>166</v>
      </c>
      <c r="E69" s="125" t="n">
        <f aca="false">E68+C68</f>
        <v>38412</v>
      </c>
      <c r="F69" s="425" t="n">
        <f aca="false">F21</f>
        <v>22</v>
      </c>
      <c r="G69" s="433" t="n">
        <f aca="false">C69-F69</f>
        <v>9</v>
      </c>
      <c r="H69" s="433"/>
      <c r="I69" s="433"/>
      <c r="J69" s="59" t="n">
        <f aca="false">K70-K69</f>
        <v>31</v>
      </c>
      <c r="K69" s="478" t="n">
        <v>38412</v>
      </c>
      <c r="L69" s="490" t="n">
        <v>0.073307141266274</v>
      </c>
      <c r="M69" s="491" t="n">
        <v>0.065921267940538</v>
      </c>
      <c r="N69" s="480" t="n">
        <f aca="false">(1+L69/2)^(-2*((K69+$T$1)-$K$1)/365.25)</f>
        <v>0.692109976456308</v>
      </c>
      <c r="O69" s="127" t="n">
        <f aca="false">VLOOKUP(K69,Inflation!$B$8:$C$266,2)</f>
        <v>1.15012443108888</v>
      </c>
      <c r="P69" s="480"/>
      <c r="Q69" s="481" t="n">
        <f aca="false">VLOOKUP(K69,'Fuel Curve'!$B$11:$F$268,5)</f>
        <v>4.5301724137931</v>
      </c>
      <c r="R69" s="482" t="n">
        <f aca="false">VLOOKUP(K69,'Fuel Curve Simulation'!$B$12:$J$258,9)</f>
        <v>4.5301724137931</v>
      </c>
      <c r="S69" s="481" t="n">
        <f aca="false">(R69*$S$2)/1000</f>
        <v>43.3945215517242</v>
      </c>
      <c r="T69" s="483"/>
      <c r="V69" s="128" t="n">
        <f aca="false">VLOOKUP(K69,PJM_01212000!$A$7:$C$259,3)</f>
        <v>27.0500007629395</v>
      </c>
      <c r="W69" s="128"/>
      <c r="X69" s="484" t="n">
        <f aca="false">'PJM Curve Simulation'!J69</f>
        <v>27.0500007629395</v>
      </c>
      <c r="Y69" s="489"/>
      <c r="Z69" s="483"/>
      <c r="AA69" s="59" t="n">
        <f aca="false">AA68</f>
        <v>315</v>
      </c>
      <c r="AB69" s="425" t="n">
        <f aca="false">AA69*F69*16</f>
        <v>110880</v>
      </c>
      <c r="AC69" s="425" t="n">
        <f aca="false">VLOOKUP(K69,'Company Volumes'!$B$20:$C$259,2)</f>
        <v>761.887923007555</v>
      </c>
      <c r="AD69" s="485" t="n">
        <f aca="false">IF(V69&gt;S69+($AM$5*1000*O69),AA69*F69*16,0)</f>
        <v>0</v>
      </c>
      <c r="AE69" s="425"/>
      <c r="AF69" s="425" t="n">
        <v>0</v>
      </c>
      <c r="AG69" s="425" t="n">
        <v>0</v>
      </c>
      <c r="AH69" s="425" t="n">
        <f aca="false">X69*AD69</f>
        <v>0</v>
      </c>
      <c r="AI69" s="425" t="n">
        <f aca="false">SUM(AF69:AH69)</f>
        <v>0</v>
      </c>
      <c r="AJ69" s="425" t="n">
        <f aca="false">(AD69*1000*$S$2)/1000000*R69</f>
        <v>0</v>
      </c>
      <c r="AK69" s="425" t="n">
        <f aca="false">($AK$5*O69)/12</f>
        <v>57506.221554444</v>
      </c>
      <c r="AL69" s="425" t="n">
        <f aca="false">($AL$5*O69)/12</f>
        <v>146640.864963832</v>
      </c>
      <c r="AM69" s="425" t="n">
        <f aca="false">AD69*$AM$5*1000*O69</f>
        <v>0</v>
      </c>
      <c r="AN69" s="425" t="n">
        <f aca="false">(($AN$5*O69)/12)*$S$4</f>
        <v>131497.559954495</v>
      </c>
      <c r="AO69" s="425" t="n">
        <f aca="false">($AO$5*O69)/12</f>
        <v>28753.110777222</v>
      </c>
      <c r="AP69" s="425" t="n">
        <f aca="false">AP68</f>
        <v>46500.5582152336</v>
      </c>
      <c r="AQ69" s="433" t="n">
        <f aca="false">SUM(AK69:AP69)</f>
        <v>410898.315465227</v>
      </c>
      <c r="AR69" s="425" t="n">
        <f aca="false">($AR$5*O69)/12</f>
        <v>14376.555388611</v>
      </c>
      <c r="AS69" s="433" t="n">
        <f aca="false">AS68</f>
        <v>30387.755</v>
      </c>
      <c r="AT69" s="425" t="n">
        <f aca="false">(AI69/100)*$AT$6*O69</f>
        <v>0</v>
      </c>
      <c r="AU69" s="433" t="n">
        <f aca="false">SUM(AJ69:AT69)-AQ69</f>
        <v>455662.625853838</v>
      </c>
      <c r="AV69" s="433" t="n">
        <f aca="false">AI69-AU69</f>
        <v>-455662.625853838</v>
      </c>
      <c r="AW69" s="493"/>
      <c r="AX69" s="423" t="n">
        <f aca="false">K69</f>
        <v>38412</v>
      </c>
      <c r="BA69" s="126"/>
      <c r="BB69" s="481" t="n">
        <f aca="false">X69</f>
        <v>27.0500007629395</v>
      </c>
      <c r="BC69" s="481" t="n">
        <f aca="false">'Curve Analysis - Base Case'!D61</f>
        <v>45.6947704139019</v>
      </c>
      <c r="BD69" s="479" t="n">
        <f aca="false">L69</f>
        <v>0.073307141266274</v>
      </c>
      <c r="BE69" s="479" t="n">
        <f aca="false">L69</f>
        <v>0.073307141266274</v>
      </c>
      <c r="BF69" s="489" t="n">
        <f aca="false">PJM_01212000!X69</f>
        <v>0.14294016</v>
      </c>
      <c r="BG69" s="425" t="n">
        <f aca="false">(AX69+15)-$K$1</f>
        <v>1838</v>
      </c>
      <c r="BH69" s="433" t="n">
        <f aca="false">AD69</f>
        <v>0</v>
      </c>
      <c r="BJ69" s="486" t="e">
        <f aca="false">EURO(BB69,BC69,BD69,BE69,BF69,BG69,1,0)*BH69</f>
        <v>#NAME?</v>
      </c>
      <c r="BK69" s="433" t="n">
        <f aca="false">(AI69-AJ69)*N69</f>
        <v>0</v>
      </c>
      <c r="BM69" s="433" t="e">
        <f aca="false">BJ69-BK69</f>
        <v>#NAME?</v>
      </c>
    </row>
    <row r="70" customFormat="false" ht="16.5" hidden="false" customHeight="false" outlineLevel="0" collapsed="false">
      <c r="A70" s="59" t="n">
        <f aca="false">A69+1</f>
        <v>64</v>
      </c>
      <c r="C70" s="59" t="n">
        <v>30</v>
      </c>
      <c r="D70" s="59" t="s">
        <v>167</v>
      </c>
      <c r="E70" s="125" t="n">
        <f aca="false">E69+C69</f>
        <v>38443</v>
      </c>
      <c r="F70" s="425" t="n">
        <f aca="false">F22</f>
        <v>21</v>
      </c>
      <c r="G70" s="433" t="n">
        <f aca="false">C70-F70</f>
        <v>9</v>
      </c>
      <c r="H70" s="433"/>
      <c r="I70" s="433"/>
      <c r="J70" s="59" t="n">
        <f aca="false">K71-K70</f>
        <v>30</v>
      </c>
      <c r="K70" s="478" t="n">
        <v>38443</v>
      </c>
      <c r="L70" s="490" t="n">
        <v>0.073338081657494</v>
      </c>
      <c r="M70" s="491" t="n">
        <v>0.065908031877433</v>
      </c>
      <c r="N70" s="480" t="n">
        <f aca="false">(1+L70/2)^(-2*((K70+$T$1)-$K$1)/365.25)</f>
        <v>0.687787046266005</v>
      </c>
      <c r="O70" s="127" t="n">
        <f aca="false">VLOOKUP(K70,Inflation!$B$8:$C$266,2)</f>
        <v>1.15268072904133</v>
      </c>
      <c r="P70" s="480"/>
      <c r="Q70" s="481" t="n">
        <f aca="false">VLOOKUP(K70,'Fuel Curve'!$B$11:$F$268,5)</f>
        <v>4.42586206896552</v>
      </c>
      <c r="R70" s="482" t="n">
        <f aca="false">VLOOKUP(K70,'Fuel Curve Simulation'!$B$12:$J$258,9)</f>
        <v>4.42586206896552</v>
      </c>
      <c r="S70" s="481" t="n">
        <f aca="false">(R70*$S$2)/1000</f>
        <v>42.3953327586207</v>
      </c>
      <c r="T70" s="483"/>
      <c r="V70" s="128" t="n">
        <f aca="false">VLOOKUP(K70,PJM_01212000!$A$7:$C$259,3)</f>
        <v>26.8250007629395</v>
      </c>
      <c r="W70" s="128"/>
      <c r="X70" s="484" t="n">
        <f aca="false">'PJM Curve Simulation'!J70</f>
        <v>26.8250007629395</v>
      </c>
      <c r="Y70" s="489"/>
      <c r="Z70" s="483"/>
      <c r="AA70" s="59" t="n">
        <f aca="false">AA69</f>
        <v>315</v>
      </c>
      <c r="AB70" s="425" t="n">
        <f aca="false">AA70*F70*16</f>
        <v>105840</v>
      </c>
      <c r="AC70" s="425" t="n">
        <f aca="false">VLOOKUP(K70,'Company Volumes'!$B$20:$C$259,2)</f>
        <v>9170.66669754355</v>
      </c>
      <c r="AD70" s="485" t="n">
        <f aca="false">IF(V70&gt;S70+($AM$5*1000*O70),AA70*F70*16,0)</f>
        <v>0</v>
      </c>
      <c r="AE70" s="425"/>
      <c r="AF70" s="425" t="n">
        <v>0</v>
      </c>
      <c r="AG70" s="425" t="n">
        <v>0</v>
      </c>
      <c r="AH70" s="425" t="n">
        <f aca="false">X70*AD70</f>
        <v>0</v>
      </c>
      <c r="AI70" s="425" t="n">
        <f aca="false">SUM(AF70:AH70)</f>
        <v>0</v>
      </c>
      <c r="AJ70" s="425" t="n">
        <f aca="false">(AD70*1000*$S$2)/1000000*R70</f>
        <v>0</v>
      </c>
      <c r="AK70" s="425" t="n">
        <f aca="false">($AK$5*O70)/12</f>
        <v>57634.0364520663</v>
      </c>
      <c r="AL70" s="425" t="n">
        <f aca="false">($AL$5*O70)/12</f>
        <v>146966.792952769</v>
      </c>
      <c r="AM70" s="425" t="n">
        <f aca="false">AD70*$AM$5*1000*O70</f>
        <v>0</v>
      </c>
      <c r="AN70" s="425" t="n">
        <f aca="false">(($AN$5*O70)/12)*$S$4</f>
        <v>131789.830020392</v>
      </c>
      <c r="AO70" s="425" t="n">
        <f aca="false">($AO$5*O70)/12</f>
        <v>28817.0182260331</v>
      </c>
      <c r="AP70" s="425" t="n">
        <f aca="false">AP69</f>
        <v>46500.5582152336</v>
      </c>
      <c r="AQ70" s="433" t="n">
        <f aca="false">SUM(AK70:AP70)</f>
        <v>411708.235866494</v>
      </c>
      <c r="AR70" s="425" t="n">
        <f aca="false">($AR$5*O70)/12</f>
        <v>14408.5091130166</v>
      </c>
      <c r="AS70" s="433" t="n">
        <f aca="false">AS69</f>
        <v>30387.755</v>
      </c>
      <c r="AT70" s="425" t="n">
        <f aca="false">(AI70/100)*$AT$6*O70</f>
        <v>0</v>
      </c>
      <c r="AU70" s="433" t="n">
        <f aca="false">SUM(AJ70:AT70)-AQ70</f>
        <v>456504.49997951</v>
      </c>
      <c r="AV70" s="433" t="n">
        <f aca="false">AI70-AU70</f>
        <v>-456504.49997951</v>
      </c>
      <c r="AW70" s="493"/>
      <c r="AX70" s="423" t="n">
        <f aca="false">K70</f>
        <v>38443</v>
      </c>
      <c r="BA70" s="126"/>
      <c r="BB70" s="481" t="n">
        <f aca="false">X70</f>
        <v>26.8250007629395</v>
      </c>
      <c r="BC70" s="481" t="n">
        <f aca="false">'Curve Analysis - Base Case'!D62</f>
        <v>44.7006942167033</v>
      </c>
      <c r="BD70" s="479" t="n">
        <f aca="false">L70</f>
        <v>0.073338081657494</v>
      </c>
      <c r="BE70" s="479" t="n">
        <f aca="false">L70</f>
        <v>0.073338081657494</v>
      </c>
      <c r="BF70" s="489" t="n">
        <f aca="false">PJM_01212000!X70</f>
        <v>0.135793152</v>
      </c>
      <c r="BG70" s="425" t="n">
        <f aca="false">(AX70+15)-$K$1</f>
        <v>1869</v>
      </c>
      <c r="BH70" s="433" t="n">
        <f aca="false">AD70</f>
        <v>0</v>
      </c>
      <c r="BJ70" s="486" t="e">
        <f aca="false">EURO(BB70,BC70,BD70,BE70,BF70,BG70,1,0)*BH70</f>
        <v>#NAME?</v>
      </c>
      <c r="BK70" s="433" t="n">
        <f aca="false">(AI70-AJ70)*N70</f>
        <v>0</v>
      </c>
      <c r="BM70" s="433" t="e">
        <f aca="false">BJ70-BK70</f>
        <v>#NAME?</v>
      </c>
    </row>
    <row r="71" customFormat="false" ht="16.5" hidden="false" customHeight="false" outlineLevel="0" collapsed="false">
      <c r="A71" s="59" t="n">
        <f aca="false">A70+1</f>
        <v>65</v>
      </c>
      <c r="C71" s="59" t="n">
        <v>31</v>
      </c>
      <c r="D71" s="59" t="s">
        <v>29</v>
      </c>
      <c r="E71" s="125" t="n">
        <f aca="false">E70+C70</f>
        <v>38473</v>
      </c>
      <c r="F71" s="425" t="n">
        <f aca="false">F23</f>
        <v>23</v>
      </c>
      <c r="G71" s="433" t="n">
        <f aca="false">C71-F71</f>
        <v>8</v>
      </c>
      <c r="H71" s="433"/>
      <c r="I71" s="433"/>
      <c r="J71" s="59" t="n">
        <f aca="false">K72-K71</f>
        <v>31</v>
      </c>
      <c r="K71" s="478" t="n">
        <v>38473</v>
      </c>
      <c r="L71" s="490" t="n">
        <v>0.073361543991021</v>
      </c>
      <c r="M71" s="491" t="n">
        <v>0.065895222785267</v>
      </c>
      <c r="N71" s="480" t="n">
        <f aca="false">(1+L71/2)^(-2*((K71+$T$1)-$K$1)/365.25)</f>
        <v>0.683648536096482</v>
      </c>
      <c r="O71" s="127" t="n">
        <f aca="false">VLOOKUP(K71,Inflation!$B$8:$C$266,2)</f>
        <v>1.15524270869137</v>
      </c>
      <c r="P71" s="480"/>
      <c r="Q71" s="481" t="n">
        <f aca="false">VLOOKUP(K71,'Fuel Curve'!$B$11:$F$268,5)</f>
        <v>4.35431034482759</v>
      </c>
      <c r="R71" s="482" t="n">
        <f aca="false">VLOOKUP(K71,'Fuel Curve Simulation'!$B$12:$J$258,9)</f>
        <v>4.35431034482759</v>
      </c>
      <c r="S71" s="481" t="n">
        <f aca="false">(R71*$S$2)/1000</f>
        <v>41.7099387931035</v>
      </c>
      <c r="T71" s="483"/>
      <c r="V71" s="128" t="n">
        <f aca="false">VLOOKUP(K71,PJM_01212000!$A$7:$C$259,3)</f>
        <v>31.825</v>
      </c>
      <c r="W71" s="128"/>
      <c r="X71" s="484" t="n">
        <f aca="false">'PJM Curve Simulation'!J71</f>
        <v>31.825</v>
      </c>
      <c r="Y71" s="489"/>
      <c r="Z71" s="483"/>
      <c r="AA71" s="59" t="n">
        <f aca="false">AA70</f>
        <v>315</v>
      </c>
      <c r="AB71" s="425" t="n">
        <f aca="false">AA71*F71*16</f>
        <v>115920</v>
      </c>
      <c r="AC71" s="425" t="n">
        <f aca="false">VLOOKUP(K71,'Company Volumes'!$B$20:$C$259,2)</f>
        <v>15970.8764909431</v>
      </c>
      <c r="AD71" s="485" t="n">
        <f aca="false">IF(V71&gt;S71+($AM$5*1000*O71),AA71*F71*16,0)</f>
        <v>0</v>
      </c>
      <c r="AE71" s="425"/>
      <c r="AF71" s="425" t="n">
        <v>0</v>
      </c>
      <c r="AG71" s="425" t="n">
        <v>0</v>
      </c>
      <c r="AH71" s="425" t="n">
        <f aca="false">X71*AD71</f>
        <v>0</v>
      </c>
      <c r="AI71" s="425" t="n">
        <f aca="false">SUM(AF71:AH71)</f>
        <v>0</v>
      </c>
      <c r="AJ71" s="425" t="n">
        <f aca="false">(AD71*1000*$S$2)/1000000*R71</f>
        <v>0</v>
      </c>
      <c r="AK71" s="425" t="n">
        <f aca="false">($AK$5*O71)/12</f>
        <v>57762.1354345686</v>
      </c>
      <c r="AL71" s="425" t="n">
        <f aca="false">($AL$5*O71)/12</f>
        <v>147293.44535815</v>
      </c>
      <c r="AM71" s="425" t="n">
        <f aca="false">AD71*$AM$5*1000*O71</f>
        <v>0</v>
      </c>
      <c r="AN71" s="425" t="n">
        <f aca="false">(($AN$5*O71)/12)*$S$4</f>
        <v>132082.749693714</v>
      </c>
      <c r="AO71" s="425" t="n">
        <f aca="false">($AO$5*O71)/12</f>
        <v>28881.0677172843</v>
      </c>
      <c r="AP71" s="425" t="n">
        <f aca="false">AP70</f>
        <v>46500.5582152336</v>
      </c>
      <c r="AQ71" s="433" t="n">
        <f aca="false">SUM(AK71:AP71)</f>
        <v>412519.95641895</v>
      </c>
      <c r="AR71" s="425" t="n">
        <f aca="false">($AR$5*O71)/12</f>
        <v>14440.5338586422</v>
      </c>
      <c r="AS71" s="433" t="n">
        <f aca="false">AS70</f>
        <v>30387.755</v>
      </c>
      <c r="AT71" s="425" t="n">
        <f aca="false">(AI71/100)*$AT$6*O71</f>
        <v>0</v>
      </c>
      <c r="AU71" s="433" t="n">
        <f aca="false">SUM(AJ71:AT71)-AQ71</f>
        <v>457348.245277592</v>
      </c>
      <c r="AV71" s="433" t="n">
        <f aca="false">AI71-AU71</f>
        <v>-457348.245277592</v>
      </c>
      <c r="AW71" s="493"/>
      <c r="AX71" s="423" t="n">
        <f aca="false">K71</f>
        <v>38473</v>
      </c>
      <c r="BA71" s="126"/>
      <c r="BB71" s="481" t="n">
        <f aca="false">X71</f>
        <v>31.825</v>
      </c>
      <c r="BC71" s="481" t="n">
        <f aca="false">'Curve Analysis - Base Case'!D63</f>
        <v>44.0204242104862</v>
      </c>
      <c r="BD71" s="479" t="n">
        <f aca="false">L71</f>
        <v>0.073361543991021</v>
      </c>
      <c r="BE71" s="479" t="n">
        <f aca="false">L71</f>
        <v>0.073361543991021</v>
      </c>
      <c r="BF71" s="489" t="n">
        <f aca="false">PJM_01212000!X71</f>
        <v>0.150087168</v>
      </c>
      <c r="BG71" s="425" t="n">
        <f aca="false">(AX71+15)-$K$1</f>
        <v>1899</v>
      </c>
      <c r="BH71" s="433" t="n">
        <f aca="false">AD71</f>
        <v>0</v>
      </c>
      <c r="BJ71" s="486" t="e">
        <f aca="false">EURO(BB71,BC71,BD71,BE71,BF71,BG71,1,0)*BH71</f>
        <v>#NAME?</v>
      </c>
      <c r="BK71" s="433" t="n">
        <f aca="false">(AI71-AJ71)*N71</f>
        <v>0</v>
      </c>
      <c r="BM71" s="433" t="e">
        <f aca="false">BJ71-BK71</f>
        <v>#NAME?</v>
      </c>
    </row>
    <row r="72" customFormat="false" ht="16.5" hidden="false" customHeight="false" outlineLevel="0" collapsed="false">
      <c r="A72" s="59" t="n">
        <f aca="false">A71+1</f>
        <v>66</v>
      </c>
      <c r="C72" s="59" t="n">
        <v>30</v>
      </c>
      <c r="D72" s="59" t="s">
        <v>168</v>
      </c>
      <c r="E72" s="125" t="n">
        <f aca="false">E71+C71</f>
        <v>38504</v>
      </c>
      <c r="F72" s="425" t="n">
        <f aca="false">F24</f>
        <v>21</v>
      </c>
      <c r="G72" s="433" t="n">
        <f aca="false">C72-F72</f>
        <v>9</v>
      </c>
      <c r="H72" s="433"/>
      <c r="I72" s="433"/>
      <c r="J72" s="59" t="n">
        <f aca="false">K73-K72</f>
        <v>30</v>
      </c>
      <c r="K72" s="478" t="n">
        <v>38504</v>
      </c>
      <c r="L72" s="490" t="n">
        <v>0.073385788402523</v>
      </c>
      <c r="M72" s="491" t="n">
        <v>0.065881986724561</v>
      </c>
      <c r="N72" s="480" t="n">
        <f aca="false">(1+L72/2)^(-2*((K72+$T$1)-$K$1)/365.25)</f>
        <v>0.679395582160185</v>
      </c>
      <c r="O72" s="127" t="n">
        <f aca="false">VLOOKUP(K72,Inflation!$B$8:$C$266,2)</f>
        <v>1.15781038266732</v>
      </c>
      <c r="P72" s="480"/>
      <c r="Q72" s="481" t="n">
        <f aca="false">VLOOKUP(K72,'Fuel Curve'!$B$11:$F$268,5)</f>
        <v>4.34413793103448</v>
      </c>
      <c r="R72" s="482" t="n">
        <f aca="false">VLOOKUP(K72,'Fuel Curve Simulation'!$B$12:$J$258,9)</f>
        <v>4.34413793103448</v>
      </c>
      <c r="S72" s="481" t="n">
        <f aca="false">(R72*$S$2)/1000</f>
        <v>41.6124972413793</v>
      </c>
      <c r="T72" s="483"/>
      <c r="V72" s="128" t="n">
        <f aca="false">VLOOKUP(K72,PJM_01212000!$A$7:$C$259,3)</f>
        <v>56.3499984741211</v>
      </c>
      <c r="W72" s="128"/>
      <c r="X72" s="484" t="n">
        <f aca="false">'PJM Curve Simulation'!J72</f>
        <v>56.3499984741211</v>
      </c>
      <c r="Y72" s="489"/>
      <c r="Z72" s="483"/>
      <c r="AA72" s="59" t="n">
        <f aca="false">AA71</f>
        <v>315</v>
      </c>
      <c r="AB72" s="425" t="n">
        <f aca="false">AA72*F72*16</f>
        <v>105840</v>
      </c>
      <c r="AC72" s="425" t="n">
        <f aca="false">VLOOKUP(K72,'Company Volumes'!$B$20:$C$259,2)</f>
        <v>30292.1620016151</v>
      </c>
      <c r="AD72" s="485" t="n">
        <f aca="false">IF(V72&gt;S72+($AM$5*1000*O72),AA72*F72*16,0)</f>
        <v>105840</v>
      </c>
      <c r="AE72" s="425"/>
      <c r="AF72" s="425" t="n">
        <v>0</v>
      </c>
      <c r="AG72" s="425" t="n">
        <v>0</v>
      </c>
      <c r="AH72" s="425" t="n">
        <f aca="false">X72*AD72</f>
        <v>5964083.83850098</v>
      </c>
      <c r="AI72" s="425" t="n">
        <f aca="false">SUM(AF72:AH72)</f>
        <v>5964083.83850098</v>
      </c>
      <c r="AJ72" s="425" t="n">
        <f aca="false">(AD72*1000*$S$2)/1000000*R72</f>
        <v>4404266.70802759</v>
      </c>
      <c r="AK72" s="425" t="n">
        <f aca="false">($AK$5*O72)/12</f>
        <v>57890.5191333658</v>
      </c>
      <c r="AL72" s="425" t="n">
        <f aca="false">($AL$5*O72)/12</f>
        <v>147620.823790083</v>
      </c>
      <c r="AM72" s="425" t="n">
        <f aca="false">AD72*$AM$5*1000*O72</f>
        <v>245085.301803018</v>
      </c>
      <c r="AN72" s="425" t="n">
        <f aca="false">(($AN$5*O72)/12)*$S$4</f>
        <v>132376.320418297</v>
      </c>
      <c r="AO72" s="425" t="n">
        <f aca="false">($AO$5*O72)/12</f>
        <v>28945.2595666829</v>
      </c>
      <c r="AP72" s="425" t="n">
        <f aca="false">AP71</f>
        <v>46500.5582152336</v>
      </c>
      <c r="AQ72" s="433" t="n">
        <f aca="false">SUM(AK72:AP72)</f>
        <v>658418.782926679</v>
      </c>
      <c r="AR72" s="425" t="n">
        <f aca="false">($AR$5*O72)/12</f>
        <v>14472.6297833415</v>
      </c>
      <c r="AS72" s="433" t="n">
        <f aca="false">AS71</f>
        <v>30387.755</v>
      </c>
      <c r="AT72" s="425" t="n">
        <f aca="false">(AI72/100)*$AT$6*O72</f>
        <v>41431.6691478886</v>
      </c>
      <c r="AU72" s="433" t="n">
        <f aca="false">SUM(AJ72:AT72)-AQ72</f>
        <v>5148977.5448855</v>
      </c>
      <c r="AV72" s="433" t="n">
        <f aca="false">AI72-AU72</f>
        <v>815106.293615482</v>
      </c>
      <c r="AW72" s="493"/>
      <c r="AX72" s="423" t="n">
        <f aca="false">K72</f>
        <v>38504</v>
      </c>
      <c r="BA72" s="126"/>
      <c r="BB72" s="481" t="n">
        <f aca="false">X72</f>
        <v>56.3499984741211</v>
      </c>
      <c r="BC72" s="481" t="n">
        <f aca="false">'Curve Analysis - Base Case'!D64</f>
        <v>43.928118006714</v>
      </c>
      <c r="BD72" s="479" t="n">
        <f aca="false">L72</f>
        <v>0.073385788402523</v>
      </c>
      <c r="BE72" s="479" t="n">
        <f aca="false">L72</f>
        <v>0.073385788402523</v>
      </c>
      <c r="BF72" s="489" t="n">
        <f aca="false">PJM_01212000!X72</f>
        <v>0.192969216</v>
      </c>
      <c r="BG72" s="425" t="n">
        <f aca="false">(AX72+15)-$K$1</f>
        <v>1930</v>
      </c>
      <c r="BH72" s="433" t="n">
        <f aca="false">AD72</f>
        <v>105840</v>
      </c>
      <c r="BJ72" s="486" t="e">
        <f aca="false">EURO(BB72,BC72,BD72,BE72,BF72,BG72,1,0)*BH72</f>
        <v>#NAME?</v>
      </c>
      <c r="BK72" s="433" t="n">
        <f aca="false">(AI72-AJ72)*N72</f>
        <v>1059732.8674214</v>
      </c>
      <c r="BM72" s="433" t="e">
        <f aca="false">BJ72-BK72</f>
        <v>#NAME?</v>
      </c>
    </row>
    <row r="73" customFormat="false" ht="16.5" hidden="false" customHeight="false" outlineLevel="0" collapsed="false">
      <c r="A73" s="59" t="n">
        <f aca="false">A72+1</f>
        <v>67</v>
      </c>
      <c r="C73" s="59" t="n">
        <v>31</v>
      </c>
      <c r="D73" s="59" t="s">
        <v>169</v>
      </c>
      <c r="E73" s="125" t="n">
        <f aca="false">E72+C72</f>
        <v>38534</v>
      </c>
      <c r="F73" s="425" t="n">
        <f aca="false">F25</f>
        <v>22</v>
      </c>
      <c r="G73" s="433" t="n">
        <f aca="false">C73-F73</f>
        <v>9</v>
      </c>
      <c r="H73" s="433"/>
      <c r="I73" s="433"/>
      <c r="J73" s="59" t="n">
        <f aca="false">K74-K73</f>
        <v>31</v>
      </c>
      <c r="K73" s="478" t="n">
        <v>38534</v>
      </c>
      <c r="L73" s="490" t="n">
        <v>0.073409250736419</v>
      </c>
      <c r="M73" s="491" t="n">
        <v>0.065869177634716</v>
      </c>
      <c r="N73" s="480" t="n">
        <f aca="false">(1+L73/2)^(-2*((K73+$T$1)-$K$1)/365.25)</f>
        <v>0.675302461495294</v>
      </c>
      <c r="O73" s="127" t="n">
        <f aca="false">VLOOKUP(K73,Inflation!$B$8:$C$266,2)</f>
        <v>1.16038376362552</v>
      </c>
      <c r="P73" s="480"/>
      <c r="Q73" s="481" t="n">
        <f aca="false">VLOOKUP(K73,'Fuel Curve'!$B$11:$F$268,5)</f>
        <v>4.39689655172414</v>
      </c>
      <c r="R73" s="482" t="n">
        <f aca="false">VLOOKUP(K73,'Fuel Curve Simulation'!$B$12:$J$258,9)</f>
        <v>4.39689655172414</v>
      </c>
      <c r="S73" s="481" t="n">
        <f aca="false">(R73*$S$2)/1000</f>
        <v>42.1178720689655</v>
      </c>
      <c r="T73" s="483"/>
      <c r="V73" s="128" t="n">
        <f aca="false">VLOOKUP(K73,PJM_01212000!$A$7:$C$259,3)</f>
        <v>95.6999969482422</v>
      </c>
      <c r="W73" s="128"/>
      <c r="X73" s="484" t="n">
        <f aca="false">'PJM Curve Simulation'!J73</f>
        <v>95.6999969482422</v>
      </c>
      <c r="Y73" s="489"/>
      <c r="Z73" s="483"/>
      <c r="AA73" s="59" t="n">
        <f aca="false">AA72</f>
        <v>315</v>
      </c>
      <c r="AB73" s="425" t="n">
        <f aca="false">AA73*F73*16</f>
        <v>110880</v>
      </c>
      <c r="AC73" s="425" t="n">
        <f aca="false">VLOOKUP(K73,'Company Volumes'!$B$20:$C$259,2)</f>
        <v>50413.4087854507</v>
      </c>
      <c r="AD73" s="485" t="n">
        <f aca="false">IF(V73&gt;S73+($AM$5*1000*O73),AA73*F73*16,0)</f>
        <v>110880</v>
      </c>
      <c r="AE73" s="425"/>
      <c r="AF73" s="425" t="n">
        <v>0</v>
      </c>
      <c r="AG73" s="425" t="n">
        <v>0</v>
      </c>
      <c r="AH73" s="425" t="n">
        <f aca="false">X73*AD73</f>
        <v>10611215.6616211</v>
      </c>
      <c r="AI73" s="425" t="n">
        <f aca="false">SUM(AF73:AH73)</f>
        <v>10611215.6616211</v>
      </c>
      <c r="AJ73" s="425" t="n">
        <f aca="false">(AD73*1000*$S$2)/1000000*R73</f>
        <v>4670029.6550069</v>
      </c>
      <c r="AK73" s="425" t="n">
        <f aca="false">($AK$5*O73)/12</f>
        <v>58019.1881812762</v>
      </c>
      <c r="AL73" s="425" t="n">
        <f aca="false">($AL$5*O73)/12</f>
        <v>147948.929862254</v>
      </c>
      <c r="AM73" s="425" t="n">
        <f aca="false">AD73*$AM$5*1000*O73</f>
        <v>257326.703421596</v>
      </c>
      <c r="AN73" s="425" t="n">
        <f aca="false">(($AN$5*O73)/12)*$S$4</f>
        <v>132670.543641185</v>
      </c>
      <c r="AO73" s="425" t="n">
        <f aca="false">($AO$5*O73)/12</f>
        <v>29009.5940906381</v>
      </c>
      <c r="AP73" s="425" t="n">
        <f aca="false">AP72</f>
        <v>46500.5582152336</v>
      </c>
      <c r="AQ73" s="433" t="n">
        <f aca="false">SUM(AK73:AP73)</f>
        <v>671475.517412183</v>
      </c>
      <c r="AR73" s="425" t="n">
        <f aca="false">($AR$5*O73)/12</f>
        <v>14504.797045319</v>
      </c>
      <c r="AS73" s="433" t="n">
        <f aca="false">AS72</f>
        <v>30387.755</v>
      </c>
      <c r="AT73" s="425" t="n">
        <f aca="false">(AI73/100)*$AT$6*O73</f>
        <v>73878.4941964439</v>
      </c>
      <c r="AU73" s="433" t="n">
        <f aca="false">SUM(AJ73:AT73)-AQ73</f>
        <v>5460276.21866084</v>
      </c>
      <c r="AV73" s="433" t="n">
        <f aca="false">AI73-AU73</f>
        <v>5150939.44296025</v>
      </c>
      <c r="AW73" s="493"/>
      <c r="AX73" s="423" t="n">
        <f aca="false">K73</f>
        <v>38534</v>
      </c>
      <c r="BA73" s="126"/>
      <c r="BB73" s="481" t="n">
        <f aca="false">X73</f>
        <v>95.6999969482422</v>
      </c>
      <c r="BC73" s="481" t="n">
        <f aca="false">'Curve Analysis - Base Case'!D65</f>
        <v>44.4386395962166</v>
      </c>
      <c r="BD73" s="479" t="n">
        <f aca="false">L73</f>
        <v>0.073409250736419</v>
      </c>
      <c r="BE73" s="479" t="n">
        <f aca="false">L73</f>
        <v>0.073409250736419</v>
      </c>
      <c r="BF73" s="489" t="n">
        <f aca="false">PJM_01212000!X73</f>
        <v>0.235851264</v>
      </c>
      <c r="BG73" s="425" t="n">
        <f aca="false">(AX73+15)-$K$1</f>
        <v>1960</v>
      </c>
      <c r="BH73" s="433" t="n">
        <f aca="false">AD73</f>
        <v>110880</v>
      </c>
      <c r="BJ73" s="486" t="e">
        <f aca="false">EURO(BB73,BC73,BD73,BE73,BF73,BG73,1,0)*BH73</f>
        <v>#NAME?</v>
      </c>
      <c r="BK73" s="433" t="n">
        <f aca="false">(AI73-AJ73)*N73</f>
        <v>4012097.53446796</v>
      </c>
      <c r="BM73" s="433" t="e">
        <f aca="false">BJ73-BK73</f>
        <v>#NAME?</v>
      </c>
    </row>
    <row r="74" customFormat="false" ht="16.5" hidden="false" customHeight="false" outlineLevel="0" collapsed="false">
      <c r="A74" s="59" t="n">
        <f aca="false">A73+1</f>
        <v>68</v>
      </c>
      <c r="C74" s="59" t="n">
        <v>31</v>
      </c>
      <c r="D74" s="59" t="s">
        <v>170</v>
      </c>
      <c r="E74" s="125" t="n">
        <f aca="false">E73+C73</f>
        <v>38565</v>
      </c>
      <c r="F74" s="425" t="n">
        <f aca="false">F26</f>
        <v>23</v>
      </c>
      <c r="G74" s="433" t="n">
        <f aca="false">C74-F74</f>
        <v>8</v>
      </c>
      <c r="H74" s="433"/>
      <c r="I74" s="433"/>
      <c r="J74" s="59" t="n">
        <f aca="false">K75-K74</f>
        <v>31</v>
      </c>
      <c r="K74" s="478" t="n">
        <v>38565</v>
      </c>
      <c r="L74" s="490" t="n">
        <v>0.073433495148302</v>
      </c>
      <c r="M74" s="491" t="n">
        <v>0.065855941576409</v>
      </c>
      <c r="N74" s="480" t="n">
        <f aca="false">(1+L74/2)^(-2*((K74+$T$1)-$K$1)/365.25)</f>
        <v>0.67109618793239</v>
      </c>
      <c r="O74" s="127" t="n">
        <f aca="false">VLOOKUP(K74,Inflation!$B$8:$C$266,2)</f>
        <v>1.16296286425049</v>
      </c>
      <c r="P74" s="480"/>
      <c r="Q74" s="481" t="n">
        <f aca="false">VLOOKUP(K74,'Fuel Curve'!$B$11:$F$268,5)</f>
        <v>4.48379310344828</v>
      </c>
      <c r="R74" s="482" t="n">
        <f aca="false">VLOOKUP(K74,'Fuel Curve Simulation'!$B$12:$J$258,9)</f>
        <v>4.48379310344828</v>
      </c>
      <c r="S74" s="481" t="n">
        <f aca="false">(R74*$S$2)/1000</f>
        <v>42.950254137931</v>
      </c>
      <c r="T74" s="483"/>
      <c r="V74" s="128" t="n">
        <f aca="false">VLOOKUP(K74,PJM_01212000!$A$7:$C$259,3)</f>
        <v>82.6999969482422</v>
      </c>
      <c r="W74" s="128"/>
      <c r="X74" s="484" t="n">
        <f aca="false">'PJM Curve Simulation'!J74</f>
        <v>82.6999969482422</v>
      </c>
      <c r="Y74" s="489"/>
      <c r="Z74" s="483"/>
      <c r="AA74" s="59" t="n">
        <f aca="false">AA73</f>
        <v>315</v>
      </c>
      <c r="AB74" s="425" t="n">
        <f aca="false">AA74*F74*16</f>
        <v>115920</v>
      </c>
      <c r="AC74" s="425" t="n">
        <f aca="false">VLOOKUP(K74,'Company Volumes'!$B$20:$C$259,2)</f>
        <v>33608.9391903004</v>
      </c>
      <c r="AD74" s="485" t="n">
        <f aca="false">IF(V74&gt;S74+($AM$5*1000*O74),AA74*F74*16,0)</f>
        <v>115920</v>
      </c>
      <c r="AE74" s="425"/>
      <c r="AF74" s="425" t="n">
        <v>0</v>
      </c>
      <c r="AG74" s="425" t="n">
        <v>0</v>
      </c>
      <c r="AH74" s="425" t="n">
        <f aca="false">X74*AD74</f>
        <v>9586583.64624023</v>
      </c>
      <c r="AI74" s="425" t="n">
        <f aca="false">SUM(AF74:AH74)</f>
        <v>9586583.64624023</v>
      </c>
      <c r="AJ74" s="425" t="n">
        <f aca="false">(AD74*1000*$S$2)/1000000*R74</f>
        <v>4978793.45966897</v>
      </c>
      <c r="AK74" s="425" t="n">
        <f aca="false">($AK$5*O74)/12</f>
        <v>58148.1432125243</v>
      </c>
      <c r="AL74" s="425" t="n">
        <f aca="false">($AL$5*O74)/12</f>
        <v>148277.765191937</v>
      </c>
      <c r="AM74" s="425" t="n">
        <f aca="false">AD74*$AM$5*1000*O74</f>
        <v>269621.310447833</v>
      </c>
      <c r="AN74" s="425" t="n">
        <f aca="false">(($AN$5*O74)/12)*$S$4</f>
        <v>132965.420812639</v>
      </c>
      <c r="AO74" s="425" t="n">
        <f aca="false">($AO$5*O74)/12</f>
        <v>29074.0716062621</v>
      </c>
      <c r="AP74" s="425" t="n">
        <f aca="false">AP73</f>
        <v>46500.5582152336</v>
      </c>
      <c r="AQ74" s="433" t="n">
        <f aca="false">SUM(AK74:AP74)</f>
        <v>684587.269486429</v>
      </c>
      <c r="AR74" s="425" t="n">
        <f aca="false">($AR$5*O74)/12</f>
        <v>14537.0358031311</v>
      </c>
      <c r="AS74" s="433" t="n">
        <f aca="false">AS73</f>
        <v>30387.755</v>
      </c>
      <c r="AT74" s="425" t="n">
        <f aca="false">(AI74/100)*$AT$6*O74</f>
        <v>66893.0446536505</v>
      </c>
      <c r="AU74" s="433" t="n">
        <f aca="false">SUM(AJ74:AT74)-AQ74</f>
        <v>5775198.56461218</v>
      </c>
      <c r="AV74" s="433" t="n">
        <f aca="false">AI74-AU74</f>
        <v>3811385.08162806</v>
      </c>
      <c r="AW74" s="493"/>
      <c r="AX74" s="423" t="n">
        <f aca="false">K74</f>
        <v>38565</v>
      </c>
      <c r="BA74" s="126"/>
      <c r="BB74" s="481" t="n">
        <f aca="false">X74</f>
        <v>82.6999969482422</v>
      </c>
      <c r="BC74" s="481" t="n">
        <f aca="false">'Curve Analysis - Base Case'!D66</f>
        <v>45.276179866432</v>
      </c>
      <c r="BD74" s="479" t="n">
        <f aca="false">L74</f>
        <v>0.073433495148302</v>
      </c>
      <c r="BE74" s="479" t="n">
        <f aca="false">L74</f>
        <v>0.073433495148302</v>
      </c>
      <c r="BF74" s="489" t="n">
        <f aca="false">PJM_01212000!X74</f>
        <v>0.235851264</v>
      </c>
      <c r="BG74" s="425" t="n">
        <f aca="false">(AX74+15)-$K$1</f>
        <v>1991</v>
      </c>
      <c r="BH74" s="433" t="n">
        <f aca="false">AD74</f>
        <v>115920</v>
      </c>
      <c r="BJ74" s="486" t="e">
        <f aca="false">EURO(BB74,BC74,BD74,BE74,BF74,BG74,1,0)*BH74</f>
        <v>#NAME?</v>
      </c>
      <c r="BK74" s="433" t="n">
        <f aca="false">(AI74-AJ74)*N74</f>
        <v>3092270.42900026</v>
      </c>
      <c r="BM74" s="433" t="e">
        <f aca="false">BJ74-BK74</f>
        <v>#NAME?</v>
      </c>
    </row>
    <row r="75" customFormat="false" ht="16.5" hidden="false" customHeight="false" outlineLevel="0" collapsed="false">
      <c r="A75" s="59" t="n">
        <f aca="false">A74+1</f>
        <v>69</v>
      </c>
      <c r="C75" s="59" t="n">
        <v>30</v>
      </c>
      <c r="D75" s="59" t="s">
        <v>171</v>
      </c>
      <c r="E75" s="125" t="n">
        <f aca="false">E74+C74</f>
        <v>38596</v>
      </c>
      <c r="F75" s="425" t="n">
        <f aca="false">F27</f>
        <v>20</v>
      </c>
      <c r="G75" s="433" t="n">
        <f aca="false">C75-F75</f>
        <v>10</v>
      </c>
      <c r="H75" s="433"/>
      <c r="I75" s="433"/>
      <c r="J75" s="59" t="n">
        <f aca="false">K76-K75</f>
        <v>30</v>
      </c>
      <c r="K75" s="478" t="n">
        <v>38596</v>
      </c>
      <c r="L75" s="490" t="n">
        <v>0.07345773956038</v>
      </c>
      <c r="M75" s="491" t="n">
        <v>0.065842705519321</v>
      </c>
      <c r="N75" s="480" t="n">
        <f aca="false">(1+L75/2)^(-2*((K75+$T$1)-$K$1)/365.25)</f>
        <v>0.666913467677035</v>
      </c>
      <c r="O75" s="127" t="n">
        <f aca="false">VLOOKUP(K75,Inflation!$B$8:$C$266,2)</f>
        <v>1.16554769725489</v>
      </c>
      <c r="P75" s="480"/>
      <c r="Q75" s="481" t="n">
        <f aca="false">VLOOKUP(K75,'Fuel Curve'!$B$11:$F$268,5)</f>
        <v>4.57431034482759</v>
      </c>
      <c r="R75" s="482" t="n">
        <f aca="false">VLOOKUP(K75,'Fuel Curve Simulation'!$B$12:$J$258,9)</f>
        <v>4.57431034482759</v>
      </c>
      <c r="S75" s="481" t="n">
        <f aca="false">(R75*$S$2)/1000</f>
        <v>43.8173187931035</v>
      </c>
      <c r="T75" s="483"/>
      <c r="V75" s="128" t="n">
        <f aca="false">VLOOKUP(K75,PJM_01212000!$A$7:$C$259,3)</f>
        <v>33.9249984741211</v>
      </c>
      <c r="W75" s="128"/>
      <c r="X75" s="484" t="n">
        <f aca="false">'PJM Curve Simulation'!J75</f>
        <v>33.9249984741211</v>
      </c>
      <c r="Y75" s="489"/>
      <c r="Z75" s="483"/>
      <c r="AA75" s="59" t="n">
        <f aca="false">AA74</f>
        <v>315</v>
      </c>
      <c r="AB75" s="425" t="n">
        <f aca="false">AA75*F75*16</f>
        <v>100800</v>
      </c>
      <c r="AC75" s="425" t="n">
        <f aca="false">VLOOKUP(K75,'Company Volumes'!$B$20:$C$259,2)</f>
        <v>19519.9601564738</v>
      </c>
      <c r="AD75" s="485" t="n">
        <f aca="false">IF(V75&gt;S75+($AM$5*1000*O75),AA75*F75*16,0)</f>
        <v>0</v>
      </c>
      <c r="AE75" s="425"/>
      <c r="AF75" s="425" t="n">
        <v>0</v>
      </c>
      <c r="AG75" s="425" t="n">
        <v>0</v>
      </c>
      <c r="AH75" s="425" t="n">
        <f aca="false">X75*AD75</f>
        <v>0</v>
      </c>
      <c r="AI75" s="425" t="n">
        <f aca="false">SUM(AF75:AH75)</f>
        <v>0</v>
      </c>
      <c r="AJ75" s="425" t="n">
        <f aca="false">(AD75*1000*$S$2)/1000000*R75</f>
        <v>0</v>
      </c>
      <c r="AK75" s="425" t="n">
        <f aca="false">($AK$5*O75)/12</f>
        <v>58277.3848627446</v>
      </c>
      <c r="AL75" s="425" t="n">
        <f aca="false">($AL$5*O75)/12</f>
        <v>148607.331399999</v>
      </c>
      <c r="AM75" s="425" t="n">
        <f aca="false">AD75*$AM$5*1000*O75</f>
        <v>0</v>
      </c>
      <c r="AN75" s="425" t="n">
        <f aca="false">(($AN$5*O75)/12)*$S$4</f>
        <v>133260.953386143</v>
      </c>
      <c r="AO75" s="425" t="n">
        <f aca="false">($AO$5*O75)/12</f>
        <v>29138.6924313723</v>
      </c>
      <c r="AP75" s="425" t="n">
        <f aca="false">AP74</f>
        <v>46500.5582152336</v>
      </c>
      <c r="AQ75" s="433" t="n">
        <f aca="false">SUM(AK75:AP75)</f>
        <v>415784.920295492</v>
      </c>
      <c r="AR75" s="425" t="n">
        <f aca="false">($AR$5*O75)/12</f>
        <v>14569.3462156862</v>
      </c>
      <c r="AS75" s="433" t="n">
        <f aca="false">AS74</f>
        <v>30387.755</v>
      </c>
      <c r="AT75" s="425" t="n">
        <f aca="false">(AI75/100)*$AT$6*O75</f>
        <v>0</v>
      </c>
      <c r="AU75" s="433" t="n">
        <f aca="false">SUM(AJ75:AT75)-AQ75</f>
        <v>460742.021511178</v>
      </c>
      <c r="AV75" s="433" t="n">
        <f aca="false">AI75-AU75</f>
        <v>-460742.021511178</v>
      </c>
      <c r="AW75" s="493"/>
      <c r="AX75" s="423" t="n">
        <f aca="false">K75</f>
        <v>38596</v>
      </c>
      <c r="BA75" s="126"/>
      <c r="BB75" s="481" t="n">
        <f aca="false">X75</f>
        <v>33.9249984741211</v>
      </c>
      <c r="BC75" s="481" t="n">
        <f aca="false">'Curve Analysis - Base Case'!D67</f>
        <v>46.1484141876132</v>
      </c>
      <c r="BD75" s="479" t="n">
        <f aca="false">L75</f>
        <v>0.07345773956038</v>
      </c>
      <c r="BE75" s="479" t="n">
        <f aca="false">L75</f>
        <v>0.07345773956038</v>
      </c>
      <c r="BF75" s="489" t="n">
        <f aca="false">PJM_01212000!X75</f>
        <v>0.1516032</v>
      </c>
      <c r="BG75" s="425" t="n">
        <f aca="false">(AX75+15)-$K$1</f>
        <v>2022</v>
      </c>
      <c r="BH75" s="433" t="n">
        <f aca="false">AD75</f>
        <v>0</v>
      </c>
      <c r="BJ75" s="486" t="e">
        <f aca="false">EURO(BB75,BC75,BD75,BE75,BF75,BG75,1,0)*BH75</f>
        <v>#NAME?</v>
      </c>
      <c r="BK75" s="433" t="n">
        <f aca="false">(AI75-AJ75)*N75</f>
        <v>0</v>
      </c>
      <c r="BM75" s="433" t="e">
        <f aca="false">BJ75-BK75</f>
        <v>#NAME?</v>
      </c>
    </row>
    <row r="76" customFormat="false" ht="16.5" hidden="false" customHeight="false" outlineLevel="0" collapsed="false">
      <c r="A76" s="59" t="n">
        <f aca="false">A75+1</f>
        <v>70</v>
      </c>
      <c r="C76" s="59" t="n">
        <v>31</v>
      </c>
      <c r="D76" s="59" t="s">
        <v>172</v>
      </c>
      <c r="E76" s="125" t="n">
        <f aca="false">E75+C75</f>
        <v>38626</v>
      </c>
      <c r="F76" s="425" t="n">
        <f aca="false">F28</f>
        <v>23</v>
      </c>
      <c r="G76" s="433" t="n">
        <f aca="false">C76-F76</f>
        <v>8</v>
      </c>
      <c r="H76" s="433"/>
      <c r="I76" s="433"/>
      <c r="J76" s="59" t="n">
        <f aca="false">K77-K76</f>
        <v>31</v>
      </c>
      <c r="K76" s="478" t="n">
        <v>38626</v>
      </c>
      <c r="L76" s="490" t="n">
        <v>0.073481201894833</v>
      </c>
      <c r="M76" s="491" t="n">
        <v>0.065829896432977</v>
      </c>
      <c r="N76" s="480" t="n">
        <f aca="false">(1+L76/2)^(-2*((K76+$T$1)-$K$1)/365.25)</f>
        <v>0.662887992706444</v>
      </c>
      <c r="O76" s="127" t="n">
        <f aca="false">VLOOKUP(K76,Inflation!$B$8:$C$266,2)</f>
        <v>1.16813827537969</v>
      </c>
      <c r="P76" s="480"/>
      <c r="Q76" s="481" t="n">
        <f aca="false">VLOOKUP(K76,'Fuel Curve'!$B$11:$F$268,5)</f>
        <v>4.66344827586207</v>
      </c>
      <c r="R76" s="482" t="n">
        <f aca="false">VLOOKUP(K76,'Fuel Curve Simulation'!$B$12:$J$258,9)</f>
        <v>4.66344827586207</v>
      </c>
      <c r="S76" s="481" t="n">
        <f aca="false">(R76*$S$2)/1000</f>
        <v>44.6711710344828</v>
      </c>
      <c r="T76" s="483"/>
      <c r="V76" s="128" t="n">
        <f aca="false">VLOOKUP(K76,PJM_01212000!$A$7:$C$259,3)</f>
        <v>27.5750003814697</v>
      </c>
      <c r="W76" s="128"/>
      <c r="X76" s="484" t="n">
        <f aca="false">'PJM Curve Simulation'!J76</f>
        <v>27.5750003814697</v>
      </c>
      <c r="Y76" s="489"/>
      <c r="Z76" s="483"/>
      <c r="AA76" s="59" t="n">
        <f aca="false">AA75</f>
        <v>315</v>
      </c>
      <c r="AB76" s="425" t="n">
        <f aca="false">AA76*F76*16</f>
        <v>115920</v>
      </c>
      <c r="AC76" s="425" t="n">
        <f aca="false">VLOOKUP(K76,'Company Volumes'!$B$20:$C$259,2)</f>
        <v>3662.92017130355</v>
      </c>
      <c r="AD76" s="485" t="n">
        <f aca="false">IF(V76&gt;S76+($AM$5*1000*O76),AA76*F76*16,0)</f>
        <v>0</v>
      </c>
      <c r="AE76" s="425"/>
      <c r="AF76" s="425" t="n">
        <v>0</v>
      </c>
      <c r="AG76" s="425" t="n">
        <v>0</v>
      </c>
      <c r="AH76" s="425" t="n">
        <f aca="false">X76*AD76</f>
        <v>0</v>
      </c>
      <c r="AI76" s="425" t="n">
        <f aca="false">SUM(AF76:AH76)</f>
        <v>0</v>
      </c>
      <c r="AJ76" s="425" t="n">
        <f aca="false">(AD76*1000*$S$2)/1000000*R76</f>
        <v>0</v>
      </c>
      <c r="AK76" s="425" t="n">
        <f aca="false">($AK$5*O76)/12</f>
        <v>58406.9137689843</v>
      </c>
      <c r="AL76" s="425" t="n">
        <f aca="false">($AL$5*O76)/12</f>
        <v>148937.63011091</v>
      </c>
      <c r="AM76" s="425" t="n">
        <f aca="false">AD76*$AM$5*1000*O76</f>
        <v>0</v>
      </c>
      <c r="AN76" s="425" t="n">
        <f aca="false">(($AN$5*O76)/12)*$S$4</f>
        <v>133557.142818411</v>
      </c>
      <c r="AO76" s="425" t="n">
        <f aca="false">($AO$5*O76)/12</f>
        <v>29203.4568844922</v>
      </c>
      <c r="AP76" s="425" t="n">
        <f aca="false">AP75</f>
        <v>46500.5582152336</v>
      </c>
      <c r="AQ76" s="433" t="n">
        <f aca="false">SUM(AK76:AP76)</f>
        <v>416605.701798031</v>
      </c>
      <c r="AR76" s="425" t="n">
        <f aca="false">($AR$5*O76)/12</f>
        <v>14601.7284422461</v>
      </c>
      <c r="AS76" s="433" t="n">
        <f aca="false">AS75</f>
        <v>30387.755</v>
      </c>
      <c r="AT76" s="425" t="n">
        <f aca="false">(AI76/100)*$AT$6*O76</f>
        <v>0</v>
      </c>
      <c r="AU76" s="433" t="n">
        <f aca="false">SUM(AJ76:AT76)-AQ76</f>
        <v>461595.185240277</v>
      </c>
      <c r="AV76" s="433" t="n">
        <f aca="false">AI76-AU76</f>
        <v>-461595.185240277</v>
      </c>
      <c r="AW76" s="493"/>
      <c r="AX76" s="423" t="n">
        <f aca="false">K76</f>
        <v>38626</v>
      </c>
      <c r="BA76" s="126"/>
      <c r="BB76" s="481" t="n">
        <f aca="false">X76</f>
        <v>27.5750003814697</v>
      </c>
      <c r="BC76" s="481" t="n">
        <f aca="false">'Curve Analysis - Base Case'!D68</f>
        <v>47.0074475852421</v>
      </c>
      <c r="BD76" s="479" t="n">
        <f aca="false">L76</f>
        <v>0.073481201894833</v>
      </c>
      <c r="BE76" s="479" t="n">
        <f aca="false">L76</f>
        <v>0.073481201894833</v>
      </c>
      <c r="BF76" s="489" t="n">
        <f aca="false">PJM_01212000!X76</f>
        <v>0.10720512</v>
      </c>
      <c r="BG76" s="425" t="n">
        <f aca="false">(AX76+15)-$K$1</f>
        <v>2052</v>
      </c>
      <c r="BH76" s="433" t="n">
        <f aca="false">AD76</f>
        <v>0</v>
      </c>
      <c r="BJ76" s="486" t="e">
        <f aca="false">EURO(BB76,BC76,BD76,BE76,BF76,BG76,1,0)*BH76</f>
        <v>#NAME?</v>
      </c>
      <c r="BK76" s="433" t="n">
        <f aca="false">(AI76-AJ76)*N76</f>
        <v>0</v>
      </c>
      <c r="BM76" s="433" t="e">
        <f aca="false">BJ76-BK76</f>
        <v>#NAME?</v>
      </c>
    </row>
    <row r="77" customFormat="false" ht="16.5" hidden="false" customHeight="false" outlineLevel="0" collapsed="false">
      <c r="A77" s="59" t="n">
        <f aca="false">A76+1</f>
        <v>71</v>
      </c>
      <c r="C77" s="59" t="n">
        <v>30</v>
      </c>
      <c r="D77" s="59" t="s">
        <v>173</v>
      </c>
      <c r="E77" s="125" t="n">
        <f aca="false">E76+C76</f>
        <v>38657</v>
      </c>
      <c r="F77" s="425" t="n">
        <f aca="false">F29</f>
        <v>22</v>
      </c>
      <c r="G77" s="433" t="n">
        <f aca="false">C77-F77</f>
        <v>8</v>
      </c>
      <c r="H77" s="433"/>
      <c r="I77" s="433"/>
      <c r="J77" s="59" t="n">
        <f aca="false">K78-K77</f>
        <v>30</v>
      </c>
      <c r="K77" s="478" t="n">
        <v>38657</v>
      </c>
      <c r="L77" s="490" t="n">
        <v>0.073505446307292</v>
      </c>
      <c r="M77" s="491" t="n">
        <v>0.065816660378287</v>
      </c>
      <c r="N77" s="480" t="n">
        <f aca="false">(1+L77/2)^(-2*((K77+$T$1)-$K$1)/365.25)</f>
        <v>0.658751287807599</v>
      </c>
      <c r="O77" s="127" t="n">
        <f aca="false">VLOOKUP(K77,Inflation!$B$8:$C$266,2)</f>
        <v>1.17073461139413</v>
      </c>
      <c r="P77" s="480"/>
      <c r="Q77" s="481" t="n">
        <f aca="false">VLOOKUP(K77,'Fuel Curve'!$B$11:$F$268,5)</f>
        <v>4.74896551724138</v>
      </c>
      <c r="R77" s="482" t="n">
        <f aca="false">VLOOKUP(K77,'Fuel Curve Simulation'!$B$12:$J$258,9)</f>
        <v>4.74896551724138</v>
      </c>
      <c r="S77" s="481" t="n">
        <f aca="false">(R77*$S$2)/1000</f>
        <v>45.4903406896552</v>
      </c>
      <c r="T77" s="483"/>
      <c r="V77" s="128" t="n">
        <f aca="false">VLOOKUP(K77,PJM_01212000!$A$7:$C$259,3)</f>
        <v>27.2474990844727</v>
      </c>
      <c r="W77" s="128"/>
      <c r="X77" s="484" t="n">
        <f aca="false">'PJM Curve Simulation'!J77</f>
        <v>27.2474990844727</v>
      </c>
      <c r="Y77" s="489"/>
      <c r="Z77" s="483"/>
      <c r="AA77" s="59" t="n">
        <f aca="false">AA76</f>
        <v>315</v>
      </c>
      <c r="AB77" s="425" t="n">
        <f aca="false">AA77*F77*16</f>
        <v>110880</v>
      </c>
      <c r="AC77" s="425" t="n">
        <f aca="false">VLOOKUP(K77,'Company Volumes'!$B$20:$C$259,2)</f>
        <v>8335.25427271289</v>
      </c>
      <c r="AD77" s="485" t="n">
        <f aca="false">IF(V77&gt;S77+($AM$5*1000*O77),AA77*F77*16,0)</f>
        <v>0</v>
      </c>
      <c r="AE77" s="425"/>
      <c r="AF77" s="425" t="n">
        <v>0</v>
      </c>
      <c r="AG77" s="425" t="n">
        <v>0</v>
      </c>
      <c r="AH77" s="425" t="n">
        <f aca="false">X77*AD77</f>
        <v>0</v>
      </c>
      <c r="AI77" s="425" t="n">
        <f aca="false">SUM(AF77:AH77)</f>
        <v>0</v>
      </c>
      <c r="AJ77" s="425" t="n">
        <f aca="false">(AD77*1000*$S$2)/1000000*R77</f>
        <v>0</v>
      </c>
      <c r="AK77" s="425" t="n">
        <f aca="false">($AK$5*O77)/12</f>
        <v>58536.7305697064</v>
      </c>
      <c r="AL77" s="425" t="n">
        <f aca="false">($AL$5*O77)/12</f>
        <v>149268.662952751</v>
      </c>
      <c r="AM77" s="425" t="n">
        <f aca="false">AD77*$AM$5*1000*O77</f>
        <v>0</v>
      </c>
      <c r="AN77" s="425" t="n">
        <f aca="false">(($AN$5*O77)/12)*$S$4</f>
        <v>133853.990569395</v>
      </c>
      <c r="AO77" s="425" t="n">
        <f aca="false">($AO$5*O77)/12</f>
        <v>29268.3652848532</v>
      </c>
      <c r="AP77" s="425" t="n">
        <f aca="false">AP76</f>
        <v>46500.5582152336</v>
      </c>
      <c r="AQ77" s="433" t="n">
        <f aca="false">SUM(AK77:AP77)</f>
        <v>417428.30759194</v>
      </c>
      <c r="AR77" s="425" t="n">
        <f aca="false">($AR$5*O77)/12</f>
        <v>14634.1826424266</v>
      </c>
      <c r="AS77" s="433" t="n">
        <f aca="false">AS76</f>
        <v>30387.755</v>
      </c>
      <c r="AT77" s="425" t="n">
        <f aca="false">(AI77/100)*$AT$6*O77</f>
        <v>0</v>
      </c>
      <c r="AU77" s="433" t="n">
        <f aca="false">SUM(AJ77:AT77)-AQ77</f>
        <v>462450.245234367</v>
      </c>
      <c r="AV77" s="433" t="n">
        <f aca="false">AI77-AU77</f>
        <v>-462450.245234367</v>
      </c>
      <c r="AW77" s="493"/>
      <c r="AX77" s="423" t="n">
        <f aca="false">K77</f>
        <v>38657</v>
      </c>
      <c r="BA77" s="126"/>
      <c r="BB77" s="481" t="n">
        <f aca="false">X77</f>
        <v>27.2474990844727</v>
      </c>
      <c r="BC77" s="481" t="n">
        <f aca="false">'Curve Analysis - Base Case'!D69</f>
        <v>47.8318099124434</v>
      </c>
      <c r="BD77" s="479" t="n">
        <f aca="false">L77</f>
        <v>0.073505446307292</v>
      </c>
      <c r="BE77" s="479" t="n">
        <f aca="false">L77</f>
        <v>0.073505446307292</v>
      </c>
      <c r="BF77" s="489" t="n">
        <f aca="false">PJM_01212000!X77</f>
        <v>0.10720512</v>
      </c>
      <c r="BG77" s="425" t="n">
        <f aca="false">(AX77+15)-$K$1</f>
        <v>2083</v>
      </c>
      <c r="BH77" s="433" t="n">
        <f aca="false">AD77</f>
        <v>0</v>
      </c>
      <c r="BJ77" s="486" t="e">
        <f aca="false">EURO(BB77,BC77,BD77,BE77,BF77,BG77,1,0)*BH77</f>
        <v>#NAME?</v>
      </c>
      <c r="BK77" s="433" t="n">
        <f aca="false">(AI77-AJ77)*N77</f>
        <v>0</v>
      </c>
      <c r="BM77" s="433" t="e">
        <f aca="false">BJ77-BK77</f>
        <v>#NAME?</v>
      </c>
    </row>
    <row r="78" customFormat="false" ht="16.5" hidden="false" customHeight="false" outlineLevel="0" collapsed="false">
      <c r="A78" s="59" t="n">
        <f aca="false">A77+1</f>
        <v>72</v>
      </c>
      <c r="C78" s="59" t="n">
        <v>31</v>
      </c>
      <c r="D78" s="59" t="s">
        <v>174</v>
      </c>
      <c r="E78" s="125" t="n">
        <f aca="false">E77+C77</f>
        <v>38687</v>
      </c>
      <c r="F78" s="425" t="n">
        <f aca="false">F30</f>
        <v>21</v>
      </c>
      <c r="G78" s="433" t="n">
        <f aca="false">C78-F78</f>
        <v>10</v>
      </c>
      <c r="H78" s="433" t="n">
        <f aca="false">SUM(F67:G78)</f>
        <v>365</v>
      </c>
      <c r="I78" s="433"/>
      <c r="J78" s="59" t="n">
        <f aca="false">K79-K78</f>
        <v>31</v>
      </c>
      <c r="K78" s="478" t="n">
        <v>38687</v>
      </c>
      <c r="L78" s="490" t="n">
        <v>0.073528908642115</v>
      </c>
      <c r="M78" s="491" t="n">
        <v>0.065803851294265</v>
      </c>
      <c r="N78" s="480" t="n">
        <f aca="false">(1+L78/2)^(-2*((K78+$T$1)-$K$1)/365.25)</f>
        <v>0.654770132060224</v>
      </c>
      <c r="O78" s="127" t="n">
        <f aca="false">VLOOKUP(K78,Inflation!$B$8:$C$266,2)</f>
        <v>1.17333671809586</v>
      </c>
      <c r="P78" s="480"/>
      <c r="Q78" s="481" t="n">
        <f aca="false">VLOOKUP(K78,'Fuel Curve'!$B$11:$F$268,5)</f>
        <v>4.78948275862069</v>
      </c>
      <c r="R78" s="482" t="n">
        <f aca="false">VLOOKUP(K78,'Fuel Curve Simulation'!$B$12:$J$258,9)</f>
        <v>4.78948275862069</v>
      </c>
      <c r="S78" s="481" t="n">
        <f aca="false">(R78*$S$2)/1000</f>
        <v>45.8784553448276</v>
      </c>
      <c r="T78" s="483"/>
      <c r="V78" s="128" t="n">
        <f aca="false">VLOOKUP(K78,PJM_01212000!$A$7:$C$259,3)</f>
        <v>28.9999996185303</v>
      </c>
      <c r="W78" s="128"/>
      <c r="X78" s="484" t="n">
        <f aca="false">'PJM Curve Simulation'!J78</f>
        <v>28.9999996185303</v>
      </c>
      <c r="Y78" s="489"/>
      <c r="Z78" s="483"/>
      <c r="AA78" s="59" t="n">
        <f aca="false">AA77</f>
        <v>315</v>
      </c>
      <c r="AB78" s="425" t="n">
        <f aca="false">AA78*F78*16</f>
        <v>105840</v>
      </c>
      <c r="AC78" s="425" t="n">
        <f aca="false">VLOOKUP(K78,'Company Volumes'!$B$20:$C$259,2)</f>
        <v>8335.25427271289</v>
      </c>
      <c r="AD78" s="485" t="n">
        <f aca="false">IF(V78&gt;S78+($AM$5*1000*O78),AA78*F78*16,0)</f>
        <v>0</v>
      </c>
      <c r="AE78" s="425"/>
      <c r="AF78" s="425" t="n">
        <v>0</v>
      </c>
      <c r="AG78" s="425" t="n">
        <v>0</v>
      </c>
      <c r="AH78" s="425" t="n">
        <f aca="false">X78*AD78</f>
        <v>0</v>
      </c>
      <c r="AI78" s="425" t="n">
        <f aca="false">SUM(AF78:AH78)</f>
        <v>0</v>
      </c>
      <c r="AJ78" s="425" t="n">
        <f aca="false">(AD78*1000*$S$2)/1000000*R78</f>
        <v>0</v>
      </c>
      <c r="AK78" s="425" t="n">
        <f aca="false">($AK$5*O78)/12</f>
        <v>58666.8359047931</v>
      </c>
      <c r="AL78" s="425" t="n">
        <f aca="false">($AL$5*O78)/12</f>
        <v>149600.431557222</v>
      </c>
      <c r="AM78" s="425" t="n">
        <f aca="false">AD78*$AM$5*1000*O78</f>
        <v>0</v>
      </c>
      <c r="AN78" s="425" t="n">
        <f aca="false">(($AN$5*O78)/12)*$S$4</f>
        <v>134151.498102294</v>
      </c>
      <c r="AO78" s="425" t="n">
        <f aca="false">($AO$5*O78)/12</f>
        <v>29333.4179523965</v>
      </c>
      <c r="AP78" s="425" t="n">
        <f aca="false">AP77</f>
        <v>46500.5582152336</v>
      </c>
      <c r="AQ78" s="433" t="n">
        <f aca="false">SUM(AK78:AP78)</f>
        <v>418252.741731939</v>
      </c>
      <c r="AR78" s="425" t="n">
        <f aca="false">($AR$5*O78)/12</f>
        <v>14666.7089761983</v>
      </c>
      <c r="AS78" s="433" t="n">
        <f aca="false">AS77</f>
        <v>30387.755</v>
      </c>
      <c r="AT78" s="425" t="n">
        <f aca="false">(AI78/100)*$AT$6*O78</f>
        <v>0</v>
      </c>
      <c r="AU78" s="433" t="n">
        <f aca="false">SUM(AJ78:AT78)-AQ78</f>
        <v>463307.205708138</v>
      </c>
      <c r="AV78" s="433" t="n">
        <f aca="false">AI78-AU78</f>
        <v>-463307.205708138</v>
      </c>
      <c r="AW78" s="493"/>
      <c r="AX78" s="423" t="n">
        <f aca="false">K78</f>
        <v>38687</v>
      </c>
      <c r="AY78" s="425" t="n">
        <f aca="false">'Debt Amortization'!M8</f>
        <v>3321396.08093721</v>
      </c>
      <c r="AZ78" s="425" t="n">
        <f aca="false">AY78*N78</f>
        <v>2174750.95053956</v>
      </c>
      <c r="BA78" s="126"/>
      <c r="BB78" s="481" t="n">
        <f aca="false">X78</f>
        <v>28.9999996185303</v>
      </c>
      <c r="BC78" s="481" t="n">
        <f aca="false">'Curve Analysis - Base Case'!D70</f>
        <v>48.2251287810193</v>
      </c>
      <c r="BD78" s="479" t="n">
        <f aca="false">L78</f>
        <v>0.073528908642115</v>
      </c>
      <c r="BE78" s="479" t="n">
        <f aca="false">L78</f>
        <v>0.073528908642115</v>
      </c>
      <c r="BF78" s="489" t="n">
        <f aca="false">PJM_01212000!X78</f>
        <v>0.10720512</v>
      </c>
      <c r="BG78" s="425" t="n">
        <f aca="false">(AX78+15)-$K$1</f>
        <v>2113</v>
      </c>
      <c r="BH78" s="433" t="n">
        <f aca="false">AD78</f>
        <v>0</v>
      </c>
      <c r="BJ78" s="486" t="e">
        <f aca="false">EURO(BB78,BC78,BD78,BE78,BF78,BG78,1,0)*BH78</f>
        <v>#NAME?</v>
      </c>
      <c r="BK78" s="433" t="n">
        <f aca="false">(AI78-AJ78)*N78</f>
        <v>0</v>
      </c>
      <c r="BM78" s="433" t="e">
        <f aca="false">BJ78-BK78</f>
        <v>#NAME?</v>
      </c>
    </row>
    <row r="79" customFormat="false" ht="16.5" hidden="false" customHeight="false" outlineLevel="0" collapsed="false">
      <c r="A79" s="59" t="n">
        <f aca="false">A78+1</f>
        <v>73</v>
      </c>
      <c r="C79" s="59" t="n">
        <v>31</v>
      </c>
      <c r="D79" s="59" t="s">
        <v>164</v>
      </c>
      <c r="E79" s="125" t="n">
        <f aca="false">E78+C78</f>
        <v>38718</v>
      </c>
      <c r="F79" s="425" t="n">
        <f aca="false">F31</f>
        <v>23</v>
      </c>
      <c r="G79" s="433" t="n">
        <f aca="false">C79-F79</f>
        <v>8</v>
      </c>
      <c r="H79" s="433"/>
      <c r="I79" s="433"/>
      <c r="J79" s="59" t="n">
        <f aca="false">K80-K79</f>
        <v>31</v>
      </c>
      <c r="K79" s="478" t="n">
        <v>38718</v>
      </c>
      <c r="L79" s="490" t="n">
        <v>0.073553153054956</v>
      </c>
      <c r="M79" s="491" t="n">
        <v>0.065790615241974</v>
      </c>
      <c r="N79" s="480" t="n">
        <f aca="false">(1+L79/2)^(-2*((K79+$T$1)-$K$1)/365.25)</f>
        <v>0.650679005686506</v>
      </c>
      <c r="O79" s="127" t="n">
        <f aca="false">VLOOKUP(K79,Inflation!$B$8:$C$266,2)</f>
        <v>1.17594460831097</v>
      </c>
      <c r="P79" s="480"/>
      <c r="Q79" s="481" t="n">
        <f aca="false">VLOOKUP(K79,'Fuel Curve'!$B$11:$F$268,5)</f>
        <v>4.73086206896552</v>
      </c>
      <c r="R79" s="482" t="n">
        <f aca="false">VLOOKUP(K79,'Fuel Curve Simulation'!$B$12:$J$258,9)</f>
        <v>4.73086206896552</v>
      </c>
      <c r="S79" s="481" t="n">
        <f aca="false">(R79*$S$2)/1000</f>
        <v>45.3169277586207</v>
      </c>
      <c r="T79" s="483"/>
      <c r="V79" s="128" t="n">
        <f aca="false">VLOOKUP(K79,PJM_01212000!$A$7:$C$259,3)</f>
        <v>37.8249984741211</v>
      </c>
      <c r="W79" s="128"/>
      <c r="X79" s="484" t="n">
        <f aca="false">'PJM Curve Simulation'!J79</f>
        <v>37.8249984741211</v>
      </c>
      <c r="Y79" s="489"/>
      <c r="Z79" s="483"/>
      <c r="AA79" s="59" t="n">
        <f aca="false">AA78</f>
        <v>315</v>
      </c>
      <c r="AB79" s="425" t="n">
        <f aca="false">AA79*F79*16</f>
        <v>115920</v>
      </c>
      <c r="AC79" s="425" t="n">
        <f aca="false">VLOOKUP(K79,'Company Volumes'!$B$20:$C$259,2)</f>
        <v>17347.4110189924</v>
      </c>
      <c r="AD79" s="485" t="n">
        <f aca="false">IF(V79&gt;S79+($AM$5*1000*O79),AA79*F79*16,0)</f>
        <v>0</v>
      </c>
      <c r="AE79" s="425"/>
      <c r="AF79" s="425" t="n">
        <v>0</v>
      </c>
      <c r="AG79" s="425" t="n">
        <v>0</v>
      </c>
      <c r="AH79" s="425" t="n">
        <f aca="false">X79*AD79</f>
        <v>0</v>
      </c>
      <c r="AI79" s="425" t="n">
        <f aca="false">SUM(AF79:AH79)</f>
        <v>0</v>
      </c>
      <c r="AJ79" s="425" t="n">
        <f aca="false">(AD79*1000*$S$2)/1000000*R79</f>
        <v>0</v>
      </c>
      <c r="AK79" s="425" t="n">
        <f aca="false">($AK$5*O79)/12</f>
        <v>58797.2304155487</v>
      </c>
      <c r="AL79" s="425" t="n">
        <f aca="false">($AL$5*O79)/12</f>
        <v>149932.937559649</v>
      </c>
      <c r="AM79" s="425" t="n">
        <f aca="false">AD79*$AM$5*1000*O79</f>
        <v>0</v>
      </c>
      <c r="AN79" s="425" t="n">
        <f aca="false">(($AN$5*O79)/12)*$S$4</f>
        <v>134449.666883555</v>
      </c>
      <c r="AO79" s="425" t="n">
        <f aca="false">($AO$5*O79)/12</f>
        <v>29398.6152077743</v>
      </c>
      <c r="AP79" s="425" t="n">
        <f aca="false">AP78</f>
        <v>46500.5582152336</v>
      </c>
      <c r="AQ79" s="433" t="n">
        <f aca="false">SUM(AK79:AP79)</f>
        <v>419079.00828176</v>
      </c>
      <c r="AR79" s="425" t="n">
        <f aca="false">($AR$5*O79)/12</f>
        <v>14699.3076038872</v>
      </c>
      <c r="AS79" s="433" t="n">
        <f aca="false">AS78</f>
        <v>30387.755</v>
      </c>
      <c r="AT79" s="425" t="n">
        <f aca="false">(AI79/100)*$AT$6*O79</f>
        <v>0</v>
      </c>
      <c r="AU79" s="433" t="n">
        <f aca="false">SUM(AJ79:AT79)-AQ79</f>
        <v>464166.070885648</v>
      </c>
      <c r="AV79" s="433" t="n">
        <f aca="false">AI79-AU79</f>
        <v>-464166.070885648</v>
      </c>
      <c r="AW79" s="493"/>
      <c r="AX79" s="423" t="n">
        <f aca="false">K79</f>
        <v>38718</v>
      </c>
      <c r="BA79" s="126"/>
      <c r="BB79" s="481" t="n">
        <f aca="false">X79</f>
        <v>37.8249984741211</v>
      </c>
      <c r="BC79" s="481" t="n">
        <f aca="false">'Curve Analysis - Base Case'!D71</f>
        <v>47.6688169752426</v>
      </c>
      <c r="BD79" s="479" t="n">
        <f aca="false">L79</f>
        <v>0.073553153054956</v>
      </c>
      <c r="BE79" s="479" t="n">
        <f aca="false">L79</f>
        <v>0.073553153054956</v>
      </c>
      <c r="BF79" s="489" t="n">
        <f aca="false">PJM_01212000!X79</f>
        <v>0.16466706432</v>
      </c>
      <c r="BG79" s="425" t="n">
        <f aca="false">(AX79+15)-$K$1</f>
        <v>2144</v>
      </c>
      <c r="BH79" s="433" t="n">
        <f aca="false">AD79</f>
        <v>0</v>
      </c>
      <c r="BJ79" s="486" t="e">
        <f aca="false">EURO(BB79,BC79,BD79,BE79,BF79,BG79,1,0)*BH79</f>
        <v>#NAME?</v>
      </c>
      <c r="BK79" s="433" t="n">
        <f aca="false">(AI79-AJ79)*N79</f>
        <v>0</v>
      </c>
      <c r="BM79" s="433" t="e">
        <f aca="false">BJ79-BK79</f>
        <v>#NAME?</v>
      </c>
    </row>
    <row r="80" customFormat="false" ht="16.5" hidden="false" customHeight="false" outlineLevel="0" collapsed="false">
      <c r="A80" s="59" t="n">
        <f aca="false">A79+1</f>
        <v>74</v>
      </c>
      <c r="C80" s="59" t="n">
        <v>28</v>
      </c>
      <c r="D80" s="59" t="s">
        <v>165</v>
      </c>
      <c r="E80" s="125" t="n">
        <f aca="false">E79+C79</f>
        <v>38749</v>
      </c>
      <c r="F80" s="425" t="n">
        <f aca="false">F32</f>
        <v>20</v>
      </c>
      <c r="G80" s="433" t="n">
        <f aca="false">C80-F80</f>
        <v>8</v>
      </c>
      <c r="H80" s="433"/>
      <c r="I80" s="433"/>
      <c r="J80" s="59" t="n">
        <f aca="false">K81-K80</f>
        <v>28</v>
      </c>
      <c r="K80" s="478" t="n">
        <v>38749</v>
      </c>
      <c r="L80" s="490" t="n">
        <v>0.073577397468</v>
      </c>
      <c r="M80" s="491" t="n">
        <v>0.065777379190902</v>
      </c>
      <c r="N80" s="480" t="n">
        <f aca="false">(1+L80/2)^(-2*((K80+$T$1)-$K$1)/365.25)</f>
        <v>0.646610875806786</v>
      </c>
      <c r="O80" s="127" t="n">
        <f aca="false">VLOOKUP(K80,Inflation!$B$8:$C$266,2)</f>
        <v>1.17855829489406</v>
      </c>
      <c r="P80" s="480"/>
      <c r="Q80" s="481" t="n">
        <f aca="false">VLOOKUP(K80,'Fuel Curve'!$B$11:$F$268,5)</f>
        <v>4.62948275862069</v>
      </c>
      <c r="R80" s="482" t="n">
        <f aca="false">VLOOKUP(K80,'Fuel Curve Simulation'!$B$12:$J$258,9)</f>
        <v>4.62948275862069</v>
      </c>
      <c r="S80" s="481" t="n">
        <f aca="false">(R80*$S$2)/1000</f>
        <v>44.3458153448276</v>
      </c>
      <c r="T80" s="483"/>
      <c r="V80" s="128" t="n">
        <f aca="false">VLOOKUP(K80,PJM_01212000!$A$7:$C$259,3)</f>
        <v>37.8249984741211</v>
      </c>
      <c r="W80" s="128"/>
      <c r="X80" s="484" t="n">
        <f aca="false">'PJM Curve Simulation'!J80</f>
        <v>37.8249984741211</v>
      </c>
      <c r="Y80" s="489"/>
      <c r="Z80" s="483"/>
      <c r="AA80" s="59" t="n">
        <f aca="false">AA79</f>
        <v>315</v>
      </c>
      <c r="AB80" s="425" t="n">
        <f aca="false">AA80*F80*16</f>
        <v>100800</v>
      </c>
      <c r="AC80" s="425" t="n">
        <f aca="false">VLOOKUP(K80,'Company Volumes'!$B$20:$C$259,2)</f>
        <v>752.763413745778</v>
      </c>
      <c r="AD80" s="485" t="n">
        <f aca="false">IF(V80&gt;S80+($AM$5*1000*O80),AA80*F80*16,0)</f>
        <v>0</v>
      </c>
      <c r="AE80" s="425"/>
      <c r="AF80" s="425" t="n">
        <v>0</v>
      </c>
      <c r="AG80" s="425" t="n">
        <v>0</v>
      </c>
      <c r="AH80" s="425" t="n">
        <f aca="false">X80*AD80</f>
        <v>0</v>
      </c>
      <c r="AI80" s="425" t="n">
        <f aca="false">SUM(AF80:AH80)</f>
        <v>0</v>
      </c>
      <c r="AJ80" s="425" t="n">
        <f aca="false">(AD80*1000*$S$2)/1000000*R80</f>
        <v>0</v>
      </c>
      <c r="AK80" s="425" t="n">
        <f aca="false">($AK$5*O80)/12</f>
        <v>58927.9147447029</v>
      </c>
      <c r="AL80" s="425" t="n">
        <f aca="false">($AL$5*O80)/12</f>
        <v>150266.182598992</v>
      </c>
      <c r="AM80" s="425" t="n">
        <f aca="false">AD80*$AM$5*1000*O80</f>
        <v>0</v>
      </c>
      <c r="AN80" s="425" t="n">
        <f aca="false">(($AN$5*O80)/12)*$S$4</f>
        <v>134748.498382887</v>
      </c>
      <c r="AO80" s="425" t="n">
        <f aca="false">($AO$5*O80)/12</f>
        <v>29463.9573723514</v>
      </c>
      <c r="AP80" s="425" t="n">
        <f aca="false">AP79</f>
        <v>46500.5582152336</v>
      </c>
      <c r="AQ80" s="433" t="n">
        <f aca="false">SUM(AK80:AP80)</f>
        <v>419907.111314167</v>
      </c>
      <c r="AR80" s="425" t="n">
        <f aca="false">($AR$5*O80)/12</f>
        <v>14731.9786861757</v>
      </c>
      <c r="AS80" s="433" t="n">
        <f aca="false">AS79</f>
        <v>30387.755</v>
      </c>
      <c r="AT80" s="425" t="n">
        <f aca="false">(AI80/100)*$AT$6*O80</f>
        <v>0</v>
      </c>
      <c r="AU80" s="433" t="n">
        <f aca="false">SUM(AJ80:AT80)-AQ80</f>
        <v>465026.845000343</v>
      </c>
      <c r="AV80" s="433" t="n">
        <f aca="false">AI80-AU80</f>
        <v>-465026.845000343</v>
      </c>
      <c r="AW80" s="493"/>
      <c r="AX80" s="423" t="n">
        <f aca="false">K80</f>
        <v>38749</v>
      </c>
      <c r="BA80" s="126"/>
      <c r="BB80" s="481" t="n">
        <f aca="false">X80</f>
        <v>37.8249984741211</v>
      </c>
      <c r="BC80" s="481" t="n">
        <f aca="false">'Curve Analysis - Base Case'!D72</f>
        <v>46.7029319346157</v>
      </c>
      <c r="BD80" s="479" t="n">
        <f aca="false">L80</f>
        <v>0.073577397468</v>
      </c>
      <c r="BE80" s="479" t="n">
        <f aca="false">L80</f>
        <v>0.073577397468</v>
      </c>
      <c r="BF80" s="489" t="n">
        <f aca="false">PJM_01212000!X80</f>
        <v>0.16466706432</v>
      </c>
      <c r="BG80" s="425" t="n">
        <f aca="false">(AX80+15)-$K$1</f>
        <v>2175</v>
      </c>
      <c r="BH80" s="433" t="n">
        <f aca="false">AD80</f>
        <v>0</v>
      </c>
      <c r="BJ80" s="486" t="e">
        <f aca="false">EURO(BB80,BC80,BD80,BE80,BF80,BG80,1,0)*BH80</f>
        <v>#NAME?</v>
      </c>
      <c r="BK80" s="433" t="n">
        <f aca="false">(AI80-AJ80)*N80</f>
        <v>0</v>
      </c>
      <c r="BM80" s="433" t="e">
        <f aca="false">BJ80-BK80</f>
        <v>#NAME?</v>
      </c>
    </row>
    <row r="81" customFormat="false" ht="16.5" hidden="false" customHeight="false" outlineLevel="0" collapsed="false">
      <c r="A81" s="59" t="n">
        <f aca="false">A80+1</f>
        <v>75</v>
      </c>
      <c r="C81" s="59" t="n">
        <v>31</v>
      </c>
      <c r="D81" s="59" t="s">
        <v>166</v>
      </c>
      <c r="E81" s="125" t="n">
        <f aca="false">E80+C80</f>
        <v>38777</v>
      </c>
      <c r="F81" s="425" t="n">
        <f aca="false">F33</f>
        <v>21</v>
      </c>
      <c r="G81" s="433" t="n">
        <f aca="false">C81-F81</f>
        <v>10</v>
      </c>
      <c r="H81" s="433"/>
      <c r="I81" s="433"/>
      <c r="J81" s="59" t="n">
        <f aca="false">K82-K81</f>
        <v>31</v>
      </c>
      <c r="K81" s="478" t="n">
        <v>38777</v>
      </c>
      <c r="L81" s="490" t="n">
        <v>0.073599295647674</v>
      </c>
      <c r="M81" s="491" t="n">
        <v>0.065765424049046</v>
      </c>
      <c r="N81" s="480" t="n">
        <f aca="false">(1+L81/2)^(-2*((K81+$T$1)-$K$1)/365.25)</f>
        <v>0.642956109097138</v>
      </c>
      <c r="O81" s="127" t="n">
        <f aca="false">VLOOKUP(K81,Inflation!$B$8:$C$266,2)</f>
        <v>1.18117779072828</v>
      </c>
      <c r="P81" s="480"/>
      <c r="Q81" s="481" t="n">
        <f aca="false">VLOOKUP(K81,'Fuel Curve'!$B$11:$F$268,5)</f>
        <v>4.53086206896552</v>
      </c>
      <c r="R81" s="482" t="n">
        <f aca="false">VLOOKUP(K81,'Fuel Curve Simulation'!$B$12:$J$258,9)</f>
        <v>4.53086206896552</v>
      </c>
      <c r="S81" s="481" t="n">
        <f aca="false">(R81*$S$2)/1000</f>
        <v>43.4011277586207</v>
      </c>
      <c r="T81" s="483"/>
      <c r="V81" s="128" t="n">
        <f aca="false">VLOOKUP(K81,PJM_01212000!$A$7:$C$259,3)</f>
        <v>27.5500007629395</v>
      </c>
      <c r="W81" s="128"/>
      <c r="X81" s="484" t="n">
        <f aca="false">'PJM Curve Simulation'!J81</f>
        <v>27.5500007629395</v>
      </c>
      <c r="Y81" s="489"/>
      <c r="Z81" s="483"/>
      <c r="AA81" s="59" t="n">
        <f aca="false">AA80</f>
        <v>315</v>
      </c>
      <c r="AB81" s="425" t="n">
        <f aca="false">AA81*F81*16</f>
        <v>105840</v>
      </c>
      <c r="AC81" s="425" t="n">
        <f aca="false">VLOOKUP(K81,'Company Volumes'!$B$20:$C$259,2)</f>
        <v>752.763413745778</v>
      </c>
      <c r="AD81" s="485" t="n">
        <f aca="false">IF(V81&gt;S81+($AM$5*1000*O81),AA81*F81*16,0)</f>
        <v>0</v>
      </c>
      <c r="AE81" s="425"/>
      <c r="AF81" s="425" t="n">
        <v>0</v>
      </c>
      <c r="AG81" s="425" t="n">
        <v>0</v>
      </c>
      <c r="AH81" s="425" t="n">
        <f aca="false">X81*AD81</f>
        <v>0</v>
      </c>
      <c r="AI81" s="425" t="n">
        <f aca="false">SUM(AF81:AH81)</f>
        <v>0</v>
      </c>
      <c r="AJ81" s="425" t="n">
        <f aca="false">(AD81*1000*$S$2)/1000000*R81</f>
        <v>0</v>
      </c>
      <c r="AK81" s="425" t="n">
        <f aca="false">($AK$5*O81)/12</f>
        <v>59058.889536414</v>
      </c>
      <c r="AL81" s="425" t="n">
        <f aca="false">($AL$5*O81)/12</f>
        <v>150600.168317856</v>
      </c>
      <c r="AM81" s="425" t="n">
        <f aca="false">AD81*$AM$5*1000*O81</f>
        <v>0</v>
      </c>
      <c r="AN81" s="425" t="n">
        <f aca="false">(($AN$5*O81)/12)*$S$4</f>
        <v>135047.994073267</v>
      </c>
      <c r="AO81" s="425" t="n">
        <f aca="false">($AO$5*O81)/12</f>
        <v>29529.444768207</v>
      </c>
      <c r="AP81" s="425" t="n">
        <f aca="false">AP80</f>
        <v>46500.5582152336</v>
      </c>
      <c r="AQ81" s="433" t="n">
        <f aca="false">SUM(AK81:AP81)</f>
        <v>420737.054910977</v>
      </c>
      <c r="AR81" s="425" t="n">
        <f aca="false">($AR$5*O81)/12</f>
        <v>14764.7223841035</v>
      </c>
      <c r="AS81" s="433" t="n">
        <f aca="false">AS80</f>
        <v>30387.755</v>
      </c>
      <c r="AT81" s="425" t="n">
        <f aca="false">(AI81/100)*$AT$6*O81</f>
        <v>0</v>
      </c>
      <c r="AU81" s="433" t="n">
        <f aca="false">SUM(AJ81:AT81)-AQ81</f>
        <v>465889.532295081</v>
      </c>
      <c r="AV81" s="433" t="n">
        <f aca="false">AI81-AU81</f>
        <v>-465889.532295081</v>
      </c>
      <c r="AW81" s="493"/>
      <c r="AX81" s="423" t="n">
        <f aca="false">K81</f>
        <v>38777</v>
      </c>
      <c r="BA81" s="126"/>
      <c r="BB81" s="481" t="n">
        <f aca="false">X81</f>
        <v>27.5500007629395</v>
      </c>
      <c r="BC81" s="481" t="n">
        <f aca="false">'Curve Analysis - Base Case'!D73</f>
        <v>45.7634833400773</v>
      </c>
      <c r="BD81" s="479" t="n">
        <f aca="false">L81</f>
        <v>0.073599295647674</v>
      </c>
      <c r="BE81" s="479" t="n">
        <f aca="false">L81</f>
        <v>0.073599295647674</v>
      </c>
      <c r="BF81" s="489" t="n">
        <f aca="false">PJM_01212000!X81</f>
        <v>0.1372225536</v>
      </c>
      <c r="BG81" s="425" t="n">
        <f aca="false">(AX81+15)-$K$1</f>
        <v>2203</v>
      </c>
      <c r="BH81" s="433" t="n">
        <f aca="false">AD81</f>
        <v>0</v>
      </c>
      <c r="BJ81" s="486" t="e">
        <f aca="false">EURO(BB81,BC81,BD81,BE81,BF81,BG81,1,0)*BH81</f>
        <v>#NAME?</v>
      </c>
      <c r="BK81" s="433" t="n">
        <f aca="false">(AI81-AJ81)*N81</f>
        <v>0</v>
      </c>
      <c r="BM81" s="433" t="e">
        <f aca="false">BJ81-BK81</f>
        <v>#NAME?</v>
      </c>
    </row>
    <row r="82" customFormat="false" ht="16.5" hidden="false" customHeight="false" outlineLevel="0" collapsed="false">
      <c r="A82" s="59" t="n">
        <f aca="false">A81+1</f>
        <v>76</v>
      </c>
      <c r="C82" s="59" t="n">
        <v>30</v>
      </c>
      <c r="D82" s="59" t="s">
        <v>167</v>
      </c>
      <c r="E82" s="125" t="n">
        <f aca="false">E81+C81</f>
        <v>38808</v>
      </c>
      <c r="F82" s="425" t="n">
        <f aca="false">F34</f>
        <v>22</v>
      </c>
      <c r="G82" s="433" t="n">
        <f aca="false">C82-F82</f>
        <v>8</v>
      </c>
      <c r="H82" s="433"/>
      <c r="I82" s="433"/>
      <c r="J82" s="59" t="n">
        <f aca="false">K83-K82</f>
        <v>30</v>
      </c>
      <c r="K82" s="478" t="n">
        <v>38808</v>
      </c>
      <c r="L82" s="490" t="n">
        <v>0.073623540061079</v>
      </c>
      <c r="M82" s="491" t="n">
        <v>0.065752188000294</v>
      </c>
      <c r="N82" s="480" t="n">
        <f aca="false">(1+L82/2)^(-2*((K82+$T$1)-$K$1)/365.25)</f>
        <v>0.6389314389068</v>
      </c>
      <c r="O82" s="127" t="n">
        <f aca="false">VLOOKUP(K82,Inflation!$B$8:$C$266,2)</f>
        <v>1.18380310872544</v>
      </c>
      <c r="P82" s="480"/>
      <c r="Q82" s="481" t="n">
        <f aca="false">VLOOKUP(K82,'Fuel Curve'!$B$11:$F$268,5)</f>
        <v>4.42879310344828</v>
      </c>
      <c r="R82" s="482" t="n">
        <f aca="false">VLOOKUP(K82,'Fuel Curve Simulation'!$B$12:$J$258,9)</f>
        <v>4.42879310344828</v>
      </c>
      <c r="S82" s="481" t="n">
        <f aca="false">(R82*$S$2)/1000</f>
        <v>42.423409137931</v>
      </c>
      <c r="T82" s="483"/>
      <c r="V82" s="128" t="n">
        <f aca="false">VLOOKUP(K82,PJM_01212000!$A$7:$C$259,3)</f>
        <v>27.3250007629395</v>
      </c>
      <c r="W82" s="128"/>
      <c r="X82" s="484" t="n">
        <f aca="false">'PJM Curve Simulation'!J82</f>
        <v>27.3250007629395</v>
      </c>
      <c r="Y82" s="489"/>
      <c r="Z82" s="483"/>
      <c r="AA82" s="59" t="n">
        <f aca="false">AA81</f>
        <v>315</v>
      </c>
      <c r="AB82" s="425" t="n">
        <f aca="false">AA82*F82*16</f>
        <v>110880</v>
      </c>
      <c r="AC82" s="425" t="n">
        <f aca="false">VLOOKUP(K82,'Company Volumes'!$B$20:$C$259,2)</f>
        <v>8623.62748091911</v>
      </c>
      <c r="AD82" s="485" t="n">
        <f aca="false">IF(V82&gt;S82+($AM$5*1000*O82),AA82*F82*16,0)</f>
        <v>0</v>
      </c>
      <c r="AE82" s="425"/>
      <c r="AF82" s="425" t="n">
        <v>0</v>
      </c>
      <c r="AG82" s="425" t="n">
        <v>0</v>
      </c>
      <c r="AH82" s="425" t="n">
        <f aca="false">X82*AD82</f>
        <v>0</v>
      </c>
      <c r="AI82" s="425" t="n">
        <f aca="false">SUM(AF82:AH82)</f>
        <v>0</v>
      </c>
      <c r="AJ82" s="425" t="n">
        <f aca="false">(AD82*1000*$S$2)/1000000*R82</f>
        <v>0</v>
      </c>
      <c r="AK82" s="425" t="n">
        <f aca="false">($AK$5*O82)/12</f>
        <v>59190.155436272</v>
      </c>
      <c r="AL82" s="425" t="n">
        <f aca="false">($AL$5*O82)/12</f>
        <v>150934.896362494</v>
      </c>
      <c r="AM82" s="425" t="n">
        <f aca="false">AD82*$AM$5*1000*O82</f>
        <v>0</v>
      </c>
      <c r="AN82" s="425" t="n">
        <f aca="false">(($AN$5*O82)/12)*$S$4</f>
        <v>135348.155430942</v>
      </c>
      <c r="AO82" s="425" t="n">
        <f aca="false">($AO$5*O82)/12</f>
        <v>29595.077718136</v>
      </c>
      <c r="AP82" s="425" t="n">
        <f aca="false">AP81</f>
        <v>46500.5582152336</v>
      </c>
      <c r="AQ82" s="433" t="n">
        <f aca="false">SUM(AK82:AP82)</f>
        <v>421568.843163078</v>
      </c>
      <c r="AR82" s="425" t="n">
        <f aca="false">($AR$5*O82)/12</f>
        <v>14797.538859068</v>
      </c>
      <c r="AS82" s="433" t="n">
        <f aca="false">AS81</f>
        <v>30387.755</v>
      </c>
      <c r="AT82" s="425" t="n">
        <f aca="false">(AI82/100)*$AT$6*O82</f>
        <v>0</v>
      </c>
      <c r="AU82" s="433" t="n">
        <f aca="false">SUM(AJ82:AT82)-AQ82</f>
        <v>466754.137022146</v>
      </c>
      <c r="AV82" s="433" t="n">
        <f aca="false">AI82-AU82</f>
        <v>-466754.137022146</v>
      </c>
      <c r="AW82" s="493"/>
      <c r="AX82" s="423" t="n">
        <f aca="false">K82</f>
        <v>38808</v>
      </c>
      <c r="BA82" s="126"/>
      <c r="BB82" s="481" t="n">
        <f aca="false">X82</f>
        <v>27.3250007629395</v>
      </c>
      <c r="BC82" s="481" t="n">
        <f aca="false">'Curve Analysis - Base Case'!D74</f>
        <v>44.7910153553819</v>
      </c>
      <c r="BD82" s="479" t="n">
        <f aca="false">L82</f>
        <v>0.073623540061079</v>
      </c>
      <c r="BE82" s="479" t="n">
        <f aca="false">L82</f>
        <v>0.073623540061079</v>
      </c>
      <c r="BF82" s="489" t="n">
        <f aca="false">PJM_01212000!X82</f>
        <v>0.13036142592</v>
      </c>
      <c r="BG82" s="425" t="n">
        <f aca="false">(AX82+15)-$K$1</f>
        <v>2234</v>
      </c>
      <c r="BH82" s="433" t="n">
        <f aca="false">AD82</f>
        <v>0</v>
      </c>
      <c r="BJ82" s="486" t="e">
        <f aca="false">EURO(BB82,BC82,BD82,BE82,BF82,BG82,1,0)*BH82</f>
        <v>#NAME?</v>
      </c>
      <c r="BK82" s="433" t="n">
        <f aca="false">(AI82-AJ82)*N82</f>
        <v>0</v>
      </c>
      <c r="BM82" s="433" t="e">
        <f aca="false">BJ82-BK82</f>
        <v>#NAME?</v>
      </c>
    </row>
    <row r="83" customFormat="false" ht="16.5" hidden="false" customHeight="false" outlineLevel="0" collapsed="false">
      <c r="A83" s="59" t="n">
        <f aca="false">A82+1</f>
        <v>77</v>
      </c>
      <c r="C83" s="59" t="n">
        <v>31</v>
      </c>
      <c r="D83" s="59" t="s">
        <v>29</v>
      </c>
      <c r="E83" s="125" t="n">
        <f aca="false">E82+C82</f>
        <v>38838</v>
      </c>
      <c r="F83" s="425" t="n">
        <f aca="false">F35</f>
        <v>23</v>
      </c>
      <c r="G83" s="433" t="n">
        <f aca="false">C83-F83</f>
        <v>8</v>
      </c>
      <c r="H83" s="433"/>
      <c r="I83" s="433"/>
      <c r="J83" s="59" t="n">
        <f aca="false">K84-K83</f>
        <v>31</v>
      </c>
      <c r="K83" s="478" t="n">
        <v>38838</v>
      </c>
      <c r="L83" s="490" t="n">
        <v>0.073647002396816</v>
      </c>
      <c r="M83" s="491" t="n">
        <v>0.065739378922018</v>
      </c>
      <c r="N83" s="480" t="n">
        <f aca="false">(1+L83/2)^(-2*((K83+$T$1)-$K$1)/365.25)</f>
        <v>0.635058186407129</v>
      </c>
      <c r="O83" s="127" t="n">
        <f aca="false">VLOOKUP(K83,Inflation!$B$8:$C$266,2)</f>
        <v>1.18643426182604</v>
      </c>
      <c r="P83" s="480"/>
      <c r="Q83" s="481" t="n">
        <f aca="false">VLOOKUP(K83,'Fuel Curve'!$B$11:$F$268,5)</f>
        <v>4.35931034482759</v>
      </c>
      <c r="R83" s="482" t="n">
        <f aca="false">VLOOKUP(K83,'Fuel Curve Simulation'!$B$12:$J$258,9)</f>
        <v>4.35931034482759</v>
      </c>
      <c r="S83" s="481" t="n">
        <f aca="false">(R83*$S$2)/1000</f>
        <v>41.7578337931035</v>
      </c>
      <c r="T83" s="483"/>
      <c r="V83" s="128" t="n">
        <f aca="false">VLOOKUP(K83,PJM_01212000!$A$7:$C$259,3)</f>
        <v>32.575</v>
      </c>
      <c r="W83" s="128"/>
      <c r="X83" s="484" t="n">
        <f aca="false">'PJM Curve Simulation'!J83</f>
        <v>32.575</v>
      </c>
      <c r="Y83" s="489"/>
      <c r="Z83" s="483"/>
      <c r="AA83" s="59" t="n">
        <f aca="false">AA82</f>
        <v>315</v>
      </c>
      <c r="AB83" s="425" t="n">
        <f aca="false">AA83*F83*16</f>
        <v>115920</v>
      </c>
      <c r="AC83" s="425" t="n">
        <f aca="false">VLOOKUP(K83,'Company Volumes'!$B$20:$C$259,2)</f>
        <v>17152.2510153742</v>
      </c>
      <c r="AD83" s="485" t="n">
        <f aca="false">IF(V83&gt;S83+($AM$5*1000*O83),AA83*F83*16,0)</f>
        <v>0</v>
      </c>
      <c r="AE83" s="425"/>
      <c r="AF83" s="425" t="n">
        <v>0</v>
      </c>
      <c r="AG83" s="425" t="n">
        <v>0</v>
      </c>
      <c r="AH83" s="425" t="n">
        <f aca="false">X83*AD83</f>
        <v>0</v>
      </c>
      <c r="AI83" s="425" t="n">
        <f aca="false">SUM(AF83:AH83)</f>
        <v>0</v>
      </c>
      <c r="AJ83" s="425" t="n">
        <f aca="false">(AD83*1000*$S$2)/1000000*R83</f>
        <v>0</v>
      </c>
      <c r="AK83" s="425" t="n">
        <f aca="false">($AK$5*O83)/12</f>
        <v>59321.7130913019</v>
      </c>
      <c r="AL83" s="425" t="n">
        <f aca="false">($AL$5*O83)/12</f>
        <v>151270.36838282</v>
      </c>
      <c r="AM83" s="425" t="n">
        <f aca="false">AD83*$AM$5*1000*O83</f>
        <v>0</v>
      </c>
      <c r="AN83" s="425" t="n">
        <f aca="false">(($AN$5*O83)/12)*$S$4</f>
        <v>135648.983935444</v>
      </c>
      <c r="AO83" s="425" t="n">
        <f aca="false">($AO$5*O83)/12</f>
        <v>29660.856545651</v>
      </c>
      <c r="AP83" s="425" t="n">
        <f aca="false">AP82</f>
        <v>46500.5582152336</v>
      </c>
      <c r="AQ83" s="433" t="n">
        <f aca="false">SUM(AK83:AP83)</f>
        <v>422402.48017045</v>
      </c>
      <c r="AR83" s="425" t="n">
        <f aca="false">($AR$5*O83)/12</f>
        <v>14830.4282728255</v>
      </c>
      <c r="AS83" s="433" t="n">
        <f aca="false">AS82</f>
        <v>30387.755</v>
      </c>
      <c r="AT83" s="425" t="n">
        <f aca="false">(AI83/100)*$AT$6*O83</f>
        <v>0</v>
      </c>
      <c r="AU83" s="433" t="n">
        <f aca="false">SUM(AJ83:AT83)-AQ83</f>
        <v>467620.663443276</v>
      </c>
      <c r="AV83" s="433" t="n">
        <f aca="false">AI83-AU83</f>
        <v>-467620.663443276</v>
      </c>
      <c r="AW83" s="493"/>
      <c r="AX83" s="423" t="n">
        <f aca="false">K83</f>
        <v>38838</v>
      </c>
      <c r="BA83" s="126"/>
      <c r="BB83" s="481" t="n">
        <f aca="false">X83</f>
        <v>32.575</v>
      </c>
      <c r="BC83" s="481" t="n">
        <f aca="false">'Curve Analysis - Base Case'!D75</f>
        <v>44.1307023167555</v>
      </c>
      <c r="BD83" s="479" t="n">
        <f aca="false">L83</f>
        <v>0.073647002396816</v>
      </c>
      <c r="BE83" s="479" t="n">
        <f aca="false">L83</f>
        <v>0.073647002396816</v>
      </c>
      <c r="BF83" s="489" t="n">
        <f aca="false">PJM_01212000!X83</f>
        <v>0.14408368128</v>
      </c>
      <c r="BG83" s="425" t="n">
        <f aca="false">(AX83+15)-$K$1</f>
        <v>2264</v>
      </c>
      <c r="BH83" s="433" t="n">
        <f aca="false">AD83</f>
        <v>0</v>
      </c>
      <c r="BJ83" s="486" t="e">
        <f aca="false">EURO(BB83,BC83,BD83,BE83,BF83,BG83,1,0)*BH83</f>
        <v>#NAME?</v>
      </c>
      <c r="BK83" s="433" t="n">
        <f aca="false">(AI83-AJ83)*N83</f>
        <v>0</v>
      </c>
      <c r="BM83" s="433" t="e">
        <f aca="false">BJ83-BK83</f>
        <v>#NAME?</v>
      </c>
    </row>
    <row r="84" customFormat="false" ht="16.5" hidden="false" customHeight="false" outlineLevel="0" collapsed="false">
      <c r="A84" s="59" t="n">
        <f aca="false">A83+1</f>
        <v>78</v>
      </c>
      <c r="C84" s="59" t="n">
        <v>30</v>
      </c>
      <c r="D84" s="59" t="s">
        <v>168</v>
      </c>
      <c r="E84" s="125" t="n">
        <f aca="false">E83+C83</f>
        <v>38869</v>
      </c>
      <c r="F84" s="425" t="n">
        <f aca="false">F36</f>
        <v>20</v>
      </c>
      <c r="G84" s="433" t="n">
        <f aca="false">C84-F84</f>
        <v>10</v>
      </c>
      <c r="H84" s="433"/>
      <c r="I84" s="433"/>
      <c r="J84" s="59" t="n">
        <f aca="false">K85-K84</f>
        <v>30</v>
      </c>
      <c r="K84" s="478" t="n">
        <v>38869</v>
      </c>
      <c r="L84" s="490" t="n">
        <v>0.073671246810602</v>
      </c>
      <c r="M84" s="491" t="n">
        <v>0.065726142875664</v>
      </c>
      <c r="N84" s="480" t="n">
        <f aca="false">(1+L84/2)^(-2*((K84+$T$1)-$K$1)/365.25)</f>
        <v>0.631078027386403</v>
      </c>
      <c r="O84" s="127" t="n">
        <f aca="false">VLOOKUP(K84,Inflation!$B$8:$C$266,2)</f>
        <v>1.18907126299933</v>
      </c>
      <c r="P84" s="480"/>
      <c r="Q84" s="481" t="n">
        <f aca="false">VLOOKUP(K84,'Fuel Curve'!$B$11:$F$268,5)</f>
        <v>4.35137931034483</v>
      </c>
      <c r="R84" s="482" t="n">
        <f aca="false">VLOOKUP(K84,'Fuel Curve Simulation'!$B$12:$J$258,9)</f>
        <v>4.35137931034483</v>
      </c>
      <c r="S84" s="481" t="n">
        <f aca="false">(R84*$S$2)/1000</f>
        <v>41.6818624137931</v>
      </c>
      <c r="T84" s="483"/>
      <c r="V84" s="128" t="n">
        <f aca="false">VLOOKUP(K84,PJM_01212000!$A$7:$C$259,3)</f>
        <v>57.3499984741211</v>
      </c>
      <c r="W84" s="128"/>
      <c r="X84" s="484" t="n">
        <f aca="false">'PJM Curve Simulation'!J84</f>
        <v>57.3499984741211</v>
      </c>
      <c r="Y84" s="489"/>
      <c r="Z84" s="483"/>
      <c r="AA84" s="59" t="n">
        <f aca="false">AA83</f>
        <v>315</v>
      </c>
      <c r="AB84" s="425" t="n">
        <f aca="false">AA84*F84*16</f>
        <v>100800</v>
      </c>
      <c r="AC84" s="425" t="n">
        <f aca="false">VLOOKUP(K84,'Company Volumes'!$B$20:$C$259,2)</f>
        <v>32157.3695135529</v>
      </c>
      <c r="AD84" s="485" t="n">
        <f aca="false">IF(V84&gt;S84+($AM$5*1000*O84),AA84*F84*16,0)</f>
        <v>100800</v>
      </c>
      <c r="AE84" s="425"/>
      <c r="AF84" s="425" t="n">
        <v>0</v>
      </c>
      <c r="AG84" s="425" t="n">
        <v>0</v>
      </c>
      <c r="AH84" s="425" t="n">
        <f aca="false">X84*AD84</f>
        <v>5780879.84619141</v>
      </c>
      <c r="AI84" s="425" t="n">
        <f aca="false">SUM(AF84:AH84)</f>
        <v>5780879.84619141</v>
      </c>
      <c r="AJ84" s="425" t="n">
        <f aca="false">(AD84*1000*$S$2)/1000000*R84</f>
        <v>4201531.73131035</v>
      </c>
      <c r="AK84" s="425" t="n">
        <f aca="false">($AK$5*O84)/12</f>
        <v>59453.5631499667</v>
      </c>
      <c r="AL84" s="425" t="n">
        <f aca="false">($AL$5*O84)/12</f>
        <v>151606.586032415</v>
      </c>
      <c r="AM84" s="425" t="n">
        <f aca="false">AD84*$AM$5*1000*O84</f>
        <v>239716.766620666</v>
      </c>
      <c r="AN84" s="425" t="n">
        <f aca="false">(($AN$5*O84)/12)*$S$4</f>
        <v>135950.481069591</v>
      </c>
      <c r="AO84" s="425" t="n">
        <f aca="false">($AO$5*O84)/12</f>
        <v>29726.7815749834</v>
      </c>
      <c r="AP84" s="425" t="n">
        <f aca="false">AP83</f>
        <v>46500.5582152336</v>
      </c>
      <c r="AQ84" s="433" t="n">
        <f aca="false">SUM(AK84:AP84)</f>
        <v>662954.736662855</v>
      </c>
      <c r="AR84" s="425" t="n">
        <f aca="false">($AR$5*O84)/12</f>
        <v>14863.3907874917</v>
      </c>
      <c r="AS84" s="433" t="n">
        <f aca="false">AS83</f>
        <v>30387.755</v>
      </c>
      <c r="AT84" s="425" t="n">
        <f aca="false">(AI84/100)*$AT$6*O84</f>
        <v>41243.2685997493</v>
      </c>
      <c r="AU84" s="433" t="n">
        <f aca="false">SUM(AJ84:AT84)-AQ84</f>
        <v>4950980.88236044</v>
      </c>
      <c r="AV84" s="433" t="n">
        <f aca="false">AI84-AU84</f>
        <v>829898.963830965</v>
      </c>
      <c r="AW84" s="493"/>
      <c r="AX84" s="423" t="n">
        <f aca="false">K84</f>
        <v>38869</v>
      </c>
      <c r="BA84" s="126"/>
      <c r="BB84" s="481" t="n">
        <f aca="false">X84</f>
        <v>57.3499984741211</v>
      </c>
      <c r="BC84" s="481" t="n">
        <f aca="false">'Curve Analysis - Base Case'!D76</f>
        <v>44.0600049397918</v>
      </c>
      <c r="BD84" s="479" t="n">
        <f aca="false">L84</f>
        <v>0.073671246810602</v>
      </c>
      <c r="BE84" s="479" t="n">
        <f aca="false">L84</f>
        <v>0.073671246810602</v>
      </c>
      <c r="BF84" s="489" t="n">
        <f aca="false">PJM_01212000!X84</f>
        <v>0.18525044736</v>
      </c>
      <c r="BG84" s="425" t="n">
        <f aca="false">(AX84+15)-$K$1</f>
        <v>2295</v>
      </c>
      <c r="BH84" s="433" t="n">
        <f aca="false">AD84</f>
        <v>100800</v>
      </c>
      <c r="BJ84" s="486" t="e">
        <f aca="false">EURO(BB84,BC84,BD84,BE84,BF84,BG84,1,0)*BH84</f>
        <v>#NAME?</v>
      </c>
      <c r="BK84" s="433" t="n">
        <f aca="false">(AI84-AJ84)*N84</f>
        <v>996691.892895574</v>
      </c>
      <c r="BM84" s="433" t="e">
        <f aca="false">BJ84-BK84</f>
        <v>#NAME?</v>
      </c>
    </row>
    <row r="85" customFormat="false" ht="16.5" hidden="false" customHeight="false" outlineLevel="0" collapsed="false">
      <c r="A85" s="59" t="n">
        <f aca="false">A84+1</f>
        <v>79</v>
      </c>
      <c r="C85" s="59" t="n">
        <v>31</v>
      </c>
      <c r="D85" s="59" t="s">
        <v>169</v>
      </c>
      <c r="E85" s="125" t="n">
        <f aca="false">E84+C84</f>
        <v>38899</v>
      </c>
      <c r="F85" s="425" t="n">
        <f aca="false">F37</f>
        <v>23</v>
      </c>
      <c r="G85" s="433" t="n">
        <f aca="false">C85-F85</f>
        <v>8</v>
      </c>
      <c r="H85" s="433"/>
      <c r="I85" s="433"/>
      <c r="J85" s="59" t="n">
        <f aca="false">K86-K85</f>
        <v>31</v>
      </c>
      <c r="K85" s="478" t="n">
        <v>38899</v>
      </c>
      <c r="L85" s="490" t="n">
        <v>0.073694709146709</v>
      </c>
      <c r="M85" s="491" t="n">
        <v>0.065713333799709</v>
      </c>
      <c r="N85" s="480" t="n">
        <f aca="false">(1+L85/2)^(-2*((K85+$T$1)-$K$1)/365.25)</f>
        <v>0.627247643899929</v>
      </c>
      <c r="O85" s="127" t="n">
        <f aca="false">VLOOKUP(K85,Inflation!$B$8:$C$266,2)</f>
        <v>1.19171412524341</v>
      </c>
      <c r="P85" s="480"/>
      <c r="Q85" s="481" t="n">
        <f aca="false">VLOOKUP(K85,'Fuel Curve'!$B$11:$F$268,5)</f>
        <v>4.40637931034483</v>
      </c>
      <c r="R85" s="482" t="n">
        <f aca="false">VLOOKUP(K85,'Fuel Curve Simulation'!$B$12:$J$258,9)</f>
        <v>4.40637931034483</v>
      </c>
      <c r="S85" s="481" t="n">
        <f aca="false">(R85*$S$2)/1000</f>
        <v>42.2087074137931</v>
      </c>
      <c r="T85" s="483"/>
      <c r="V85" s="128" t="n">
        <f aca="false">VLOOKUP(K85,PJM_01212000!$A$7:$C$259,3)</f>
        <v>97.9499969482422</v>
      </c>
      <c r="W85" s="128"/>
      <c r="X85" s="484" t="n">
        <f aca="false">'PJM Curve Simulation'!J85</f>
        <v>97.9499969482422</v>
      </c>
      <c r="Y85" s="489"/>
      <c r="Z85" s="483"/>
      <c r="AA85" s="59" t="n">
        <f aca="false">AA84</f>
        <v>315</v>
      </c>
      <c r="AB85" s="425" t="n">
        <f aca="false">AA85*F85*16</f>
        <v>115920</v>
      </c>
      <c r="AC85" s="425" t="n">
        <f aca="false">VLOOKUP(K85,'Company Volumes'!$B$20:$C$259,2)</f>
        <v>51574.4854995067</v>
      </c>
      <c r="AD85" s="485" t="n">
        <f aca="false">IF(V85&gt;S85+($AM$5*1000*O85),AA85*F85*16,0)</f>
        <v>115920</v>
      </c>
      <c r="AE85" s="425"/>
      <c r="AF85" s="425" t="n">
        <v>0</v>
      </c>
      <c r="AG85" s="425" t="n">
        <v>0</v>
      </c>
      <c r="AH85" s="425" t="n">
        <f aca="false">X85*AD85</f>
        <v>11354363.6462402</v>
      </c>
      <c r="AI85" s="425" t="n">
        <f aca="false">SUM(AF85:AH85)</f>
        <v>11354363.6462402</v>
      </c>
      <c r="AJ85" s="425" t="n">
        <f aca="false">(AD85*1000*$S$2)/1000000*R85</f>
        <v>4892833.3634069</v>
      </c>
      <c r="AK85" s="425" t="n">
        <f aca="false">($AK$5*O85)/12</f>
        <v>59585.7062621706</v>
      </c>
      <c r="AL85" s="425" t="n">
        <f aca="false">($AL$5*O85)/12</f>
        <v>151943.550968535</v>
      </c>
      <c r="AM85" s="425" t="n">
        <f aca="false">AD85*$AM$5*1000*O85</f>
        <v>276287.002796433</v>
      </c>
      <c r="AN85" s="425" t="n">
        <f aca="false">(($AN$5*O85)/12)*$S$4</f>
        <v>136252.648319497</v>
      </c>
      <c r="AO85" s="425" t="n">
        <f aca="false">($AO$5*O85)/12</f>
        <v>29792.8531310853</v>
      </c>
      <c r="AP85" s="425" t="n">
        <f aca="false">AP84</f>
        <v>46500.5582152336</v>
      </c>
      <c r="AQ85" s="433" t="n">
        <f aca="false">SUM(AK85:AP85)</f>
        <v>700362.319692954</v>
      </c>
      <c r="AR85" s="425" t="n">
        <f aca="false">($AR$5*O85)/12</f>
        <v>14896.4265655427</v>
      </c>
      <c r="AS85" s="433" t="n">
        <f aca="false">AS84</f>
        <v>30387.755</v>
      </c>
      <c r="AT85" s="425" t="n">
        <f aca="false">(AI85/100)*$AT$6*O85</f>
        <v>81186.9332422487</v>
      </c>
      <c r="AU85" s="433" t="n">
        <f aca="false">SUM(AJ85:AT85)-AQ85</f>
        <v>5719666.79790764</v>
      </c>
      <c r="AV85" s="433" t="n">
        <f aca="false">AI85-AU85</f>
        <v>5634696.84833259</v>
      </c>
      <c r="AW85" s="493"/>
      <c r="AX85" s="423" t="n">
        <f aca="false">K85</f>
        <v>38899</v>
      </c>
      <c r="BA85" s="126"/>
      <c r="BB85" s="481" t="n">
        <f aca="false">X85</f>
        <v>97.9499969482422</v>
      </c>
      <c r="BC85" s="481" t="n">
        <f aca="false">'Curve Analysis - Base Case'!D77</f>
        <v>44.5921356642799</v>
      </c>
      <c r="BD85" s="479" t="n">
        <f aca="false">L85</f>
        <v>0.073694709146709</v>
      </c>
      <c r="BE85" s="479" t="n">
        <f aca="false">L85</f>
        <v>0.073694709146709</v>
      </c>
      <c r="BF85" s="489" t="n">
        <f aca="false">PJM_01212000!X85</f>
        <v>0.22641721344</v>
      </c>
      <c r="BG85" s="425" t="n">
        <f aca="false">(AX85+15)-$K$1</f>
        <v>2325</v>
      </c>
      <c r="BH85" s="433" t="n">
        <f aca="false">AD85</f>
        <v>115920</v>
      </c>
      <c r="BJ85" s="486" t="e">
        <f aca="false">EURO(BB85,BC85,BD85,BE85,BF85,BG85,1,0)*BH85</f>
        <v>#NAME?</v>
      </c>
      <c r="BK85" s="433" t="n">
        <f aca="false">(AI85-AJ85)*N85</f>
        <v>4052979.64589525</v>
      </c>
      <c r="BM85" s="433" t="e">
        <f aca="false">BJ85-BK85</f>
        <v>#NAME?</v>
      </c>
    </row>
    <row r="86" customFormat="false" ht="16.5" hidden="false" customHeight="false" outlineLevel="0" collapsed="false">
      <c r="A86" s="59" t="n">
        <f aca="false">A85+1</f>
        <v>80</v>
      </c>
      <c r="C86" s="59" t="n">
        <v>31</v>
      </c>
      <c r="D86" s="59" t="s">
        <v>170</v>
      </c>
      <c r="E86" s="125" t="n">
        <f aca="false">E85+C85</f>
        <v>38930</v>
      </c>
      <c r="F86" s="425" t="n">
        <f aca="false">F38</f>
        <v>22</v>
      </c>
      <c r="G86" s="433" t="n">
        <f aca="false">C86-F86</f>
        <v>9</v>
      </c>
      <c r="H86" s="433"/>
      <c r="I86" s="433"/>
      <c r="J86" s="59" t="n">
        <f aca="false">K87-K86</f>
        <v>31</v>
      </c>
      <c r="K86" s="478" t="n">
        <v>38930</v>
      </c>
      <c r="L86" s="490" t="n">
        <v>0.073718953560877</v>
      </c>
      <c r="M86" s="491" t="n">
        <v>0.065700097755754</v>
      </c>
      <c r="N86" s="480" t="n">
        <f aca="false">(1+L86/2)^(-2*((K86+$T$1)-$K$1)/365.25)</f>
        <v>0.623311570478852</v>
      </c>
      <c r="O86" s="127" t="n">
        <f aca="false">VLOOKUP(K86,Inflation!$B$8:$C$266,2)</f>
        <v>1.19436286158525</v>
      </c>
      <c r="P86" s="480"/>
      <c r="Q86" s="481" t="n">
        <f aca="false">VLOOKUP(K86,'Fuel Curve'!$B$11:$F$268,5)</f>
        <v>4.49465517241379</v>
      </c>
      <c r="R86" s="482" t="n">
        <f aca="false">VLOOKUP(K86,'Fuel Curve Simulation'!$B$12:$J$258,9)</f>
        <v>4.49465517241379</v>
      </c>
      <c r="S86" s="481" t="n">
        <f aca="false">(R86*$S$2)/1000</f>
        <v>43.0543018965517</v>
      </c>
      <c r="T86" s="483"/>
      <c r="V86" s="128" t="n">
        <f aca="false">VLOOKUP(K86,PJM_01212000!$A$7:$C$259,3)</f>
        <v>84.9499969482422</v>
      </c>
      <c r="W86" s="128"/>
      <c r="X86" s="484" t="n">
        <f aca="false">'PJM Curve Simulation'!J86</f>
        <v>84.9499969482422</v>
      </c>
      <c r="Y86" s="489"/>
      <c r="Z86" s="483"/>
      <c r="AA86" s="59" t="n">
        <f aca="false">AA85</f>
        <v>315</v>
      </c>
      <c r="AB86" s="425" t="n">
        <f aca="false">AA86*F86*16</f>
        <v>110880</v>
      </c>
      <c r="AC86" s="425" t="n">
        <f aca="false">VLOOKUP(K86,'Company Volumes'!$B$20:$C$259,2)</f>
        <v>34382.9903330044</v>
      </c>
      <c r="AD86" s="485" t="n">
        <f aca="false">IF(V86&gt;S86+($AM$5*1000*O86),AA86*F86*16,0)</f>
        <v>110880</v>
      </c>
      <c r="AE86" s="425"/>
      <c r="AF86" s="425" t="n">
        <v>0</v>
      </c>
      <c r="AG86" s="425" t="n">
        <v>0</v>
      </c>
      <c r="AH86" s="425" t="n">
        <f aca="false">X86*AD86</f>
        <v>9419255.66162109</v>
      </c>
      <c r="AI86" s="425" t="n">
        <f aca="false">SUM(AF86:AH86)</f>
        <v>9419255.66162109</v>
      </c>
      <c r="AJ86" s="425" t="n">
        <f aca="false">(AD86*1000*$S$2)/1000000*R86</f>
        <v>4773860.99428966</v>
      </c>
      <c r="AK86" s="425" t="n">
        <f aca="false">($AK$5*O86)/12</f>
        <v>59718.1430792624</v>
      </c>
      <c r="AL86" s="425" t="n">
        <f aca="false">($AL$5*O86)/12</f>
        <v>152281.264852119</v>
      </c>
      <c r="AM86" s="425" t="n">
        <f aca="false">AD86*$AM$5*1000*O86</f>
        <v>264861.908185145</v>
      </c>
      <c r="AN86" s="425" t="n">
        <f aca="false">(($AN$5*O86)/12)*$S$4</f>
        <v>136555.48717458</v>
      </c>
      <c r="AO86" s="425" t="n">
        <f aca="false">($AO$5*O86)/12</f>
        <v>29859.0715396312</v>
      </c>
      <c r="AP86" s="425" t="n">
        <f aca="false">AP85</f>
        <v>46500.5582152336</v>
      </c>
      <c r="AQ86" s="433" t="n">
        <f aca="false">SUM(AK86:AP86)</f>
        <v>689776.433045971</v>
      </c>
      <c r="AR86" s="425" t="n">
        <f aca="false">($AR$5*O86)/12</f>
        <v>14929.5357698156</v>
      </c>
      <c r="AS86" s="433" t="n">
        <f aca="false">AS85</f>
        <v>30387.755</v>
      </c>
      <c r="AT86" s="425" t="n">
        <f aca="false">(AI86/100)*$AT$6*O86</f>
        <v>67500.054876101</v>
      </c>
      <c r="AU86" s="433" t="n">
        <f aca="false">SUM(AJ86:AT86)-AQ86</f>
        <v>5576454.77298154</v>
      </c>
      <c r="AV86" s="433" t="n">
        <f aca="false">AI86-AU86</f>
        <v>3842800.88863955</v>
      </c>
      <c r="AW86" s="493"/>
      <c r="AX86" s="423" t="n">
        <f aca="false">K86</f>
        <v>38930</v>
      </c>
      <c r="BA86" s="126"/>
      <c r="BB86" s="481" t="n">
        <f aca="false">X86</f>
        <v>84.9499969482422</v>
      </c>
      <c r="BC86" s="481" t="n">
        <f aca="false">'Curve Analysis - Base Case'!D78</f>
        <v>45.4430276197222</v>
      </c>
      <c r="BD86" s="479" t="n">
        <f aca="false">L86</f>
        <v>0.073718953560877</v>
      </c>
      <c r="BE86" s="479" t="n">
        <f aca="false">L86</f>
        <v>0.073718953560877</v>
      </c>
      <c r="BF86" s="489" t="n">
        <f aca="false">PJM_01212000!X86</f>
        <v>0.22641721344</v>
      </c>
      <c r="BG86" s="425" t="n">
        <f aca="false">(AX86+15)-$K$1</f>
        <v>2356</v>
      </c>
      <c r="BH86" s="433" t="n">
        <f aca="false">AD86</f>
        <v>110880</v>
      </c>
      <c r="BJ86" s="486" t="e">
        <f aca="false">EURO(BB86,BC86,BD86,BE86,BF86,BG86,1,0)*BH86</f>
        <v>#NAME?</v>
      </c>
      <c r="BK86" s="433" t="n">
        <f aca="false">(AI86-AJ86)*N86</f>
        <v>2895528.24558845</v>
      </c>
      <c r="BM86" s="433" t="e">
        <f aca="false">BJ86-BK86</f>
        <v>#NAME?</v>
      </c>
    </row>
    <row r="87" customFormat="false" ht="16.5" hidden="false" customHeight="false" outlineLevel="0" collapsed="false">
      <c r="A87" s="59" t="n">
        <f aca="false">A86+1</f>
        <v>81</v>
      </c>
      <c r="C87" s="59" t="n">
        <v>30</v>
      </c>
      <c r="D87" s="59" t="s">
        <v>171</v>
      </c>
      <c r="E87" s="125" t="n">
        <f aca="false">E86+C86</f>
        <v>38961</v>
      </c>
      <c r="F87" s="425" t="n">
        <f aca="false">F39</f>
        <v>21</v>
      </c>
      <c r="G87" s="433" t="n">
        <f aca="false">C87-F87</f>
        <v>9</v>
      </c>
      <c r="H87" s="433"/>
      <c r="I87" s="433"/>
      <c r="J87" s="59" t="n">
        <f aca="false">K88-K87</f>
        <v>30</v>
      </c>
      <c r="K87" s="478" t="n">
        <v>38961</v>
      </c>
      <c r="L87" s="490" t="n">
        <v>0.073743197975239</v>
      </c>
      <c r="M87" s="491" t="n">
        <v>0.065686861713019</v>
      </c>
      <c r="N87" s="480" t="n">
        <f aca="false">(1+L87/2)^(-2*((K87+$T$1)-$K$1)/365.25)</f>
        <v>0.619397739152776</v>
      </c>
      <c r="O87" s="127" t="n">
        <f aca="false">VLOOKUP(K87,Inflation!$B$8:$C$266,2)</f>
        <v>1.19701748508077</v>
      </c>
      <c r="P87" s="480"/>
      <c r="Q87" s="481" t="n">
        <f aca="false">VLOOKUP(K87,'Fuel Curve'!$B$11:$F$268,5)</f>
        <v>4.58810344827586</v>
      </c>
      <c r="R87" s="482" t="n">
        <f aca="false">VLOOKUP(K87,'Fuel Curve Simulation'!$B$12:$J$258,9)</f>
        <v>4.58810344827586</v>
      </c>
      <c r="S87" s="481" t="n">
        <f aca="false">(R87*$S$2)/1000</f>
        <v>43.9494429310345</v>
      </c>
      <c r="T87" s="483"/>
      <c r="V87" s="128" t="n">
        <f aca="false">VLOOKUP(K87,PJM_01212000!$A$7:$C$259,3)</f>
        <v>34.4249984741211</v>
      </c>
      <c r="W87" s="128"/>
      <c r="X87" s="484" t="n">
        <f aca="false">'PJM Curve Simulation'!J87</f>
        <v>34.4249984741211</v>
      </c>
      <c r="Y87" s="489"/>
      <c r="Z87" s="483"/>
      <c r="AA87" s="59" t="n">
        <f aca="false">AA86</f>
        <v>315</v>
      </c>
      <c r="AB87" s="425" t="n">
        <f aca="false">AA87*F87*16</f>
        <v>105840</v>
      </c>
      <c r="AC87" s="425" t="n">
        <f aca="false">VLOOKUP(K87,'Company Volumes'!$B$20:$C$259,2)</f>
        <v>20963.8623528911</v>
      </c>
      <c r="AD87" s="485" t="n">
        <f aca="false">IF(V87&gt;S87+($AM$5*1000*O87),AA87*F87*16,0)</f>
        <v>0</v>
      </c>
      <c r="AE87" s="425"/>
      <c r="AF87" s="425" t="n">
        <v>0</v>
      </c>
      <c r="AG87" s="425" t="n">
        <v>0</v>
      </c>
      <c r="AH87" s="425" t="n">
        <f aca="false">X87*AD87</f>
        <v>0</v>
      </c>
      <c r="AI87" s="425" t="n">
        <f aca="false">SUM(AF87:AH87)</f>
        <v>0</v>
      </c>
      <c r="AJ87" s="425" t="n">
        <f aca="false">(AD87*1000*$S$2)/1000000*R87</f>
        <v>0</v>
      </c>
      <c r="AK87" s="425" t="n">
        <f aca="false">($AK$5*O87)/12</f>
        <v>59850.8742540387</v>
      </c>
      <c r="AL87" s="425" t="n">
        <f aca="false">($AL$5*O87)/12</f>
        <v>152619.729347799</v>
      </c>
      <c r="AM87" s="425" t="n">
        <f aca="false">AD87*$AM$5*1000*O87</f>
        <v>0</v>
      </c>
      <c r="AN87" s="425" t="n">
        <f aca="false">(($AN$5*O87)/12)*$S$4</f>
        <v>136858.999127569</v>
      </c>
      <c r="AO87" s="425" t="n">
        <f aca="false">($AO$5*O87)/12</f>
        <v>29925.4371270194</v>
      </c>
      <c r="AP87" s="425" t="n">
        <f aca="false">AP86</f>
        <v>46500.5582152336</v>
      </c>
      <c r="AQ87" s="433" t="n">
        <f aca="false">SUM(AK87:AP87)</f>
        <v>425755.598071659</v>
      </c>
      <c r="AR87" s="425" t="n">
        <f aca="false">($AR$5*O87)/12</f>
        <v>14962.7185635097</v>
      </c>
      <c r="AS87" s="433" t="n">
        <f aca="false">AS86</f>
        <v>30387.755</v>
      </c>
      <c r="AT87" s="425" t="n">
        <f aca="false">(AI87/100)*$AT$6*O87</f>
        <v>0</v>
      </c>
      <c r="AU87" s="433" t="n">
        <f aca="false">SUM(AJ87:AT87)-AQ87</f>
        <v>471106.071635169</v>
      </c>
      <c r="AV87" s="433" t="n">
        <f aca="false">AI87-AU87</f>
        <v>-471106.071635169</v>
      </c>
      <c r="AW87" s="493"/>
      <c r="AX87" s="423" t="n">
        <f aca="false">K87</f>
        <v>38961</v>
      </c>
      <c r="BA87" s="126"/>
      <c r="BB87" s="481" t="n">
        <f aca="false">X87</f>
        <v>34.4249984741211</v>
      </c>
      <c r="BC87" s="481" t="n">
        <f aca="false">'Curve Analysis - Base Case'!D79</f>
        <v>46.343477901196</v>
      </c>
      <c r="BD87" s="479" t="n">
        <f aca="false">L87</f>
        <v>0.073743197975239</v>
      </c>
      <c r="BE87" s="479" t="n">
        <f aca="false">L87</f>
        <v>0.073743197975239</v>
      </c>
      <c r="BF87" s="489" t="n">
        <f aca="false">PJM_01212000!X87</f>
        <v>0.145539072</v>
      </c>
      <c r="BG87" s="425" t="n">
        <f aca="false">(AX87+15)-$K$1</f>
        <v>2387</v>
      </c>
      <c r="BH87" s="433" t="n">
        <f aca="false">AD87</f>
        <v>0</v>
      </c>
      <c r="BJ87" s="486" t="e">
        <f aca="false">EURO(BB87,BC87,BD87,BE87,BF87,BG87,1,0)*BH87</f>
        <v>#NAME?</v>
      </c>
      <c r="BK87" s="433" t="n">
        <f aca="false">(AI87-AJ87)*N87</f>
        <v>0</v>
      </c>
      <c r="BM87" s="433" t="e">
        <f aca="false">BJ87-BK87</f>
        <v>#NAME?</v>
      </c>
    </row>
    <row r="88" customFormat="false" ht="16.5" hidden="false" customHeight="false" outlineLevel="0" collapsed="false">
      <c r="A88" s="59" t="n">
        <f aca="false">A87+1</f>
        <v>82</v>
      </c>
      <c r="C88" s="59" t="n">
        <v>31</v>
      </c>
      <c r="D88" s="59" t="s">
        <v>172</v>
      </c>
      <c r="E88" s="125" t="n">
        <f aca="false">E87+C87</f>
        <v>38991</v>
      </c>
      <c r="F88" s="425" t="n">
        <f aca="false">F40</f>
        <v>23</v>
      </c>
      <c r="G88" s="433" t="n">
        <f aca="false">C88-F88</f>
        <v>8</v>
      </c>
      <c r="H88" s="433"/>
      <c r="I88" s="433"/>
      <c r="J88" s="59" t="n">
        <f aca="false">K89-K88</f>
        <v>31</v>
      </c>
      <c r="K88" s="478" t="n">
        <v>38991</v>
      </c>
      <c r="L88" s="490" t="n">
        <v>0.073766660311903</v>
      </c>
      <c r="M88" s="491" t="n">
        <v>0.065674052640565</v>
      </c>
      <c r="N88" s="480" t="n">
        <f aca="false">(1+L88/2)^(-2*((K88+$T$1)-$K$1)/365.25)</f>
        <v>0.615631235537524</v>
      </c>
      <c r="O88" s="127" t="n">
        <f aca="false">VLOOKUP(K88,Inflation!$B$8:$C$266,2)</f>
        <v>1.19967800881494</v>
      </c>
      <c r="P88" s="480"/>
      <c r="Q88" s="481" t="n">
        <f aca="false">VLOOKUP(K88,'Fuel Curve'!$B$11:$F$268,5)</f>
        <v>4.67862068965517</v>
      </c>
      <c r="R88" s="482" t="n">
        <f aca="false">VLOOKUP(K88,'Fuel Curve Simulation'!$B$12:$J$258,9)</f>
        <v>4.67862068965517</v>
      </c>
      <c r="S88" s="481" t="n">
        <f aca="false">(R88*$S$2)/1000</f>
        <v>44.8165075862069</v>
      </c>
      <c r="T88" s="483"/>
      <c r="V88" s="128" t="n">
        <f aca="false">VLOOKUP(K88,PJM_01212000!$A$7:$C$259,3)</f>
        <v>28.0750003814697</v>
      </c>
      <c r="W88" s="128"/>
      <c r="X88" s="484" t="n">
        <f aca="false">'PJM Curve Simulation'!J88</f>
        <v>28.0750003814697</v>
      </c>
      <c r="Y88" s="489"/>
      <c r="Z88" s="483"/>
      <c r="AA88" s="59" t="n">
        <f aca="false">AA87</f>
        <v>315</v>
      </c>
      <c r="AB88" s="425" t="n">
        <f aca="false">AA88*F88*16</f>
        <v>115920</v>
      </c>
      <c r="AC88" s="425" t="n">
        <f aca="false">VLOOKUP(K88,'Company Volumes'!$B$20:$C$259,2)</f>
        <v>3790.66232953956</v>
      </c>
      <c r="AD88" s="485" t="n">
        <f aca="false">IF(V88&gt;S88+($AM$5*1000*O88),AA88*F88*16,0)</f>
        <v>0</v>
      </c>
      <c r="AE88" s="425"/>
      <c r="AF88" s="425" t="n">
        <v>0</v>
      </c>
      <c r="AG88" s="425" t="n">
        <v>0</v>
      </c>
      <c r="AH88" s="425" t="n">
        <f aca="false">X88*AD88</f>
        <v>0</v>
      </c>
      <c r="AI88" s="425" t="n">
        <f aca="false">SUM(AF88:AH88)</f>
        <v>0</v>
      </c>
      <c r="AJ88" s="425" t="n">
        <f aca="false">(AD88*1000*$S$2)/1000000*R88</f>
        <v>0</v>
      </c>
      <c r="AK88" s="425" t="n">
        <f aca="false">($AK$5*O88)/12</f>
        <v>59983.9004407469</v>
      </c>
      <c r="AL88" s="425" t="n">
        <f aca="false">($AL$5*O88)/12</f>
        <v>152958.946123905</v>
      </c>
      <c r="AM88" s="425" t="n">
        <f aca="false">AD88*$AM$5*1000*O88</f>
        <v>0</v>
      </c>
      <c r="AN88" s="425" t="n">
        <f aca="false">(($AN$5*O88)/12)*$S$4</f>
        <v>137163.185674508</v>
      </c>
      <c r="AO88" s="425" t="n">
        <f aca="false">($AO$5*O88)/12</f>
        <v>29991.9502203735</v>
      </c>
      <c r="AP88" s="425" t="n">
        <f aca="false">AP87</f>
        <v>46500.5582152336</v>
      </c>
      <c r="AQ88" s="433" t="n">
        <f aca="false">SUM(AK88:AP88)</f>
        <v>426598.540674766</v>
      </c>
      <c r="AR88" s="425" t="n">
        <f aca="false">($AR$5*O88)/12</f>
        <v>14995.9751101867</v>
      </c>
      <c r="AS88" s="433" t="n">
        <f aca="false">AS87</f>
        <v>30387.755</v>
      </c>
      <c r="AT88" s="425" t="n">
        <f aca="false">(AI88/100)*$AT$6*O88</f>
        <v>0</v>
      </c>
      <c r="AU88" s="433" t="n">
        <f aca="false">SUM(AJ88:AT88)-AQ88</f>
        <v>471982.270784953</v>
      </c>
      <c r="AV88" s="433" t="n">
        <f aca="false">AI88-AU88</f>
        <v>-471982.270784953</v>
      </c>
      <c r="AW88" s="493"/>
      <c r="AX88" s="423" t="n">
        <f aca="false">K88</f>
        <v>38991</v>
      </c>
      <c r="BA88" s="126"/>
      <c r="BB88" s="481" t="n">
        <f aca="false">X88</f>
        <v>28.0750003814697</v>
      </c>
      <c r="BC88" s="481" t="n">
        <f aca="false">'Curve Analysis - Base Case'!D80</f>
        <v>47.2158636038368</v>
      </c>
      <c r="BD88" s="479" t="n">
        <f aca="false">L88</f>
        <v>0.073766660311903</v>
      </c>
      <c r="BE88" s="479" t="n">
        <f aca="false">L88</f>
        <v>0.073766660311903</v>
      </c>
      <c r="BF88" s="489" t="n">
        <f aca="false">PJM_01212000!X88</f>
        <v>0.1029169152</v>
      </c>
      <c r="BG88" s="425" t="n">
        <f aca="false">(AX88+15)-$K$1</f>
        <v>2417</v>
      </c>
      <c r="BH88" s="433" t="n">
        <f aca="false">AD88</f>
        <v>0</v>
      </c>
      <c r="BJ88" s="486" t="e">
        <f aca="false">EURO(BB88,BC88,BD88,BE88,BF88,BG88,1,0)*BH88</f>
        <v>#NAME?</v>
      </c>
      <c r="BK88" s="433" t="n">
        <f aca="false">(AI88-AJ88)*N88</f>
        <v>0</v>
      </c>
      <c r="BM88" s="433" t="e">
        <f aca="false">BJ88-BK88</f>
        <v>#NAME?</v>
      </c>
    </row>
    <row r="89" customFormat="false" ht="16.5" hidden="false" customHeight="false" outlineLevel="0" collapsed="false">
      <c r="A89" s="59" t="n">
        <f aca="false">A88+1</f>
        <v>83</v>
      </c>
      <c r="C89" s="59" t="n">
        <v>30</v>
      </c>
      <c r="D89" s="59" t="s">
        <v>173</v>
      </c>
      <c r="E89" s="125" t="n">
        <f aca="false">E88+C88</f>
        <v>39022</v>
      </c>
      <c r="F89" s="425" t="n">
        <f aca="false">F41</f>
        <v>21</v>
      </c>
      <c r="G89" s="433" t="n">
        <f aca="false">C89-F89</f>
        <v>9</v>
      </c>
      <c r="H89" s="433"/>
      <c r="I89" s="433"/>
      <c r="J89" s="59" t="n">
        <f aca="false">K90-K89</f>
        <v>30</v>
      </c>
      <c r="K89" s="478" t="n">
        <v>39022</v>
      </c>
      <c r="L89" s="490" t="n">
        <v>0.073790904726647</v>
      </c>
      <c r="M89" s="491" t="n">
        <v>0.065660816600228</v>
      </c>
      <c r="N89" s="480" t="n">
        <f aca="false">(1+L89/2)^(-2*((K89+$T$1)-$K$1)/365.25)</f>
        <v>0.611760854035467</v>
      </c>
      <c r="O89" s="127" t="n">
        <f aca="false">VLOOKUP(K89,Inflation!$B$8:$C$266,2)</f>
        <v>1.20234444590177</v>
      </c>
      <c r="P89" s="480"/>
      <c r="Q89" s="481" t="n">
        <f aca="false">VLOOKUP(K89,'Fuel Curve'!$B$11:$F$268,5)</f>
        <v>4.76706896551724</v>
      </c>
      <c r="R89" s="482" t="n">
        <f aca="false">VLOOKUP(K89,'Fuel Curve Simulation'!$B$12:$J$258,9)</f>
        <v>4.76706896551724</v>
      </c>
      <c r="S89" s="481" t="n">
        <f aca="false">(R89*$S$2)/1000</f>
        <v>45.6637536206897</v>
      </c>
      <c r="T89" s="483"/>
      <c r="V89" s="128" t="n">
        <f aca="false">VLOOKUP(K89,PJM_01212000!$A$7:$C$259,3)</f>
        <v>27.7474990844727</v>
      </c>
      <c r="W89" s="128"/>
      <c r="X89" s="484" t="n">
        <f aca="false">'PJM Curve Simulation'!J89</f>
        <v>27.7474990844727</v>
      </c>
      <c r="Y89" s="489"/>
      <c r="Z89" s="483"/>
      <c r="AA89" s="59" t="n">
        <f aca="false">AA88</f>
        <v>315</v>
      </c>
      <c r="AB89" s="425" t="n">
        <f aca="false">AA89*F89*16</f>
        <v>105840</v>
      </c>
      <c r="AC89" s="425" t="n">
        <f aca="false">VLOOKUP(K89,'Company Volumes'!$B$20:$C$259,2)</f>
        <v>8111.60044316222</v>
      </c>
      <c r="AD89" s="485" t="n">
        <f aca="false">IF(V89&gt;S89+($AM$5*1000*O89),AA89*F89*16,0)</f>
        <v>0</v>
      </c>
      <c r="AE89" s="425"/>
      <c r="AF89" s="425" t="n">
        <v>0</v>
      </c>
      <c r="AG89" s="425" t="n">
        <v>0</v>
      </c>
      <c r="AH89" s="425" t="n">
        <f aca="false">X89*AD89</f>
        <v>0</v>
      </c>
      <c r="AI89" s="425" t="n">
        <f aca="false">SUM(AF89:AH89)</f>
        <v>0</v>
      </c>
      <c r="AJ89" s="425" t="n">
        <f aca="false">(AD89*1000*$S$2)/1000000*R89</f>
        <v>0</v>
      </c>
      <c r="AK89" s="425" t="n">
        <f aca="false">($AK$5*O89)/12</f>
        <v>60117.2222950885</v>
      </c>
      <c r="AL89" s="425" t="n">
        <f aca="false">($AL$5*O89)/12</f>
        <v>153298.916852476</v>
      </c>
      <c r="AM89" s="425" t="n">
        <f aca="false">AD89*$AM$5*1000*O89</f>
        <v>0</v>
      </c>
      <c r="AN89" s="425" t="n">
        <f aca="false">(($AN$5*O89)/12)*$S$4</f>
        <v>137468.048314769</v>
      </c>
      <c r="AO89" s="425" t="n">
        <f aca="false">($AO$5*O89)/12</f>
        <v>30058.6111475443</v>
      </c>
      <c r="AP89" s="425" t="n">
        <f aca="false">AP88</f>
        <v>46500.5582152336</v>
      </c>
      <c r="AQ89" s="433" t="n">
        <f aca="false">SUM(AK89:AP89)</f>
        <v>427443.356825111</v>
      </c>
      <c r="AR89" s="425" t="n">
        <f aca="false">($AR$5*O89)/12</f>
        <v>15029.3055737721</v>
      </c>
      <c r="AS89" s="433" t="n">
        <f aca="false">AS88</f>
        <v>30387.755</v>
      </c>
      <c r="AT89" s="425" t="n">
        <f aca="false">(AI89/100)*$AT$6*O89</f>
        <v>0</v>
      </c>
      <c r="AU89" s="433" t="n">
        <f aca="false">SUM(AJ89:AT89)-AQ89</f>
        <v>472860.417398883</v>
      </c>
      <c r="AV89" s="433" t="n">
        <f aca="false">AI89-AU89</f>
        <v>-472860.417398883</v>
      </c>
      <c r="AW89" s="493"/>
      <c r="AX89" s="423" t="n">
        <f aca="false">K89</f>
        <v>39022</v>
      </c>
      <c r="BA89" s="126"/>
      <c r="BB89" s="481" t="n">
        <f aca="false">X89</f>
        <v>27.7474990844727</v>
      </c>
      <c r="BC89" s="481" t="n">
        <f aca="false">'Curve Analysis - Base Case'!D81</f>
        <v>48.0684425124932</v>
      </c>
      <c r="BD89" s="479" t="n">
        <f aca="false">L89</f>
        <v>0.073790904726647</v>
      </c>
      <c r="BE89" s="479" t="n">
        <f aca="false">L89</f>
        <v>0.073790904726647</v>
      </c>
      <c r="BF89" s="489" t="n">
        <f aca="false">PJM_01212000!X89</f>
        <v>0.1029169152</v>
      </c>
      <c r="BG89" s="425" t="n">
        <f aca="false">(AX89+15)-$K$1</f>
        <v>2448</v>
      </c>
      <c r="BH89" s="433" t="n">
        <f aca="false">AD89</f>
        <v>0</v>
      </c>
      <c r="BJ89" s="486" t="e">
        <f aca="false">EURO(BB89,BC89,BD89,BE89,BF89,BG89,1,0)*BH89</f>
        <v>#NAME?</v>
      </c>
      <c r="BK89" s="433" t="n">
        <f aca="false">(AI89-AJ89)*N89</f>
        <v>0</v>
      </c>
      <c r="BM89" s="433" t="e">
        <f aca="false">BJ89-BK89</f>
        <v>#NAME?</v>
      </c>
    </row>
    <row r="90" customFormat="false" ht="16.5" hidden="false" customHeight="false" outlineLevel="0" collapsed="false">
      <c r="A90" s="59" t="n">
        <f aca="false">A89+1</f>
        <v>84</v>
      </c>
      <c r="C90" s="59" t="n">
        <v>31</v>
      </c>
      <c r="D90" s="59" t="s">
        <v>174</v>
      </c>
      <c r="E90" s="125" t="n">
        <f aca="false">E89+C89</f>
        <v>39052</v>
      </c>
      <c r="F90" s="425" t="n">
        <f aca="false">F42</f>
        <v>22</v>
      </c>
      <c r="G90" s="433" t="n">
        <f aca="false">C90-F90</f>
        <v>9</v>
      </c>
      <c r="H90" s="433" t="n">
        <f aca="false">SUM(F79:G90)</f>
        <v>365</v>
      </c>
      <c r="I90" s="433"/>
      <c r="J90" s="59" t="n">
        <f aca="false">K91-K90</f>
        <v>31</v>
      </c>
      <c r="K90" s="478" t="n">
        <v>39052</v>
      </c>
      <c r="L90" s="490" t="n">
        <v>0.07381436706368</v>
      </c>
      <c r="M90" s="491" t="n">
        <v>0.065648007530096</v>
      </c>
      <c r="N90" s="480" t="n">
        <f aca="false">(1+L90/2)^(-2*((K90+$T$1)-$K$1)/365.25)</f>
        <v>0.608036196212576</v>
      </c>
      <c r="O90" s="127" t="n">
        <f aca="false">VLOOKUP(K90,Inflation!$B$8:$C$266,2)</f>
        <v>1.20501680948445</v>
      </c>
      <c r="P90" s="480"/>
      <c r="Q90" s="481" t="n">
        <f aca="false">VLOOKUP(K90,'Fuel Curve'!$B$11:$F$268,5)</f>
        <v>4.80896551724138</v>
      </c>
      <c r="R90" s="482" t="n">
        <f aca="false">VLOOKUP(K90,'Fuel Curve Simulation'!$B$12:$J$258,9)</f>
        <v>4.80896551724138</v>
      </c>
      <c r="S90" s="481" t="n">
        <f aca="false">(R90*$S$2)/1000</f>
        <v>46.0650806896552</v>
      </c>
      <c r="T90" s="483"/>
      <c r="V90" s="128" t="n">
        <f aca="false">VLOOKUP(K90,PJM_01212000!$A$7:$C$259,3)</f>
        <v>29.4999996185303</v>
      </c>
      <c r="W90" s="128"/>
      <c r="X90" s="484" t="n">
        <f aca="false">'PJM Curve Simulation'!J90</f>
        <v>29.4999996185303</v>
      </c>
      <c r="Y90" s="489"/>
      <c r="Z90" s="483"/>
      <c r="AA90" s="59" t="n">
        <f aca="false">AA89</f>
        <v>315</v>
      </c>
      <c r="AB90" s="425" t="n">
        <f aca="false">AA90*F90*16</f>
        <v>110880</v>
      </c>
      <c r="AC90" s="425" t="n">
        <f aca="false">VLOOKUP(K90,'Company Volumes'!$B$20:$C$259,2)</f>
        <v>8111.60044316222</v>
      </c>
      <c r="AD90" s="485" t="n">
        <f aca="false">IF(V90&gt;S90+($AM$5*1000*O90),AA90*F90*16,0)</f>
        <v>0</v>
      </c>
      <c r="AE90" s="425"/>
      <c r="AF90" s="425" t="n">
        <v>0</v>
      </c>
      <c r="AG90" s="425" t="n">
        <v>0</v>
      </c>
      <c r="AH90" s="425" t="n">
        <f aca="false">X90*AD90</f>
        <v>0</v>
      </c>
      <c r="AI90" s="425" t="n">
        <f aca="false">SUM(AF90:AH90)</f>
        <v>0</v>
      </c>
      <c r="AJ90" s="425" t="n">
        <f aca="false">(AD90*1000*$S$2)/1000000*R90</f>
        <v>0</v>
      </c>
      <c r="AK90" s="425" t="n">
        <f aca="false">($AK$5*O90)/12</f>
        <v>60250.8404742225</v>
      </c>
      <c r="AL90" s="425" t="n">
        <f aca="false">($AL$5*O90)/12</f>
        <v>153639.643209267</v>
      </c>
      <c r="AM90" s="425" t="n">
        <f aca="false">AD90*$AM$5*1000*O90</f>
        <v>0</v>
      </c>
      <c r="AN90" s="425" t="n">
        <f aca="false">(($AN$5*O90)/12)*$S$4</f>
        <v>137773.588551055</v>
      </c>
      <c r="AO90" s="425" t="n">
        <f aca="false">($AO$5*O90)/12</f>
        <v>30125.4202371112</v>
      </c>
      <c r="AP90" s="425" t="n">
        <f aca="false">AP89</f>
        <v>46500.5582152336</v>
      </c>
      <c r="AQ90" s="433" t="n">
        <f aca="false">SUM(AK90:AP90)</f>
        <v>428290.05068689</v>
      </c>
      <c r="AR90" s="425" t="n">
        <f aca="false">($AR$5*O90)/12</f>
        <v>15062.7101185556</v>
      </c>
      <c r="AS90" s="433" t="n">
        <f aca="false">AS89</f>
        <v>30387.755</v>
      </c>
      <c r="AT90" s="425" t="n">
        <f aca="false">(AI90/100)*$AT$6*O90</f>
        <v>0</v>
      </c>
      <c r="AU90" s="433" t="n">
        <f aca="false">SUM(AJ90:AT90)-AQ90</f>
        <v>473740.515805446</v>
      </c>
      <c r="AV90" s="433" t="n">
        <f aca="false">AI90-AU90</f>
        <v>-473740.515805446</v>
      </c>
      <c r="AW90" s="493"/>
      <c r="AX90" s="423" t="n">
        <f aca="false">K90</f>
        <v>39052</v>
      </c>
      <c r="AY90" s="425" t="n">
        <f aca="false">'Debt Amortization'!N8</f>
        <v>3611989.99822898</v>
      </c>
      <c r="AZ90" s="425" t="n">
        <f aca="false">AY90*N90</f>
        <v>2196220.65928102</v>
      </c>
      <c r="BA90" s="126"/>
      <c r="BB90" s="481" t="n">
        <f aca="false">X90</f>
        <v>29.4999996185303</v>
      </c>
      <c r="BC90" s="481" t="n">
        <f aca="false">'Curve Analysis - Base Case'!D82</f>
        <v>48.4751143086241</v>
      </c>
      <c r="BD90" s="479" t="n">
        <f aca="false">L90</f>
        <v>0.07381436706368</v>
      </c>
      <c r="BE90" s="479" t="n">
        <f aca="false">L90</f>
        <v>0.07381436706368</v>
      </c>
      <c r="BF90" s="489" t="n">
        <f aca="false">PJM_01212000!X90</f>
        <v>0.1029169152</v>
      </c>
      <c r="BG90" s="425" t="n">
        <f aca="false">(AX90+15)-$K$1</f>
        <v>2478</v>
      </c>
      <c r="BH90" s="433" t="n">
        <f aca="false">AD90</f>
        <v>0</v>
      </c>
      <c r="BJ90" s="486" t="e">
        <f aca="false">EURO(BB90,BC90,BD90,BE90,BF90,BG90,1,0)*BH90</f>
        <v>#NAME?</v>
      </c>
      <c r="BK90" s="433" t="n">
        <f aca="false">(AI90-AJ90)*N90</f>
        <v>0</v>
      </c>
      <c r="BM90" s="433" t="e">
        <f aca="false">BJ90-BK90</f>
        <v>#NAME?</v>
      </c>
    </row>
    <row r="91" customFormat="false" ht="16.5" hidden="false" customHeight="false" outlineLevel="0" collapsed="false">
      <c r="A91" s="59" t="n">
        <f aca="false">A90+1</f>
        <v>85</v>
      </c>
      <c r="C91" s="59" t="n">
        <v>31</v>
      </c>
      <c r="D91" s="59" t="s">
        <v>164</v>
      </c>
      <c r="E91" s="125" t="n">
        <f aca="false">E90+C90</f>
        <v>39083</v>
      </c>
      <c r="F91" s="425" t="n">
        <f aca="false">F43</f>
        <v>23</v>
      </c>
      <c r="G91" s="433" t="n">
        <f aca="false">C91-F91</f>
        <v>8</v>
      </c>
      <c r="H91" s="433"/>
      <c r="I91" s="433"/>
      <c r="J91" s="59" t="n">
        <f aca="false">K92-K91</f>
        <v>31</v>
      </c>
      <c r="K91" s="478" t="n">
        <v>39083</v>
      </c>
      <c r="L91" s="490" t="n">
        <v>0.073838611478806</v>
      </c>
      <c r="M91" s="491" t="n">
        <v>0.065634771492158</v>
      </c>
      <c r="N91" s="480" t="n">
        <f aca="false">(1+L91/2)^(-2*((K91+$T$1)-$K$1)/365.25)</f>
        <v>0.604208846990776</v>
      </c>
      <c r="O91" s="127" t="n">
        <f aca="false">VLOOKUP(K91,Inflation!$B$8:$C$266,2)</f>
        <v>1.20769511273537</v>
      </c>
      <c r="P91" s="480"/>
      <c r="Q91" s="481" t="n">
        <f aca="false">VLOOKUP(K91,'Fuel Curve'!$B$11:$F$268,5)</f>
        <v>4.75258620689655</v>
      </c>
      <c r="R91" s="482" t="n">
        <f aca="false">VLOOKUP(K91,'Fuel Curve Simulation'!$B$12:$J$258,9)</f>
        <v>4.75258620689655</v>
      </c>
      <c r="S91" s="481" t="n">
        <f aca="false">(R91*$S$2)/1000</f>
        <v>45.5250232758621</v>
      </c>
      <c r="T91" s="483"/>
      <c r="V91" s="128" t="n">
        <f aca="false">VLOOKUP(K91,PJM_01212000!$A$7:$C$259,3)</f>
        <v>38.3249984741211</v>
      </c>
      <c r="W91" s="128"/>
      <c r="X91" s="484" t="n">
        <f aca="false">'PJM Curve Simulation'!J91</f>
        <v>38.3249984741211</v>
      </c>
      <c r="Y91" s="489"/>
      <c r="Z91" s="483"/>
      <c r="AA91" s="59" t="n">
        <f aca="false">AA90</f>
        <v>315</v>
      </c>
      <c r="AB91" s="425" t="n">
        <f aca="false">AA91*F91*16</f>
        <v>115920</v>
      </c>
      <c r="AC91" s="425" t="n">
        <f aca="false">VLOOKUP(K91,'Company Volumes'!$B$20:$C$259,2)</f>
        <v>18013.9173680884</v>
      </c>
      <c r="AD91" s="485" t="n">
        <f aca="false">IF(V91&gt;S91+($AM$5*1000*O91),AA91*F91*16,0)</f>
        <v>0</v>
      </c>
      <c r="AE91" s="425"/>
      <c r="AF91" s="425" t="n">
        <v>0</v>
      </c>
      <c r="AG91" s="425" t="n">
        <v>0</v>
      </c>
      <c r="AH91" s="425" t="n">
        <f aca="false">X91*AD91</f>
        <v>0</v>
      </c>
      <c r="AI91" s="425" t="n">
        <f aca="false">SUM(AF91:AH91)</f>
        <v>0</v>
      </c>
      <c r="AJ91" s="425" t="n">
        <f aca="false">(AD91*1000*$S$2)/1000000*R91</f>
        <v>0</v>
      </c>
      <c r="AK91" s="425" t="n">
        <f aca="false">($AK$5*O91)/12</f>
        <v>60384.7556367685</v>
      </c>
      <c r="AL91" s="425" t="n">
        <f aca="false">($AL$5*O91)/12</f>
        <v>153981.12687376</v>
      </c>
      <c r="AM91" s="425" t="n">
        <f aca="false">AD91*$AM$5*1000*O91</f>
        <v>0</v>
      </c>
      <c r="AN91" s="425" t="n">
        <f aca="false">(($AN$5*O91)/12)*$S$4</f>
        <v>138079.807889411</v>
      </c>
      <c r="AO91" s="425" t="n">
        <f aca="false">($AO$5*O91)/12</f>
        <v>30192.3778183842</v>
      </c>
      <c r="AP91" s="425" t="n">
        <f aca="false">AP90</f>
        <v>46500.5582152336</v>
      </c>
      <c r="AQ91" s="433" t="n">
        <f aca="false">SUM(AK91:AP91)</f>
        <v>429138.626433557</v>
      </c>
      <c r="AR91" s="425" t="n">
        <f aca="false">($AR$5*O91)/12</f>
        <v>15096.1889091921</v>
      </c>
      <c r="AS91" s="433" t="n">
        <f aca="false">AS90</f>
        <v>30387.755</v>
      </c>
      <c r="AT91" s="425" t="n">
        <f aca="false">(AI91/100)*$AT$6*O91</f>
        <v>0</v>
      </c>
      <c r="AU91" s="433" t="n">
        <f aca="false">SUM(AJ91:AT91)-AQ91</f>
        <v>474622.570342749</v>
      </c>
      <c r="AV91" s="433" t="n">
        <f aca="false">AI91-AU91</f>
        <v>-474622.570342749</v>
      </c>
      <c r="AW91" s="493"/>
      <c r="AX91" s="423" t="n">
        <f aca="false">K91</f>
        <v>39083</v>
      </c>
      <c r="BA91" s="126"/>
      <c r="BB91" s="481" t="n">
        <f aca="false">X91</f>
        <v>38.3249984741211</v>
      </c>
      <c r="BC91" s="481" t="n">
        <f aca="false">'Curve Analysis - Base Case'!D83</f>
        <v>47.9404135013328</v>
      </c>
      <c r="BD91" s="479" t="n">
        <f aca="false">L91</f>
        <v>0.073838611478806</v>
      </c>
      <c r="BE91" s="479" t="n">
        <f aca="false">L91</f>
        <v>0.073838611478806</v>
      </c>
      <c r="BF91" s="489" t="n">
        <f aca="false">PJM_01212000!X91</f>
        <v>0.1580803817472</v>
      </c>
      <c r="BG91" s="425" t="n">
        <f aca="false">(AX91+15)-$K$1</f>
        <v>2509</v>
      </c>
      <c r="BH91" s="433" t="n">
        <f aca="false">AD91</f>
        <v>0</v>
      </c>
      <c r="BJ91" s="486" t="e">
        <f aca="false">EURO(BB91,BC91,BD91,BE91,BF91,BG91,1,0)*BH91</f>
        <v>#NAME?</v>
      </c>
      <c r="BK91" s="433" t="n">
        <f aca="false">(AI91-AJ91)*N91</f>
        <v>0</v>
      </c>
      <c r="BM91" s="433" t="e">
        <f aca="false">BJ91-BK91</f>
        <v>#NAME?</v>
      </c>
    </row>
    <row r="92" customFormat="false" ht="16.5" hidden="false" customHeight="false" outlineLevel="0" collapsed="false">
      <c r="A92" s="59" t="n">
        <f aca="false">A91+1</f>
        <v>86</v>
      </c>
      <c r="C92" s="59" t="n">
        <v>28</v>
      </c>
      <c r="D92" s="59" t="s">
        <v>165</v>
      </c>
      <c r="E92" s="125" t="n">
        <f aca="false">E91+C91</f>
        <v>39114</v>
      </c>
      <c r="F92" s="425" t="n">
        <f aca="false">F44</f>
        <v>20</v>
      </c>
      <c r="G92" s="433" t="n">
        <f aca="false">C92-F92</f>
        <v>8</v>
      </c>
      <c r="H92" s="433"/>
      <c r="I92" s="433"/>
      <c r="J92" s="59" t="n">
        <f aca="false">K93-K92</f>
        <v>28</v>
      </c>
      <c r="K92" s="478" t="n">
        <v>39114</v>
      </c>
      <c r="L92" s="490" t="n">
        <v>0.073862855894125</v>
      </c>
      <c r="M92" s="491" t="n">
        <v>0.065621535455439</v>
      </c>
      <c r="N92" s="480" t="n">
        <f aca="false">(1+L92/2)^(-2*((K92+$T$1)-$K$1)/365.25)</f>
        <v>0.600403207635447</v>
      </c>
      <c r="O92" s="127" t="n">
        <f aca="false">VLOOKUP(K92,Inflation!$B$8:$C$266,2)</f>
        <v>1.2103793688562</v>
      </c>
      <c r="P92" s="480"/>
      <c r="Q92" s="481" t="n">
        <f aca="false">VLOOKUP(K92,'Fuel Curve'!$B$11:$F$268,5)</f>
        <v>4.65258620689655</v>
      </c>
      <c r="R92" s="482" t="n">
        <f aca="false">VLOOKUP(K92,'Fuel Curve Simulation'!$B$12:$J$258,9)</f>
        <v>4.65258620689655</v>
      </c>
      <c r="S92" s="481" t="n">
        <f aca="false">(R92*$S$2)/1000</f>
        <v>44.5671232758621</v>
      </c>
      <c r="T92" s="483"/>
      <c r="V92" s="128" t="n">
        <f aca="false">VLOOKUP(K92,PJM_01212000!$A$7:$C$259,3)</f>
        <v>38.3249984741211</v>
      </c>
      <c r="W92" s="128"/>
      <c r="X92" s="484" t="n">
        <f aca="false">'PJM Curve Simulation'!J92</f>
        <v>38.3249984741211</v>
      </c>
      <c r="Y92" s="489"/>
      <c r="Z92" s="483"/>
      <c r="AA92" s="59" t="n">
        <f aca="false">AA91</f>
        <v>315</v>
      </c>
      <c r="AB92" s="425" t="n">
        <f aca="false">AA92*F92*16</f>
        <v>100800</v>
      </c>
      <c r="AC92" s="425" t="n">
        <f aca="false">VLOOKUP(K92,'Company Volumes'!$B$20:$C$259,2)</f>
        <v>721.889261582222</v>
      </c>
      <c r="AD92" s="485" t="n">
        <f aca="false">IF(V92&gt;S92+($AM$5*1000*O92),AA92*F92*16,0)</f>
        <v>0</v>
      </c>
      <c r="AE92" s="425"/>
      <c r="AF92" s="425" t="n">
        <v>0</v>
      </c>
      <c r="AG92" s="425" t="n">
        <v>0</v>
      </c>
      <c r="AH92" s="425" t="n">
        <f aca="false">X92*AD92</f>
        <v>0</v>
      </c>
      <c r="AI92" s="425" t="n">
        <f aca="false">SUM(AF92:AH92)</f>
        <v>0</v>
      </c>
      <c r="AJ92" s="425" t="n">
        <f aca="false">(AD92*1000*$S$2)/1000000*R92</f>
        <v>0</v>
      </c>
      <c r="AK92" s="425" t="n">
        <f aca="false">($AK$5*O92)/12</f>
        <v>60518.9684428098</v>
      </c>
      <c r="AL92" s="425" t="n">
        <f aca="false">($AL$5*O92)/12</f>
        <v>154323.369529165</v>
      </c>
      <c r="AM92" s="425" t="n">
        <f aca="false">AD92*$AM$5*1000*O92</f>
        <v>0</v>
      </c>
      <c r="AN92" s="425" t="n">
        <f aca="false">(($AN$5*O92)/12)*$S$4</f>
        <v>138386.707839225</v>
      </c>
      <c r="AO92" s="425" t="n">
        <f aca="false">($AO$5*O92)/12</f>
        <v>30259.4842214049</v>
      </c>
      <c r="AP92" s="425" t="n">
        <f aca="false">AP91</f>
        <v>46500.5582152336</v>
      </c>
      <c r="AQ92" s="433" t="n">
        <f aca="false">SUM(AK92:AP92)</f>
        <v>429989.088247839</v>
      </c>
      <c r="AR92" s="425" t="n">
        <f aca="false">($AR$5*O92)/12</f>
        <v>15129.7421107025</v>
      </c>
      <c r="AS92" s="433" t="n">
        <f aca="false">AS91</f>
        <v>30387.755</v>
      </c>
      <c r="AT92" s="425" t="n">
        <f aca="false">(AI92/100)*$AT$6*O92</f>
        <v>0</v>
      </c>
      <c r="AU92" s="433" t="n">
        <f aca="false">SUM(AJ92:AT92)-AQ92</f>
        <v>475506.585358541</v>
      </c>
      <c r="AV92" s="433" t="n">
        <f aca="false">AI92-AU92</f>
        <v>-475506.585358541</v>
      </c>
      <c r="AW92" s="493"/>
      <c r="AX92" s="423" t="n">
        <f aca="false">K92</f>
        <v>39114</v>
      </c>
      <c r="BA92" s="126"/>
      <c r="BB92" s="481" t="n">
        <f aca="false">X92</f>
        <v>38.3249984741211</v>
      </c>
      <c r="BC92" s="481" t="n">
        <f aca="false">'Curve Analysis - Base Case'!D84</f>
        <v>46.9878820135745</v>
      </c>
      <c r="BD92" s="479" t="n">
        <f aca="false">L92</f>
        <v>0.073862855894125</v>
      </c>
      <c r="BE92" s="479" t="n">
        <f aca="false">L92</f>
        <v>0.073862855894125</v>
      </c>
      <c r="BF92" s="489" t="n">
        <f aca="false">PJM_01212000!X92</f>
        <v>0.1580803817472</v>
      </c>
      <c r="BG92" s="425" t="n">
        <f aca="false">(AX92+15)-$K$1</f>
        <v>2540</v>
      </c>
      <c r="BH92" s="433" t="n">
        <f aca="false">AD92</f>
        <v>0</v>
      </c>
      <c r="BJ92" s="486" t="e">
        <f aca="false">EURO(BB92,BC92,BD92,BE92,BF92,BG92,1,0)*BH92</f>
        <v>#NAME?</v>
      </c>
      <c r="BK92" s="433" t="n">
        <f aca="false">(AI92-AJ92)*N92</f>
        <v>0</v>
      </c>
      <c r="BM92" s="433" t="e">
        <f aca="false">BJ92-BK92</f>
        <v>#NAME?</v>
      </c>
    </row>
    <row r="93" customFormat="false" ht="16.5" hidden="false" customHeight="false" outlineLevel="0" collapsed="false">
      <c r="A93" s="59" t="n">
        <f aca="false">A92+1</f>
        <v>87</v>
      </c>
      <c r="C93" s="59" t="n">
        <v>31</v>
      </c>
      <c r="D93" s="59" t="s">
        <v>166</v>
      </c>
      <c r="E93" s="125" t="n">
        <f aca="false">E92+C92</f>
        <v>39142</v>
      </c>
      <c r="F93" s="425" t="n">
        <f aca="false">F45</f>
        <v>21</v>
      </c>
      <c r="G93" s="433" t="n">
        <f aca="false">C93-F93</f>
        <v>10</v>
      </c>
      <c r="H93" s="433"/>
      <c r="I93" s="433"/>
      <c r="J93" s="59" t="n">
        <f aca="false">K94-K93</f>
        <v>31</v>
      </c>
      <c r="K93" s="478" t="n">
        <v>39142</v>
      </c>
      <c r="L93" s="490" t="n">
        <v>0.073884754075871</v>
      </c>
      <c r="M93" s="491" t="n">
        <v>0.065609580326547</v>
      </c>
      <c r="N93" s="480" t="n">
        <f aca="false">(1+L93/2)^(-2*((K93+$T$1)-$K$1)/365.25)</f>
        <v>0.596984427374887</v>
      </c>
      <c r="O93" s="127" t="n">
        <f aca="false">VLOOKUP(K93,Inflation!$B$8:$C$266,2)</f>
        <v>1.21306959107794</v>
      </c>
      <c r="P93" s="480"/>
      <c r="Q93" s="481" t="n">
        <f aca="false">VLOOKUP(K93,'Fuel Curve'!$B$11:$F$268,5)</f>
        <v>4.55551724137931</v>
      </c>
      <c r="R93" s="482" t="n">
        <f aca="false">VLOOKUP(K93,'Fuel Curve Simulation'!$B$12:$J$258,9)</f>
        <v>4.55551724137931</v>
      </c>
      <c r="S93" s="481" t="n">
        <f aca="false">(R93*$S$2)/1000</f>
        <v>43.6372996551724</v>
      </c>
      <c r="T93" s="483"/>
      <c r="V93" s="128" t="n">
        <f aca="false">VLOOKUP(K93,PJM_01212000!$A$7:$C$259,3)</f>
        <v>28.0500007629395</v>
      </c>
      <c r="W93" s="128"/>
      <c r="X93" s="484" t="n">
        <f aca="false">'PJM Curve Simulation'!J93</f>
        <v>28.0500007629395</v>
      </c>
      <c r="Y93" s="489"/>
      <c r="Z93" s="483"/>
      <c r="AA93" s="59" t="n">
        <f aca="false">AA92</f>
        <v>315</v>
      </c>
      <c r="AB93" s="425" t="n">
        <f aca="false">AA93*F93*16</f>
        <v>105840</v>
      </c>
      <c r="AC93" s="425" t="n">
        <f aca="false">VLOOKUP(K93,'Company Volumes'!$B$20:$C$259,2)</f>
        <v>721.889261582222</v>
      </c>
      <c r="AD93" s="485" t="n">
        <f aca="false">IF(V93&gt;S93+($AM$5*1000*O93),AA93*F93*16,0)</f>
        <v>0</v>
      </c>
      <c r="AE93" s="425"/>
      <c r="AF93" s="425" t="n">
        <v>0</v>
      </c>
      <c r="AG93" s="425" t="n">
        <v>0</v>
      </c>
      <c r="AH93" s="425" t="n">
        <f aca="false">X93*AD93</f>
        <v>0</v>
      </c>
      <c r="AI93" s="425" t="n">
        <f aca="false">SUM(AF93:AH93)</f>
        <v>0</v>
      </c>
      <c r="AJ93" s="425" t="n">
        <f aca="false">(AD93*1000*$S$2)/1000000*R93</f>
        <v>0</v>
      </c>
      <c r="AK93" s="425" t="n">
        <f aca="false">($AK$5*O93)/12</f>
        <v>60653.4795538972</v>
      </c>
      <c r="AL93" s="425" t="n">
        <f aca="false">($AL$5*O93)/12</f>
        <v>154666.372862438</v>
      </c>
      <c r="AM93" s="425" t="n">
        <f aca="false">AD93*$AM$5*1000*O93</f>
        <v>0</v>
      </c>
      <c r="AN93" s="425" t="n">
        <f aca="false">(($AN$5*O93)/12)*$S$4</f>
        <v>138694.289913245</v>
      </c>
      <c r="AO93" s="425" t="n">
        <f aca="false">($AO$5*O93)/12</f>
        <v>30326.7397769486</v>
      </c>
      <c r="AP93" s="425" t="n">
        <f aca="false">AP92</f>
        <v>46500.5582152336</v>
      </c>
      <c r="AQ93" s="433" t="n">
        <f aca="false">SUM(AK93:AP93)</f>
        <v>430841.440321762</v>
      </c>
      <c r="AR93" s="425" t="n">
        <f aca="false">($AR$5*O93)/12</f>
        <v>15163.3698884743</v>
      </c>
      <c r="AS93" s="433" t="n">
        <f aca="false">AS92</f>
        <v>30387.755</v>
      </c>
      <c r="AT93" s="425" t="n">
        <f aca="false">(AI93/100)*$AT$6*O93</f>
        <v>0</v>
      </c>
      <c r="AU93" s="433" t="n">
        <f aca="false">SUM(AJ93:AT93)-AQ93</f>
        <v>476392.565210236</v>
      </c>
      <c r="AV93" s="433" t="n">
        <f aca="false">AI93-AU93</f>
        <v>-476392.565210236</v>
      </c>
      <c r="AW93" s="493"/>
      <c r="AX93" s="423" t="n">
        <f aca="false">K93</f>
        <v>39142</v>
      </c>
      <c r="BA93" s="126"/>
      <c r="BB93" s="481" t="n">
        <f aca="false">X93</f>
        <v>28.0500007629395</v>
      </c>
      <c r="BC93" s="481" t="n">
        <f aca="false">'Curve Analysis - Base Case'!D85</f>
        <v>46.0634388373283</v>
      </c>
      <c r="BD93" s="479" t="n">
        <f aca="false">L93</f>
        <v>0.073884754075871</v>
      </c>
      <c r="BE93" s="479" t="n">
        <f aca="false">L93</f>
        <v>0.073884754075871</v>
      </c>
      <c r="BF93" s="489" t="n">
        <f aca="false">PJM_01212000!X93</f>
        <v>0.131733651456</v>
      </c>
      <c r="BG93" s="425" t="n">
        <f aca="false">(AX93+15)-$K$1</f>
        <v>2568</v>
      </c>
      <c r="BH93" s="433" t="n">
        <f aca="false">AD93</f>
        <v>0</v>
      </c>
      <c r="BJ93" s="486" t="e">
        <f aca="false">EURO(BB93,BC93,BD93,BE93,BF93,BG93,1,0)*BH93</f>
        <v>#NAME?</v>
      </c>
      <c r="BK93" s="433" t="n">
        <f aca="false">(AI93-AJ93)*N93</f>
        <v>0</v>
      </c>
      <c r="BM93" s="433" t="e">
        <f aca="false">BJ93-BK93</f>
        <v>#NAME?</v>
      </c>
    </row>
    <row r="94" customFormat="false" ht="16.5" hidden="false" customHeight="false" outlineLevel="0" collapsed="false">
      <c r="A94" s="59" t="n">
        <f aca="false">A93+1</f>
        <v>88</v>
      </c>
      <c r="C94" s="59" t="n">
        <v>30</v>
      </c>
      <c r="D94" s="59" t="s">
        <v>167</v>
      </c>
      <c r="E94" s="125" t="n">
        <f aca="false">E93+C93</f>
        <v>39173</v>
      </c>
      <c r="F94" s="425" t="n">
        <f aca="false">F46</f>
        <v>22</v>
      </c>
      <c r="G94" s="433" t="n">
        <f aca="false">C94-F94</f>
        <v>8</v>
      </c>
      <c r="H94" s="433"/>
      <c r="I94" s="433"/>
      <c r="J94" s="59" t="n">
        <f aca="false">K95-K94</f>
        <v>30</v>
      </c>
      <c r="K94" s="478" t="n">
        <v>39173</v>
      </c>
      <c r="L94" s="490" t="n">
        <v>0.073901230464944</v>
      </c>
      <c r="M94" s="491" t="n">
        <v>0.065596344292149</v>
      </c>
      <c r="N94" s="480" t="n">
        <f aca="false">(1+L94/2)^(-2*((K94+$T$1)-$K$1)/365.25)</f>
        <v>0.593251787908512</v>
      </c>
      <c r="O94" s="127" t="n">
        <f aca="false">VLOOKUP(K94,Inflation!$B$8:$C$266,2)</f>
        <v>1.21576579266103</v>
      </c>
      <c r="P94" s="480"/>
      <c r="Q94" s="481" t="n">
        <f aca="false">VLOOKUP(K94,'Fuel Curve'!$B$11:$F$268,5)</f>
        <v>4.4548275862069</v>
      </c>
      <c r="R94" s="482" t="n">
        <f aca="false">VLOOKUP(K94,'Fuel Curve Simulation'!$B$12:$J$258,9)</f>
        <v>4.4548275862069</v>
      </c>
      <c r="S94" s="481" t="n">
        <f aca="false">(R94*$S$2)/1000</f>
        <v>42.6727934482759</v>
      </c>
      <c r="T94" s="483"/>
      <c r="V94" s="128" t="n">
        <f aca="false">VLOOKUP(K94,PJM_01212000!$A$7:$C$259,3)</f>
        <v>27.8250007629395</v>
      </c>
      <c r="W94" s="128"/>
      <c r="X94" s="484" t="n">
        <f aca="false">'PJM Curve Simulation'!J94</f>
        <v>27.8250007629395</v>
      </c>
      <c r="Y94" s="489"/>
      <c r="Z94" s="483"/>
      <c r="AA94" s="59" t="n">
        <f aca="false">AA93</f>
        <v>315</v>
      </c>
      <c r="AB94" s="425" t="n">
        <f aca="false">AA94*F94*16</f>
        <v>110880</v>
      </c>
      <c r="AC94" s="425" t="n">
        <f aca="false">VLOOKUP(K94,'Company Volumes'!$B$20:$C$259,2)</f>
        <v>8914.44061966889</v>
      </c>
      <c r="AD94" s="485" t="n">
        <f aca="false">IF(V94&gt;S94+($AM$5*1000*O94),AA94*F94*16,0)</f>
        <v>0</v>
      </c>
      <c r="AE94" s="425"/>
      <c r="AF94" s="425" t="n">
        <v>0</v>
      </c>
      <c r="AG94" s="425" t="n">
        <v>0</v>
      </c>
      <c r="AH94" s="425" t="n">
        <f aca="false">X94*AD94</f>
        <v>0</v>
      </c>
      <c r="AI94" s="425" t="n">
        <f aca="false">SUM(AF94:AH94)</f>
        <v>0</v>
      </c>
      <c r="AJ94" s="425" t="n">
        <f aca="false">(AD94*1000*$S$2)/1000000*R94</f>
        <v>0</v>
      </c>
      <c r="AK94" s="425" t="n">
        <f aca="false">($AK$5*O94)/12</f>
        <v>60788.2896330514</v>
      </c>
      <c r="AL94" s="425" t="n">
        <f aca="false">($AL$5*O94)/12</f>
        <v>155010.138564281</v>
      </c>
      <c r="AM94" s="425" t="n">
        <f aca="false">AD94*$AM$5*1000*O94</f>
        <v>0</v>
      </c>
      <c r="AN94" s="425" t="n">
        <f aca="false">(($AN$5*O94)/12)*$S$4</f>
        <v>139002.555627578</v>
      </c>
      <c r="AO94" s="425" t="n">
        <f aca="false">($AO$5*O94)/12</f>
        <v>30394.1448165257</v>
      </c>
      <c r="AP94" s="425" t="n">
        <f aca="false">AP93</f>
        <v>46500.5582152336</v>
      </c>
      <c r="AQ94" s="433" t="n">
        <f aca="false">SUM(AK94:AP94)</f>
        <v>431695.686856669</v>
      </c>
      <c r="AR94" s="425" t="n">
        <f aca="false">($AR$5*O94)/12</f>
        <v>15197.0724082628</v>
      </c>
      <c r="AS94" s="433" t="n">
        <f aca="false">AS93</f>
        <v>30387.755</v>
      </c>
      <c r="AT94" s="425" t="n">
        <f aca="false">(AI94/100)*$AT$6*O94</f>
        <v>0</v>
      </c>
      <c r="AU94" s="433" t="n">
        <f aca="false">SUM(AJ94:AT94)-AQ94</f>
        <v>477280.514264932</v>
      </c>
      <c r="AV94" s="433" t="n">
        <f aca="false">AI94-AU94</f>
        <v>-477280.514264932</v>
      </c>
      <c r="AW94" s="493"/>
      <c r="AX94" s="423" t="n">
        <f aca="false">K94</f>
        <v>39173</v>
      </c>
      <c r="BA94" s="126"/>
      <c r="BB94" s="481" t="n">
        <f aca="false">X94</f>
        <v>27.8250007629395</v>
      </c>
      <c r="BC94" s="481" t="n">
        <f aca="false">'Curve Analysis - Base Case'!D86</f>
        <v>45.1043250335979</v>
      </c>
      <c r="BD94" s="479" t="n">
        <f aca="false">L94</f>
        <v>0.073901230464944</v>
      </c>
      <c r="BE94" s="479" t="n">
        <f aca="false">L94</f>
        <v>0.073901230464944</v>
      </c>
      <c r="BF94" s="489" t="n">
        <f aca="false">PJM_01212000!X94</f>
        <v>0.1251469688832</v>
      </c>
      <c r="BG94" s="425" t="n">
        <f aca="false">(AX94+15)-$K$1</f>
        <v>2599</v>
      </c>
      <c r="BH94" s="433" t="n">
        <f aca="false">AD94</f>
        <v>0</v>
      </c>
      <c r="BJ94" s="486" t="e">
        <f aca="false">EURO(BB94,BC94,BD94,BE94,BF94,BG94,1,0)*BH94</f>
        <v>#NAME?</v>
      </c>
      <c r="BK94" s="433" t="n">
        <f aca="false">(AI94-AJ94)*N94</f>
        <v>0</v>
      </c>
      <c r="BM94" s="433" t="e">
        <f aca="false">BJ94-BK94</f>
        <v>#NAME?</v>
      </c>
    </row>
    <row r="95" customFormat="false" ht="16.5" hidden="false" customHeight="false" outlineLevel="0" collapsed="false">
      <c r="A95" s="59" t="n">
        <f aca="false">A94+1</f>
        <v>89</v>
      </c>
      <c r="C95" s="59" t="n">
        <v>31</v>
      </c>
      <c r="D95" s="59" t="s">
        <v>29</v>
      </c>
      <c r="E95" s="125" t="n">
        <f aca="false">E94+C94</f>
        <v>39203</v>
      </c>
      <c r="F95" s="425" t="n">
        <f aca="false">F47</f>
        <v>22</v>
      </c>
      <c r="G95" s="433" t="n">
        <f aca="false">C95-F95</f>
        <v>9</v>
      </c>
      <c r="H95" s="433"/>
      <c r="I95" s="433"/>
      <c r="J95" s="59" t="n">
        <f aca="false">K96-K95</f>
        <v>31</v>
      </c>
      <c r="K95" s="478" t="n">
        <v>39203</v>
      </c>
      <c r="L95" s="490" t="n">
        <v>0.073915729695154</v>
      </c>
      <c r="M95" s="491" t="n">
        <v>0.065583535227763</v>
      </c>
      <c r="N95" s="480" t="n">
        <f aca="false">(1+L95/2)^(-2*((K95+$T$1)-$K$1)/365.25)</f>
        <v>0.589666247444806</v>
      </c>
      <c r="O95" s="127" t="n">
        <f aca="false">VLOOKUP(K95,Inflation!$B$8:$C$266,2)</f>
        <v>1.21846798689534</v>
      </c>
      <c r="P95" s="480"/>
      <c r="Q95" s="481" t="n">
        <f aca="false">VLOOKUP(K95,'Fuel Curve'!$B$11:$F$268,5)</f>
        <v>4.38758620689655</v>
      </c>
      <c r="R95" s="482" t="n">
        <f aca="false">VLOOKUP(K95,'Fuel Curve Simulation'!$B$12:$J$258,9)</f>
        <v>4.38758620689655</v>
      </c>
      <c r="S95" s="481" t="n">
        <f aca="false">(R95*$S$2)/1000</f>
        <v>42.0286882758621</v>
      </c>
      <c r="T95" s="483"/>
      <c r="V95" s="128" t="n">
        <f aca="false">VLOOKUP(K95,PJM_01212000!$A$7:$C$259,3)</f>
        <v>33.575</v>
      </c>
      <c r="W95" s="128"/>
      <c r="X95" s="484" t="n">
        <f aca="false">'PJM Curve Simulation'!J95</f>
        <v>33.575</v>
      </c>
      <c r="Y95" s="489"/>
      <c r="Z95" s="483"/>
      <c r="AA95" s="59" t="n">
        <f aca="false">AA94</f>
        <v>315</v>
      </c>
      <c r="AB95" s="425" t="n">
        <f aca="false">AA95*F95*16</f>
        <v>110880</v>
      </c>
      <c r="AC95" s="425" t="n">
        <f aca="false">VLOOKUP(K95,'Company Volumes'!$B$20:$C$259,2)</f>
        <v>17508.3059011591</v>
      </c>
      <c r="AD95" s="485" t="n">
        <f aca="false">IF(V95&gt;S95+($AM$5*1000*O95),AA95*F95*16,0)</f>
        <v>0</v>
      </c>
      <c r="AE95" s="425"/>
      <c r="AF95" s="425" t="n">
        <v>0</v>
      </c>
      <c r="AG95" s="425" t="n">
        <v>0</v>
      </c>
      <c r="AH95" s="425" t="n">
        <f aca="false">X95*AD95</f>
        <v>0</v>
      </c>
      <c r="AI95" s="425" t="n">
        <f aca="false">SUM(AF95:AH95)</f>
        <v>0</v>
      </c>
      <c r="AJ95" s="425" t="n">
        <f aca="false">(AD95*1000*$S$2)/1000000*R95</f>
        <v>0</v>
      </c>
      <c r="AK95" s="425" t="n">
        <f aca="false">($AK$5*O95)/12</f>
        <v>60923.3993447671</v>
      </c>
      <c r="AL95" s="425" t="n">
        <f aca="false">($AL$5*O95)/12</f>
        <v>155354.668329156</v>
      </c>
      <c r="AM95" s="425" t="n">
        <f aca="false">AD95*$AM$5*1000*O95</f>
        <v>0</v>
      </c>
      <c r="AN95" s="425" t="n">
        <f aca="false">(($AN$5*O95)/12)*$S$4</f>
        <v>139311.506501701</v>
      </c>
      <c r="AO95" s="425" t="n">
        <f aca="false">($AO$5*O95)/12</f>
        <v>30461.6996723835</v>
      </c>
      <c r="AP95" s="425" t="n">
        <f aca="false">AP94</f>
        <v>46500.5582152336</v>
      </c>
      <c r="AQ95" s="433" t="n">
        <f aca="false">SUM(AK95:AP95)</f>
        <v>432551.832063241</v>
      </c>
      <c r="AR95" s="425" t="n">
        <f aca="false">($AR$5*O95)/12</f>
        <v>15230.8498361918</v>
      </c>
      <c r="AS95" s="433" t="n">
        <f aca="false">AS94</f>
        <v>30387.755</v>
      </c>
      <c r="AT95" s="425" t="n">
        <f aca="false">(AI95/100)*$AT$6*O95</f>
        <v>0</v>
      </c>
      <c r="AU95" s="433" t="n">
        <f aca="false">SUM(AJ95:AT95)-AQ95</f>
        <v>478170.436899433</v>
      </c>
      <c r="AV95" s="433" t="n">
        <f aca="false">AI95-AU95</f>
        <v>-478170.436899433</v>
      </c>
      <c r="AW95" s="493"/>
      <c r="AX95" s="423" t="n">
        <f aca="false">K95</f>
        <v>39203</v>
      </c>
      <c r="BA95" s="126"/>
      <c r="BB95" s="481" t="n">
        <f aca="false">X95</f>
        <v>33.575</v>
      </c>
      <c r="BC95" s="481" t="n">
        <f aca="false">'Curve Analysis - Base Case'!D87</f>
        <v>44.4656242496528</v>
      </c>
      <c r="BD95" s="479" t="n">
        <f aca="false">L95</f>
        <v>0.073915729695154</v>
      </c>
      <c r="BE95" s="479" t="n">
        <f aca="false">L95</f>
        <v>0.073915729695154</v>
      </c>
      <c r="BF95" s="489" t="n">
        <f aca="false">PJM_01212000!X95</f>
        <v>0.1383203340288</v>
      </c>
      <c r="BG95" s="425" t="n">
        <f aca="false">(AX95+15)-$K$1</f>
        <v>2629</v>
      </c>
      <c r="BH95" s="433" t="n">
        <f aca="false">AD95</f>
        <v>0</v>
      </c>
      <c r="BJ95" s="486" t="e">
        <f aca="false">EURO(BB95,BC95,BD95,BE95,BF95,BG95,1,0)*BH95</f>
        <v>#NAME?</v>
      </c>
      <c r="BK95" s="433" t="n">
        <f aca="false">(AI95-AJ95)*N95</f>
        <v>0</v>
      </c>
      <c r="BM95" s="433" t="e">
        <f aca="false">BJ95-BK95</f>
        <v>#NAME?</v>
      </c>
    </row>
    <row r="96" customFormat="false" ht="16.5" hidden="false" customHeight="false" outlineLevel="0" collapsed="false">
      <c r="A96" s="59" t="n">
        <f aca="false">A95+1</f>
        <v>90</v>
      </c>
      <c r="C96" s="59" t="n">
        <v>30</v>
      </c>
      <c r="D96" s="59" t="s">
        <v>168</v>
      </c>
      <c r="E96" s="125" t="n">
        <f aca="false">E95+C95</f>
        <v>39234</v>
      </c>
      <c r="F96" s="425" t="n">
        <f aca="false">F48</f>
        <v>21</v>
      </c>
      <c r="G96" s="433" t="n">
        <f aca="false">C96-F96</f>
        <v>9</v>
      </c>
      <c r="H96" s="433"/>
      <c r="I96" s="433"/>
      <c r="J96" s="59" t="n">
        <f aca="false">K97-K96</f>
        <v>30</v>
      </c>
      <c r="K96" s="478" t="n">
        <v>39234</v>
      </c>
      <c r="L96" s="490" t="n">
        <v>0.07393071223311</v>
      </c>
      <c r="M96" s="491" t="n">
        <v>0.065570299195763</v>
      </c>
      <c r="N96" s="480" t="n">
        <f aca="false">(1+L96/2)^(-2*((K96+$T$1)-$K$1)/365.25)</f>
        <v>0.585982540004072</v>
      </c>
      <c r="O96" s="127" t="n">
        <f aca="false">VLOOKUP(K96,Inflation!$B$8:$C$266,2)</f>
        <v>1.22117618710032</v>
      </c>
      <c r="P96" s="480"/>
      <c r="Q96" s="481" t="n">
        <f aca="false">VLOOKUP(K96,'Fuel Curve'!$B$11:$F$268,5)</f>
        <v>4.38172413793104</v>
      </c>
      <c r="R96" s="482" t="n">
        <f aca="false">VLOOKUP(K96,'Fuel Curve Simulation'!$B$12:$J$258,9)</f>
        <v>4.38172413793104</v>
      </c>
      <c r="S96" s="481" t="n">
        <f aca="false">(R96*$S$2)/1000</f>
        <v>41.9725355172414</v>
      </c>
      <c r="T96" s="483"/>
      <c r="V96" s="128" t="n">
        <f aca="false">VLOOKUP(K96,PJM_01212000!$A$7:$C$259,3)</f>
        <v>58.5999984741211</v>
      </c>
      <c r="W96" s="128"/>
      <c r="X96" s="484" t="n">
        <f aca="false">'PJM Curve Simulation'!J96</f>
        <v>58.5999984741211</v>
      </c>
      <c r="Y96" s="489"/>
      <c r="Z96" s="483"/>
      <c r="AA96" s="59" t="n">
        <f aca="false">AA95</f>
        <v>315</v>
      </c>
      <c r="AB96" s="425" t="n">
        <f aca="false">AA96*F96*16</f>
        <v>105840</v>
      </c>
      <c r="AC96" s="425" t="n">
        <f aca="false">VLOOKUP(K96,'Company Volumes'!$B$20:$C$259,2)</f>
        <v>32163.9310472418</v>
      </c>
      <c r="AD96" s="485" t="n">
        <f aca="false">IF(V96&gt;S96+($AM$5*1000*O96),AA96*F96*16,0)</f>
        <v>105840</v>
      </c>
      <c r="AE96" s="425"/>
      <c r="AF96" s="425" t="n">
        <v>0</v>
      </c>
      <c r="AG96" s="425" t="n">
        <v>0</v>
      </c>
      <c r="AH96" s="425" t="n">
        <f aca="false">X96*AD96</f>
        <v>6202223.83850098</v>
      </c>
      <c r="AI96" s="425" t="n">
        <f aca="false">SUM(AF96:AH96)</f>
        <v>6202223.83850098</v>
      </c>
      <c r="AJ96" s="425" t="n">
        <f aca="false">(AD96*1000*$S$2)/1000000*R96</f>
        <v>4442373.15914483</v>
      </c>
      <c r="AK96" s="425" t="n">
        <f aca="false">($AK$5*O96)/12</f>
        <v>61058.8093550158</v>
      </c>
      <c r="AL96" s="425" t="n">
        <f aca="false">($AL$5*O96)/12</f>
        <v>155699.96385529</v>
      </c>
      <c r="AM96" s="425" t="n">
        <f aca="false">AD96*$AM$5*1000*O96</f>
        <v>258498.575285395</v>
      </c>
      <c r="AN96" s="425" t="n">
        <f aca="false">(($AN$5*O96)/12)*$S$4</f>
        <v>139621.144058469</v>
      </c>
      <c r="AO96" s="425" t="n">
        <f aca="false">($AO$5*O96)/12</f>
        <v>30529.4046775079</v>
      </c>
      <c r="AP96" s="425" t="n">
        <f aca="false">AP95</f>
        <v>46500.5582152336</v>
      </c>
      <c r="AQ96" s="433" t="n">
        <f aca="false">SUM(AK96:AP96)</f>
        <v>691908.455446912</v>
      </c>
      <c r="AR96" s="425" t="n">
        <f aca="false">($AR$5*O96)/12</f>
        <v>15264.7023387539</v>
      </c>
      <c r="AS96" s="433" t="n">
        <f aca="false">AS95</f>
        <v>30387.755</v>
      </c>
      <c r="AT96" s="425" t="n">
        <f aca="false">(AI96/100)*$AT$6*O96</f>
        <v>45444.0483518598</v>
      </c>
      <c r="AU96" s="433" t="n">
        <f aca="false">SUM(AJ96:AT96)-AQ96</f>
        <v>5225378.12028235</v>
      </c>
      <c r="AV96" s="433" t="n">
        <f aca="false">AI96-AU96</f>
        <v>976845.718218624</v>
      </c>
      <c r="AW96" s="493"/>
      <c r="AX96" s="423" t="n">
        <f aca="false">K96</f>
        <v>39234</v>
      </c>
      <c r="BA96" s="126"/>
      <c r="BB96" s="481" t="n">
        <f aca="false">X96</f>
        <v>58.5999984741211</v>
      </c>
      <c r="BC96" s="481" t="n">
        <f aca="false">'Curve Analysis - Base Case'!D88</f>
        <v>44.414887891442</v>
      </c>
      <c r="BD96" s="479" t="n">
        <f aca="false">L96</f>
        <v>0.07393071223311</v>
      </c>
      <c r="BE96" s="479" t="n">
        <f aca="false">L96</f>
        <v>0.07393071223311</v>
      </c>
      <c r="BF96" s="489" t="n">
        <f aca="false">PJM_01212000!X96</f>
        <v>0.1778404294656</v>
      </c>
      <c r="BG96" s="425" t="n">
        <f aca="false">(AX96+15)-$K$1</f>
        <v>2660</v>
      </c>
      <c r="BH96" s="433" t="n">
        <f aca="false">AD96</f>
        <v>105840</v>
      </c>
      <c r="BJ96" s="486" t="e">
        <f aca="false">EURO(BB96,BC96,BD96,BE96,BF96,BG96,1,0)*BH96</f>
        <v>#NAME?</v>
      </c>
      <c r="BK96" s="433" t="n">
        <f aca="false">(AI96-AJ96)*N96</f>
        <v>1031241.77111701</v>
      </c>
      <c r="BM96" s="433" t="e">
        <f aca="false">BJ96-BK96</f>
        <v>#NAME?</v>
      </c>
    </row>
    <row r="97" customFormat="false" ht="16.5" hidden="false" customHeight="false" outlineLevel="0" collapsed="false">
      <c r="A97" s="59" t="n">
        <f aca="false">A96+1</f>
        <v>91</v>
      </c>
      <c r="C97" s="59" t="n">
        <v>31</v>
      </c>
      <c r="D97" s="59" t="s">
        <v>169</v>
      </c>
      <c r="E97" s="125" t="n">
        <f aca="false">E96+C96</f>
        <v>39264</v>
      </c>
      <c r="F97" s="425" t="n">
        <f aca="false">F49</f>
        <v>23</v>
      </c>
      <c r="G97" s="433" t="n">
        <f aca="false">C97-F97</f>
        <v>8</v>
      </c>
      <c r="H97" s="433"/>
      <c r="I97" s="433"/>
      <c r="J97" s="59" t="n">
        <f aca="false">K98-K97</f>
        <v>31</v>
      </c>
      <c r="K97" s="478" t="n">
        <v>39264</v>
      </c>
      <c r="L97" s="490" t="n">
        <v>0.07394521146346</v>
      </c>
      <c r="M97" s="491" t="n">
        <v>0.065557490133698</v>
      </c>
      <c r="N97" s="480" t="n">
        <f aca="false">(1+L97/2)^(-2*((K97+$T$1)-$K$1)/365.25)</f>
        <v>0.582438214610842</v>
      </c>
      <c r="O97" s="127" t="n">
        <f aca="false">VLOOKUP(K97,Inflation!$B$8:$C$266,2)</f>
        <v>1.22389040662498</v>
      </c>
      <c r="P97" s="480"/>
      <c r="Q97" s="481" t="n">
        <f aca="false">VLOOKUP(K97,'Fuel Curve'!$B$11:$F$268,5)</f>
        <v>4.43827586206897</v>
      </c>
      <c r="R97" s="482" t="n">
        <f aca="false">VLOOKUP(K97,'Fuel Curve Simulation'!$B$12:$J$258,9)</f>
        <v>4.43827586206897</v>
      </c>
      <c r="S97" s="481" t="n">
        <f aca="false">(R97*$S$2)/1000</f>
        <v>42.5142444827586</v>
      </c>
      <c r="T97" s="483"/>
      <c r="V97" s="128" t="n">
        <f aca="false">VLOOKUP(K97,PJM_01212000!$A$7:$C$259,3)</f>
        <v>100.199996948242</v>
      </c>
      <c r="W97" s="128"/>
      <c r="X97" s="484" t="n">
        <f aca="false">'PJM Curve Simulation'!J97</f>
        <v>100.199996948242</v>
      </c>
      <c r="Y97" s="489"/>
      <c r="Z97" s="483"/>
      <c r="AA97" s="59" t="n">
        <f aca="false">AA96</f>
        <v>315</v>
      </c>
      <c r="AB97" s="425" t="n">
        <f aca="false">AA97*F97*16</f>
        <v>115920</v>
      </c>
      <c r="AC97" s="425" t="n">
        <f aca="false">VLOOKUP(K97,'Company Volumes'!$B$20:$C$259,2)</f>
        <v>53637.9224916858</v>
      </c>
      <c r="AD97" s="485" t="n">
        <f aca="false">IF(V97&gt;S97+($AM$5*1000*O97),AA97*F97*16,0)</f>
        <v>115920</v>
      </c>
      <c r="AE97" s="425"/>
      <c r="AF97" s="425" t="n">
        <v>0</v>
      </c>
      <c r="AG97" s="425" t="n">
        <v>0</v>
      </c>
      <c r="AH97" s="425" t="n">
        <f aca="false">X97*AD97</f>
        <v>11615183.6462402</v>
      </c>
      <c r="AI97" s="425" t="n">
        <f aca="false">SUM(AF97:AH97)</f>
        <v>11615183.6462402</v>
      </c>
      <c r="AJ97" s="425" t="n">
        <f aca="false">(AD97*1000*$S$2)/1000000*R97</f>
        <v>4928251.22044138</v>
      </c>
      <c r="AK97" s="425" t="n">
        <f aca="false">($AK$5*O97)/12</f>
        <v>61194.5203312492</v>
      </c>
      <c r="AL97" s="425" t="n">
        <f aca="false">($AL$5*O97)/12</f>
        <v>156046.026844685</v>
      </c>
      <c r="AM97" s="425" t="n">
        <f aca="false">AD97*$AM$5*1000*O97</f>
        <v>283746.751871936</v>
      </c>
      <c r="AN97" s="425" t="n">
        <f aca="false">(($AN$5*O97)/12)*$S$4</f>
        <v>139931.469824123</v>
      </c>
      <c r="AO97" s="425" t="n">
        <f aca="false">($AO$5*O97)/12</f>
        <v>30597.2601656246</v>
      </c>
      <c r="AP97" s="425" t="n">
        <f aca="false">AP96</f>
        <v>46500.5582152336</v>
      </c>
      <c r="AQ97" s="433" t="n">
        <f aca="false">SUM(AK97:AP97)</f>
        <v>718016.587252852</v>
      </c>
      <c r="AR97" s="425" t="n">
        <f aca="false">($AR$5*O97)/12</f>
        <v>15298.6300828123</v>
      </c>
      <c r="AS97" s="433" t="n">
        <f aca="false">AS96</f>
        <v>30387.755</v>
      </c>
      <c r="AT97" s="425" t="n">
        <f aca="false">(AI97/100)*$AT$6*O97</f>
        <v>85294.2710149249</v>
      </c>
      <c r="AU97" s="433" t="n">
        <f aca="false">SUM(AJ97:AT97)-AQ97</f>
        <v>5777248.46379197</v>
      </c>
      <c r="AV97" s="433" t="n">
        <f aca="false">AI97-AU97</f>
        <v>5837935.18244827</v>
      </c>
      <c r="AW97" s="493"/>
      <c r="AX97" s="423" t="n">
        <f aca="false">K97</f>
        <v>39264</v>
      </c>
      <c r="BA97" s="126"/>
      <c r="BB97" s="481" t="n">
        <f aca="false">X97</f>
        <v>100.199996948242</v>
      </c>
      <c r="BC97" s="481" t="n">
        <f aca="false">'Curve Analysis - Base Case'!D89</f>
        <v>44.9620252960086</v>
      </c>
      <c r="BD97" s="479" t="n">
        <f aca="false">L97</f>
        <v>0.07394521146346</v>
      </c>
      <c r="BE97" s="479" t="n">
        <f aca="false">L97</f>
        <v>0.07394521146346</v>
      </c>
      <c r="BF97" s="489" t="n">
        <f aca="false">PJM_01212000!X97</f>
        <v>0.2173605249024</v>
      </c>
      <c r="BG97" s="425" t="n">
        <f aca="false">(AX97+15)-$K$1</f>
        <v>2690</v>
      </c>
      <c r="BH97" s="433" t="n">
        <f aca="false">AD97</f>
        <v>115920</v>
      </c>
      <c r="BJ97" s="486" t="e">
        <f aca="false">EURO(BB97,BC97,BD97,BE97,BF97,BG97,1,0)*BH97</f>
        <v>#NAME?</v>
      </c>
      <c r="BK97" s="433" t="n">
        <f aca="false">(AI97-AJ97)*N97</f>
        <v>3894724.98330563</v>
      </c>
      <c r="BM97" s="433" t="e">
        <f aca="false">BJ97-BK97</f>
        <v>#NAME?</v>
      </c>
    </row>
    <row r="98" customFormat="false" ht="16.5" hidden="false" customHeight="false" outlineLevel="0" collapsed="false">
      <c r="A98" s="59" t="n">
        <f aca="false">A97+1</f>
        <v>92</v>
      </c>
      <c r="C98" s="59" t="n">
        <v>31</v>
      </c>
      <c r="D98" s="59" t="s">
        <v>170</v>
      </c>
      <c r="E98" s="125" t="n">
        <f aca="false">E97+C97</f>
        <v>39295</v>
      </c>
      <c r="F98" s="425" t="n">
        <f aca="false">F50</f>
        <v>21</v>
      </c>
      <c r="G98" s="433" t="n">
        <f aca="false">C98-F98</f>
        <v>10</v>
      </c>
      <c r="H98" s="433"/>
      <c r="I98" s="433"/>
      <c r="J98" s="59" t="n">
        <f aca="false">K99-K98</f>
        <v>31</v>
      </c>
      <c r="K98" s="478" t="n">
        <v>39295</v>
      </c>
      <c r="L98" s="490" t="n">
        <v>0.073960194001562</v>
      </c>
      <c r="M98" s="491" t="n">
        <v>0.065544254104097</v>
      </c>
      <c r="N98" s="480" t="n">
        <f aca="false">(1+L98/2)^(-2*((K98+$T$1)-$K$1)/365.25)</f>
        <v>0.578796869042775</v>
      </c>
      <c r="O98" s="127" t="n">
        <f aca="false">VLOOKUP(K98,Inflation!$B$8:$C$266,2)</f>
        <v>1.22661065884805</v>
      </c>
      <c r="P98" s="480"/>
      <c r="Q98" s="481" t="n">
        <f aca="false">VLOOKUP(K98,'Fuel Curve'!$B$11:$F$268,5)</f>
        <v>4.52810344827586</v>
      </c>
      <c r="R98" s="482" t="n">
        <f aca="false">VLOOKUP(K98,'Fuel Curve Simulation'!$B$12:$J$258,9)</f>
        <v>4.52810344827586</v>
      </c>
      <c r="S98" s="481" t="n">
        <f aca="false">(R98*$S$2)/1000</f>
        <v>43.3747029310345</v>
      </c>
      <c r="T98" s="483"/>
      <c r="V98" s="128" t="n">
        <f aca="false">VLOOKUP(K98,PJM_01212000!$A$7:$C$259,3)</f>
        <v>87.1999969482422</v>
      </c>
      <c r="W98" s="128"/>
      <c r="X98" s="484" t="n">
        <f aca="false">'PJM Curve Simulation'!J98</f>
        <v>87.1999969482422</v>
      </c>
      <c r="Y98" s="489"/>
      <c r="Z98" s="483"/>
      <c r="AA98" s="59" t="n">
        <f aca="false">AA97</f>
        <v>315</v>
      </c>
      <c r="AB98" s="425" t="n">
        <f aca="false">AA98*F98*16</f>
        <v>105840</v>
      </c>
      <c r="AC98" s="425" t="n">
        <f aca="false">VLOOKUP(K98,'Company Volumes'!$B$20:$C$259,2)</f>
        <v>35758.6149951147</v>
      </c>
      <c r="AD98" s="485" t="n">
        <f aca="false">IF(V98&gt;S98+($AM$5*1000*O98),AA98*F98*16,0)</f>
        <v>105840</v>
      </c>
      <c r="AE98" s="425"/>
      <c r="AF98" s="425" t="n">
        <v>0</v>
      </c>
      <c r="AG98" s="425" t="n">
        <v>0</v>
      </c>
      <c r="AH98" s="425" t="n">
        <f aca="false">X98*AD98</f>
        <v>9229247.67700195</v>
      </c>
      <c r="AI98" s="425" t="n">
        <f aca="false">SUM(AF98:AH98)</f>
        <v>9229247.67700195</v>
      </c>
      <c r="AJ98" s="425" t="n">
        <f aca="false">(AD98*1000*$S$2)/1000000*R98</f>
        <v>4590778.55822069</v>
      </c>
      <c r="AK98" s="425" t="n">
        <f aca="false">($AK$5*O98)/12</f>
        <v>61330.5329424025</v>
      </c>
      <c r="AL98" s="425" t="n">
        <f aca="false">($AL$5*O98)/12</f>
        <v>156392.859003126</v>
      </c>
      <c r="AM98" s="425" t="n">
        <f aca="false">AD98*$AM$5*1000*O98</f>
        <v>259648.944264955</v>
      </c>
      <c r="AN98" s="425" t="n">
        <f aca="false">(($AN$5*O98)/12)*$S$4</f>
        <v>140242.485328294</v>
      </c>
      <c r="AO98" s="425" t="n">
        <f aca="false">($AO$5*O98)/12</f>
        <v>30665.2664712013</v>
      </c>
      <c r="AP98" s="425" t="n">
        <f aca="false">AP97</f>
        <v>46500.5582152336</v>
      </c>
      <c r="AQ98" s="433" t="n">
        <f aca="false">SUM(AK98:AP98)</f>
        <v>694780.646225213</v>
      </c>
      <c r="AR98" s="425" t="n">
        <f aca="false">($AR$5*O98)/12</f>
        <v>15332.6332356006</v>
      </c>
      <c r="AS98" s="433" t="n">
        <f aca="false">AS97</f>
        <v>30387.755</v>
      </c>
      <c r="AT98" s="425" t="n">
        <f aca="false">(AI98/100)*$AT$6*O98</f>
        <v>67924.1614425552</v>
      </c>
      <c r="AU98" s="433" t="n">
        <f aca="false">SUM(AJ98:AT98)-AQ98</f>
        <v>5399203.75412406</v>
      </c>
      <c r="AV98" s="433" t="n">
        <f aca="false">AI98-AU98</f>
        <v>3830043.92287789</v>
      </c>
      <c r="AW98" s="493"/>
      <c r="AX98" s="423" t="n">
        <f aca="false">K98</f>
        <v>39295</v>
      </c>
      <c r="BA98" s="126"/>
      <c r="BB98" s="481" t="n">
        <f aca="false">X98</f>
        <v>87.1999969482422</v>
      </c>
      <c r="BC98" s="481" t="n">
        <f aca="false">'Curve Analysis - Base Case'!D90</f>
        <v>45.8279242487306</v>
      </c>
      <c r="BD98" s="479" t="n">
        <f aca="false">L98</f>
        <v>0.073960194001562</v>
      </c>
      <c r="BE98" s="479" t="n">
        <f aca="false">L98</f>
        <v>0.073960194001562</v>
      </c>
      <c r="BF98" s="489" t="n">
        <f aca="false">PJM_01212000!X98</f>
        <v>0.2173605249024</v>
      </c>
      <c r="BG98" s="425" t="n">
        <f aca="false">(AX98+15)-$K$1</f>
        <v>2721</v>
      </c>
      <c r="BH98" s="433" t="n">
        <f aca="false">AD98</f>
        <v>105840</v>
      </c>
      <c r="BJ98" s="486" t="e">
        <f aca="false">EURO(BB98,BC98,BD98,BE98,BF98,BG98,1,0)*BH98</f>
        <v>#NAME?</v>
      </c>
      <c r="BK98" s="433" t="n">
        <f aca="false">(AI98-AJ98)*N98</f>
        <v>2684731.4031022</v>
      </c>
      <c r="BM98" s="433" t="e">
        <f aca="false">BJ98-BK98</f>
        <v>#NAME?</v>
      </c>
    </row>
    <row r="99" customFormat="false" ht="16.5" hidden="false" customHeight="false" outlineLevel="0" collapsed="false">
      <c r="A99" s="59" t="n">
        <f aca="false">A98+1</f>
        <v>93</v>
      </c>
      <c r="C99" s="59" t="n">
        <v>30</v>
      </c>
      <c r="D99" s="59" t="s">
        <v>171</v>
      </c>
      <c r="E99" s="125" t="n">
        <f aca="false">E98+C98</f>
        <v>39326</v>
      </c>
      <c r="F99" s="425" t="n">
        <f aca="false">F51</f>
        <v>22</v>
      </c>
      <c r="G99" s="433" t="n">
        <f aca="false">C99-F99</f>
        <v>8</v>
      </c>
      <c r="H99" s="433"/>
      <c r="I99" s="433"/>
      <c r="J99" s="59" t="n">
        <f aca="false">K100-K99</f>
        <v>30</v>
      </c>
      <c r="K99" s="478" t="n">
        <v>39326</v>
      </c>
      <c r="L99" s="490" t="n">
        <v>0.073975176539738</v>
      </c>
      <c r="M99" s="491" t="n">
        <v>0.065531018075715</v>
      </c>
      <c r="N99" s="480" t="n">
        <f aca="false">(1+L99/2)^(-2*((K99+$T$1)-$K$1)/365.25)</f>
        <v>0.575176878608227</v>
      </c>
      <c r="O99" s="127" t="n">
        <f aca="false">VLOOKUP(K99,Inflation!$B$8:$C$266,2)</f>
        <v>1.22933695717796</v>
      </c>
      <c r="P99" s="480"/>
      <c r="Q99" s="481" t="n">
        <f aca="false">VLOOKUP(K99,'Fuel Curve'!$B$11:$F$268,5)</f>
        <v>4.62362068965517</v>
      </c>
      <c r="R99" s="482" t="n">
        <f aca="false">VLOOKUP(K99,'Fuel Curve Simulation'!$B$12:$J$258,9)</f>
        <v>4.62362068965517</v>
      </c>
      <c r="S99" s="481" t="n">
        <f aca="false">(R99*$S$2)/1000</f>
        <v>44.2896625862069</v>
      </c>
      <c r="T99" s="483"/>
      <c r="V99" s="128" t="n">
        <f aca="false">VLOOKUP(K99,PJM_01212000!$A$7:$C$259,3)</f>
        <v>34.9249984741211</v>
      </c>
      <c r="W99" s="128"/>
      <c r="X99" s="484" t="n">
        <f aca="false">'PJM Curve Simulation'!J99</f>
        <v>34.9249984741211</v>
      </c>
      <c r="Y99" s="489"/>
      <c r="Z99" s="483"/>
      <c r="AA99" s="59" t="n">
        <f aca="false">AA98</f>
        <v>315</v>
      </c>
      <c r="AB99" s="425" t="n">
        <f aca="false">AA99*F99*16</f>
        <v>110880</v>
      </c>
      <c r="AC99" s="425" t="n">
        <f aca="false">VLOOKUP(K99,'Company Volumes'!$B$20:$C$259,2)</f>
        <v>21399.0405457516</v>
      </c>
      <c r="AD99" s="485" t="n">
        <f aca="false">IF(V99&gt;S99+($AM$5*1000*O99),AA99*F99*16,0)</f>
        <v>0</v>
      </c>
      <c r="AE99" s="425"/>
      <c r="AF99" s="425" t="n">
        <v>0</v>
      </c>
      <c r="AG99" s="425" t="n">
        <v>0</v>
      </c>
      <c r="AH99" s="425" t="n">
        <f aca="false">X99*AD99</f>
        <v>0</v>
      </c>
      <c r="AI99" s="425" t="n">
        <f aca="false">SUM(AF99:AH99)</f>
        <v>0</v>
      </c>
      <c r="AJ99" s="425" t="n">
        <f aca="false">(AD99*1000*$S$2)/1000000*R99</f>
        <v>0</v>
      </c>
      <c r="AK99" s="425" t="n">
        <f aca="false">($AK$5*O99)/12</f>
        <v>61466.8478588978</v>
      </c>
      <c r="AL99" s="425" t="n">
        <f aca="false">($AL$5*O99)/12</f>
        <v>156740.462040189</v>
      </c>
      <c r="AM99" s="425" t="n">
        <f aca="false">AD99*$AM$5*1000*O99</f>
        <v>0</v>
      </c>
      <c r="AN99" s="425" t="n">
        <f aca="false">(($AN$5*O99)/12)*$S$4</f>
        <v>140554.192104013</v>
      </c>
      <c r="AO99" s="425" t="n">
        <f aca="false">($AO$5*O99)/12</f>
        <v>30733.4239294489</v>
      </c>
      <c r="AP99" s="425" t="n">
        <f aca="false">AP98</f>
        <v>46500.5582152336</v>
      </c>
      <c r="AQ99" s="433" t="n">
        <f aca="false">SUM(AK99:AP99)</f>
        <v>435995.484147783</v>
      </c>
      <c r="AR99" s="425" t="n">
        <f aca="false">($AR$5*O99)/12</f>
        <v>15366.7119647244</v>
      </c>
      <c r="AS99" s="433" t="n">
        <f aca="false">AS98</f>
        <v>30387.755</v>
      </c>
      <c r="AT99" s="425" t="n">
        <f aca="false">(AI99/100)*$AT$6*O99</f>
        <v>0</v>
      </c>
      <c r="AU99" s="433" t="n">
        <f aca="false">SUM(AJ99:AT99)-AQ99</f>
        <v>481749.951112507</v>
      </c>
      <c r="AV99" s="433" t="n">
        <f aca="false">AI99-AU99</f>
        <v>-481749.951112507</v>
      </c>
      <c r="AW99" s="493"/>
      <c r="AX99" s="423" t="n">
        <f aca="false">K99</f>
        <v>39326</v>
      </c>
      <c r="BA99" s="126"/>
      <c r="BB99" s="481" t="n">
        <f aca="false">X99</f>
        <v>34.9249984741211</v>
      </c>
      <c r="BC99" s="481" t="n">
        <f aca="false">'Curve Analysis - Base Case'!D91</f>
        <v>46.7483365005628</v>
      </c>
      <c r="BD99" s="479" t="n">
        <f aca="false">L99</f>
        <v>0.073975176539738</v>
      </c>
      <c r="BE99" s="479" t="n">
        <f aca="false">L99</f>
        <v>0.073975176539738</v>
      </c>
      <c r="BF99" s="489" t="n">
        <f aca="false">PJM_01212000!X99</f>
        <v>0.13971750912</v>
      </c>
      <c r="BG99" s="425" t="n">
        <f aca="false">(AX99+15)-$K$1</f>
        <v>2752</v>
      </c>
      <c r="BH99" s="433" t="n">
        <f aca="false">AD99</f>
        <v>0</v>
      </c>
      <c r="BJ99" s="486" t="e">
        <f aca="false">EURO(BB99,BC99,BD99,BE99,BF99,BG99,1,0)*BH99</f>
        <v>#NAME?</v>
      </c>
      <c r="BK99" s="433" t="n">
        <f aca="false">(AI99-AJ99)*N99</f>
        <v>0</v>
      </c>
      <c r="BM99" s="433" t="e">
        <f aca="false">BJ99-BK99</f>
        <v>#NAME?</v>
      </c>
    </row>
    <row r="100" customFormat="false" ht="16.5" hidden="false" customHeight="false" outlineLevel="0" collapsed="false">
      <c r="A100" s="59" t="n">
        <f aca="false">A99+1</f>
        <v>94</v>
      </c>
      <c r="C100" s="59" t="n">
        <v>31</v>
      </c>
      <c r="D100" s="59" t="s">
        <v>172</v>
      </c>
      <c r="E100" s="125" t="n">
        <f aca="false">E99+C99</f>
        <v>39356</v>
      </c>
      <c r="F100" s="425" t="n">
        <f aca="false">F52</f>
        <v>23</v>
      </c>
      <c r="G100" s="433" t="n">
        <f aca="false">C100-F100</f>
        <v>8</v>
      </c>
      <c r="H100" s="433"/>
      <c r="I100" s="433"/>
      <c r="J100" s="59" t="n">
        <f aca="false">K101-K100</f>
        <v>31</v>
      </c>
      <c r="K100" s="478" t="n">
        <v>39356</v>
      </c>
      <c r="L100" s="490" t="n">
        <v>0.073989675770301</v>
      </c>
      <c r="M100" s="491" t="n">
        <v>0.065518209017152</v>
      </c>
      <c r="N100" s="480" t="n">
        <f aca="false">(1+L100/2)^(-2*((K100+$T$1)-$K$1)/365.25)</f>
        <v>0.571693885865508</v>
      </c>
      <c r="O100" s="127" t="n">
        <f aca="false">VLOOKUP(K100,Inflation!$B$8:$C$266,2)</f>
        <v>1.23206931505294</v>
      </c>
      <c r="P100" s="480"/>
      <c r="Q100" s="481" t="n">
        <f aca="false">VLOOKUP(K100,'Fuel Curve'!$B$11:$F$268,5)</f>
        <v>4.71551724137931</v>
      </c>
      <c r="R100" s="482" t="n">
        <f aca="false">VLOOKUP(K100,'Fuel Curve Simulation'!$B$12:$J$258,9)</f>
        <v>4.71551724137931</v>
      </c>
      <c r="S100" s="481" t="n">
        <f aca="false">(R100*$S$2)/1000</f>
        <v>45.1699396551724</v>
      </c>
      <c r="T100" s="483"/>
      <c r="V100" s="128" t="n">
        <f aca="false">VLOOKUP(K100,PJM_01212000!$A$7:$C$259,3)</f>
        <v>28.5750003814697</v>
      </c>
      <c r="W100" s="128"/>
      <c r="X100" s="484" t="n">
        <f aca="false">'PJM Curve Simulation'!J100</f>
        <v>28.5750003814697</v>
      </c>
      <c r="Y100" s="489"/>
      <c r="Z100" s="483"/>
      <c r="AA100" s="59" t="n">
        <f aca="false">AA99</f>
        <v>315</v>
      </c>
      <c r="AB100" s="425" t="n">
        <f aca="false">AA100*F100*16</f>
        <v>115920</v>
      </c>
      <c r="AC100" s="425" t="n">
        <f aca="false">VLOOKUP(K100,'Company Volumes'!$B$20:$C$259,2)</f>
        <v>3914.15868867956</v>
      </c>
      <c r="AD100" s="485" t="n">
        <f aca="false">IF(V100&gt;S100+($AM$5*1000*O100),AA100*F100*16,0)</f>
        <v>0</v>
      </c>
      <c r="AE100" s="425"/>
      <c r="AF100" s="425" t="n">
        <v>0</v>
      </c>
      <c r="AG100" s="425" t="n">
        <v>0</v>
      </c>
      <c r="AH100" s="425" t="n">
        <f aca="false">X100*AD100</f>
        <v>0</v>
      </c>
      <c r="AI100" s="425" t="n">
        <f aca="false">SUM(AF100:AH100)</f>
        <v>0</v>
      </c>
      <c r="AJ100" s="425" t="n">
        <f aca="false">(AD100*1000*$S$2)/1000000*R100</f>
        <v>0</v>
      </c>
      <c r="AK100" s="425" t="n">
        <f aca="false">($AK$5*O100)/12</f>
        <v>61603.4657526471</v>
      </c>
      <c r="AL100" s="425" t="n">
        <f aca="false">($AL$5*O100)/12</f>
        <v>157088.83766925</v>
      </c>
      <c r="AM100" s="425" t="n">
        <f aca="false">AD100*$AM$5*1000*O100</f>
        <v>0</v>
      </c>
      <c r="AN100" s="425" t="n">
        <f aca="false">(($AN$5*O100)/12)*$S$4</f>
        <v>140866.59168772</v>
      </c>
      <c r="AO100" s="425" t="n">
        <f aca="false">($AO$5*O100)/12</f>
        <v>30801.7328763235</v>
      </c>
      <c r="AP100" s="425" t="n">
        <f aca="false">AP99</f>
        <v>46500.5582152336</v>
      </c>
      <c r="AQ100" s="433" t="n">
        <f aca="false">SUM(AK100:AP100)</f>
        <v>436861.186201174</v>
      </c>
      <c r="AR100" s="425" t="n">
        <f aca="false">($AR$5*O100)/12</f>
        <v>15400.8664381618</v>
      </c>
      <c r="AS100" s="433" t="n">
        <f aca="false">AS99</f>
        <v>30387.755</v>
      </c>
      <c r="AT100" s="425" t="n">
        <f aca="false">(AI100/100)*$AT$6*O100</f>
        <v>0</v>
      </c>
      <c r="AU100" s="433" t="n">
        <f aca="false">SUM(AJ100:AT100)-AQ100</f>
        <v>482649.807639336</v>
      </c>
      <c r="AV100" s="433" t="n">
        <f aca="false">AI100-AU100</f>
        <v>-482649.807639336</v>
      </c>
      <c r="AW100" s="493"/>
      <c r="AX100" s="423" t="n">
        <f aca="false">K100</f>
        <v>39356</v>
      </c>
      <c r="BA100" s="126"/>
      <c r="BB100" s="481" t="n">
        <f aca="false">X100</f>
        <v>28.5750003814697</v>
      </c>
      <c r="BC100" s="481" t="n">
        <f aca="false">'Curve Analysis - Base Case'!D92</f>
        <v>47.6340782852783</v>
      </c>
      <c r="BD100" s="479" t="n">
        <f aca="false">L100</f>
        <v>0.073989675770301</v>
      </c>
      <c r="BE100" s="479" t="n">
        <f aca="false">L100</f>
        <v>0.073989675770301</v>
      </c>
      <c r="BF100" s="489" t="n">
        <f aca="false">PJM_01212000!X100</f>
        <v>0.098800238592</v>
      </c>
      <c r="BG100" s="425" t="n">
        <f aca="false">(AX100+15)-$K$1</f>
        <v>2782</v>
      </c>
      <c r="BH100" s="433" t="n">
        <f aca="false">AD100</f>
        <v>0</v>
      </c>
      <c r="BJ100" s="486" t="e">
        <f aca="false">EURO(BB100,BC100,BD100,BE100,BF100,BG100,1,0)*BH100</f>
        <v>#NAME?</v>
      </c>
      <c r="BK100" s="433" t="n">
        <f aca="false">(AI100-AJ100)*N100</f>
        <v>0</v>
      </c>
      <c r="BM100" s="433" t="e">
        <f aca="false">BJ100-BK100</f>
        <v>#NAME?</v>
      </c>
    </row>
    <row r="101" customFormat="false" ht="16.5" hidden="false" customHeight="false" outlineLevel="0" collapsed="false">
      <c r="A101" s="59" t="n">
        <f aca="false">A100+1</f>
        <v>95</v>
      </c>
      <c r="C101" s="59" t="n">
        <v>30</v>
      </c>
      <c r="D101" s="59" t="s">
        <v>173</v>
      </c>
      <c r="E101" s="125" t="n">
        <f aca="false">E100+C100</f>
        <v>39387</v>
      </c>
      <c r="F101" s="425" t="n">
        <f aca="false">F53</f>
        <v>20</v>
      </c>
      <c r="G101" s="433" t="n">
        <f aca="false">C101-F101</f>
        <v>10</v>
      </c>
      <c r="H101" s="433"/>
      <c r="I101" s="433"/>
      <c r="J101" s="59" t="n">
        <f aca="false">K102-K101</f>
        <v>30</v>
      </c>
      <c r="K101" s="478" t="n">
        <v>39387</v>
      </c>
      <c r="L101" s="490" t="n">
        <v>0.074004658308623</v>
      </c>
      <c r="M101" s="491" t="n">
        <v>0.06550497299117</v>
      </c>
      <c r="N101" s="480" t="n">
        <f aca="false">(1+L101/2)^(-2*((K101+$T$1)-$K$1)/365.25)</f>
        <v>0.568115579085372</v>
      </c>
      <c r="O101" s="127" t="n">
        <f aca="false">VLOOKUP(K101,Inflation!$B$8:$C$266,2)</f>
        <v>1.23480774594112</v>
      </c>
      <c r="P101" s="480"/>
      <c r="Q101" s="481" t="n">
        <f aca="false">VLOOKUP(K101,'Fuel Curve'!$B$11:$F$268,5)</f>
        <v>4.80465517241379</v>
      </c>
      <c r="R101" s="482" t="n">
        <f aca="false">VLOOKUP(K101,'Fuel Curve Simulation'!$B$12:$J$258,9)</f>
        <v>4.80465517241379</v>
      </c>
      <c r="S101" s="481" t="n">
        <f aca="false">(R101*$S$2)/1000</f>
        <v>46.0237918965517</v>
      </c>
      <c r="T101" s="483"/>
      <c r="V101" s="128" t="n">
        <f aca="false">VLOOKUP(K101,PJM_01212000!$A$7:$C$259,3)</f>
        <v>28.2474990844727</v>
      </c>
      <c r="W101" s="128"/>
      <c r="X101" s="484" t="n">
        <f aca="false">'PJM Curve Simulation'!J101</f>
        <v>28.2474990844727</v>
      </c>
      <c r="Y101" s="489"/>
      <c r="Z101" s="483"/>
      <c r="AA101" s="59" t="n">
        <f aca="false">AA100</f>
        <v>315</v>
      </c>
      <c r="AB101" s="425" t="n">
        <f aca="false">AA101*F101*16</f>
        <v>100800</v>
      </c>
      <c r="AC101" s="425" t="n">
        <f aca="false">VLOOKUP(K101,'Company Volumes'!$B$20:$C$259,2)</f>
        <v>8091.070973132</v>
      </c>
      <c r="AD101" s="485" t="n">
        <f aca="false">IF(V101&gt;S101+($AM$5*1000*O101),AA101*F101*16,0)</f>
        <v>0</v>
      </c>
      <c r="AE101" s="425"/>
      <c r="AF101" s="425" t="n">
        <v>0</v>
      </c>
      <c r="AG101" s="425" t="n">
        <v>0</v>
      </c>
      <c r="AH101" s="425" t="n">
        <f aca="false">X101*AD101</f>
        <v>0</v>
      </c>
      <c r="AI101" s="425" t="n">
        <f aca="false">SUM(AF101:AH101)</f>
        <v>0</v>
      </c>
      <c r="AJ101" s="425" t="n">
        <f aca="false">(AD101*1000*$S$2)/1000000*R101</f>
        <v>0</v>
      </c>
      <c r="AK101" s="425" t="n">
        <f aca="false">($AK$5*O101)/12</f>
        <v>61740.3872970559</v>
      </c>
      <c r="AL101" s="425" t="n">
        <f aca="false">($AL$5*O101)/12</f>
        <v>157437.987607493</v>
      </c>
      <c r="AM101" s="425" t="n">
        <f aca="false">AD101*$AM$5*1000*O101</f>
        <v>0</v>
      </c>
      <c r="AN101" s="425" t="n">
        <f aca="false">(($AN$5*O101)/12)*$S$4</f>
        <v>141179.685619268</v>
      </c>
      <c r="AO101" s="425" t="n">
        <f aca="false">($AO$5*O101)/12</f>
        <v>30870.1936485279</v>
      </c>
      <c r="AP101" s="425" t="n">
        <f aca="false">AP100</f>
        <v>46500.5582152336</v>
      </c>
      <c r="AQ101" s="433" t="n">
        <f aca="false">SUM(AK101:AP101)</f>
        <v>437728.812387578</v>
      </c>
      <c r="AR101" s="425" t="n">
        <f aca="false">($AR$5*O101)/12</f>
        <v>15435.096824264</v>
      </c>
      <c r="AS101" s="433" t="n">
        <f aca="false">AS100</f>
        <v>30387.755</v>
      </c>
      <c r="AT101" s="425" t="n">
        <f aca="false">(AI101/100)*$AT$6*O101</f>
        <v>0</v>
      </c>
      <c r="AU101" s="433" t="n">
        <f aca="false">SUM(AJ101:AT101)-AQ101</f>
        <v>483551.664211842</v>
      </c>
      <c r="AV101" s="433" t="n">
        <f aca="false">AI101-AU101</f>
        <v>-483551.664211842</v>
      </c>
      <c r="AW101" s="493"/>
      <c r="AX101" s="423" t="n">
        <f aca="false">K101</f>
        <v>39387</v>
      </c>
      <c r="BA101" s="126"/>
      <c r="BB101" s="481" t="n">
        <f aca="false">X101</f>
        <v>28.2474990844727</v>
      </c>
      <c r="BC101" s="481" t="n">
        <f aca="false">'Curve Analysis - Base Case'!D93</f>
        <v>48.493407388434</v>
      </c>
      <c r="BD101" s="479" t="n">
        <f aca="false">L101</f>
        <v>0.074004658308623</v>
      </c>
      <c r="BE101" s="479" t="n">
        <f aca="false">L101</f>
        <v>0.074004658308623</v>
      </c>
      <c r="BF101" s="489" t="n">
        <f aca="false">PJM_01212000!X101</f>
        <v>0.098800238592</v>
      </c>
      <c r="BG101" s="425" t="n">
        <f aca="false">(AX101+15)-$K$1</f>
        <v>2813</v>
      </c>
      <c r="BH101" s="433" t="n">
        <f aca="false">AD101</f>
        <v>0</v>
      </c>
      <c r="BJ101" s="486" t="e">
        <f aca="false">EURO(BB101,BC101,BD101,BE101,BF101,BG101,1,0)*BH101</f>
        <v>#NAME?</v>
      </c>
      <c r="BK101" s="433" t="n">
        <f aca="false">(AI101-AJ101)*N101</f>
        <v>0</v>
      </c>
      <c r="BM101" s="433" t="e">
        <f aca="false">BJ101-BK101</f>
        <v>#NAME?</v>
      </c>
    </row>
    <row r="102" customFormat="false" ht="16.5" hidden="false" customHeight="false" outlineLevel="0" collapsed="false">
      <c r="A102" s="59" t="n">
        <f aca="false">A101+1</f>
        <v>96</v>
      </c>
      <c r="C102" s="59" t="n">
        <v>31</v>
      </c>
      <c r="D102" s="59" t="s">
        <v>174</v>
      </c>
      <c r="E102" s="125" t="n">
        <f aca="false">E101+C101</f>
        <v>39417</v>
      </c>
      <c r="F102" s="425" t="n">
        <f aca="false">F54</f>
        <v>23</v>
      </c>
      <c r="G102" s="433" t="n">
        <f aca="false">C102-F102</f>
        <v>8</v>
      </c>
      <c r="H102" s="433" t="n">
        <f aca="false">SUM(F91:G102)</f>
        <v>365</v>
      </c>
      <c r="I102" s="433"/>
      <c r="J102" s="59" t="n">
        <f aca="false">K103-K102</f>
        <v>31</v>
      </c>
      <c r="K102" s="478" t="n">
        <v>39417</v>
      </c>
      <c r="L102" s="490" t="n">
        <v>0.074019157539328</v>
      </c>
      <c r="M102" s="491" t="n">
        <v>0.065492163934928</v>
      </c>
      <c r="N102" s="480" t="n">
        <f aca="false">(1+L102/2)^(-2*((K102+$T$1)-$K$1)/365.25)</f>
        <v>0.564672709875958</v>
      </c>
      <c r="O102" s="127" t="n">
        <f aca="false">VLOOKUP(K102,Inflation!$B$8:$C$266,2)</f>
        <v>1.23755226334053</v>
      </c>
      <c r="P102" s="480"/>
      <c r="Q102" s="481" t="n">
        <f aca="false">VLOOKUP(K102,'Fuel Curve'!$B$11:$F$268,5)</f>
        <v>4.84741379310345</v>
      </c>
      <c r="R102" s="482" t="n">
        <f aca="false">VLOOKUP(K102,'Fuel Curve Simulation'!$B$12:$J$258,9)</f>
        <v>4.84741379310345</v>
      </c>
      <c r="S102" s="481" t="n">
        <f aca="false">(R102*$S$2)/1000</f>
        <v>46.4333767241379</v>
      </c>
      <c r="T102" s="483"/>
      <c r="V102" s="128" t="n">
        <f aca="false">VLOOKUP(K102,PJM_01212000!$A$7:$C$259,3)</f>
        <v>29.9999996185303</v>
      </c>
      <c r="W102" s="128"/>
      <c r="X102" s="484" t="n">
        <f aca="false">'PJM Curve Simulation'!J102</f>
        <v>29.9999996185303</v>
      </c>
      <c r="Y102" s="489"/>
      <c r="Z102" s="483"/>
      <c r="AA102" s="59" t="n">
        <f aca="false">AA101</f>
        <v>315</v>
      </c>
      <c r="AB102" s="425" t="n">
        <f aca="false">AA102*F102*16</f>
        <v>115920</v>
      </c>
      <c r="AC102" s="425" t="n">
        <f aca="false">VLOOKUP(K102,'Company Volumes'!$B$20:$C$259,2)</f>
        <v>8091.070973132</v>
      </c>
      <c r="AD102" s="485" t="n">
        <f aca="false">IF(V102&gt;S102+($AM$5*1000*O102),AA102*F102*16,0)</f>
        <v>0</v>
      </c>
      <c r="AE102" s="425"/>
      <c r="AF102" s="425" t="n">
        <v>0</v>
      </c>
      <c r="AG102" s="425" t="n">
        <v>0</v>
      </c>
      <c r="AH102" s="425" t="n">
        <f aca="false">X102*AD102</f>
        <v>0</v>
      </c>
      <c r="AI102" s="425" t="n">
        <f aca="false">SUM(AF102:AH102)</f>
        <v>0</v>
      </c>
      <c r="AJ102" s="425" t="n">
        <f aca="false">(AD102*1000*$S$2)/1000000*R102</f>
        <v>0</v>
      </c>
      <c r="AK102" s="425" t="n">
        <f aca="false">($AK$5*O102)/12</f>
        <v>61877.6131670265</v>
      </c>
      <c r="AL102" s="425" t="n">
        <f aca="false">($AL$5*O102)/12</f>
        <v>157787.913575918</v>
      </c>
      <c r="AM102" s="425" t="n">
        <f aca="false">AD102*$AM$5*1000*O102</f>
        <v>0</v>
      </c>
      <c r="AN102" s="425" t="n">
        <f aca="false">(($AN$5*O102)/12)*$S$4</f>
        <v>141493.475441934</v>
      </c>
      <c r="AO102" s="425" t="n">
        <f aca="false">($AO$5*O102)/12</f>
        <v>30938.8065835132</v>
      </c>
      <c r="AP102" s="425" t="n">
        <f aca="false">AP101</f>
        <v>46500.5582152336</v>
      </c>
      <c r="AQ102" s="433" t="n">
        <f aca="false">SUM(AK102:AP102)</f>
        <v>438598.366983625</v>
      </c>
      <c r="AR102" s="425" t="n">
        <f aca="false">($AR$5*O102)/12</f>
        <v>15469.4032917566</v>
      </c>
      <c r="AS102" s="433" t="n">
        <f aca="false">AS101</f>
        <v>30387.755</v>
      </c>
      <c r="AT102" s="425" t="n">
        <f aca="false">(AI102/100)*$AT$6*O102</f>
        <v>0</v>
      </c>
      <c r="AU102" s="433" t="n">
        <f aca="false">SUM(AJ102:AT102)-AQ102</f>
        <v>484455.525275382</v>
      </c>
      <c r="AV102" s="433" t="n">
        <f aca="false">AI102-AU102</f>
        <v>-484455.525275382</v>
      </c>
      <c r="AW102" s="493"/>
      <c r="AX102" s="423" t="n">
        <f aca="false">K102</f>
        <v>39417</v>
      </c>
      <c r="AY102" s="425" t="n">
        <f aca="false">'Debt Amortization'!O8</f>
        <v>3928008.41254224</v>
      </c>
      <c r="AZ102" s="425" t="n">
        <f aca="false">AY102*N102</f>
        <v>2218039.15472579</v>
      </c>
      <c r="BA102" s="126"/>
      <c r="BB102" s="481" t="n">
        <f aca="false">X102</f>
        <v>29.9999996185303</v>
      </c>
      <c r="BC102" s="481" t="n">
        <f aca="false">'Curve Analysis - Base Case'!D94</f>
        <v>48.908481250819</v>
      </c>
      <c r="BD102" s="479" t="n">
        <f aca="false">L102</f>
        <v>0.074019157539328</v>
      </c>
      <c r="BE102" s="479" t="n">
        <f aca="false">L102</f>
        <v>0.074019157539328</v>
      </c>
      <c r="BF102" s="489" t="n">
        <f aca="false">PJM_01212000!X102</f>
        <v>0.098800238592</v>
      </c>
      <c r="BG102" s="425" t="n">
        <f aca="false">(AX102+15)-$K$1</f>
        <v>2843</v>
      </c>
      <c r="BH102" s="433" t="n">
        <f aca="false">AD102</f>
        <v>0</v>
      </c>
      <c r="BJ102" s="486" t="e">
        <f aca="false">EURO(BB102,BC102,BD102,BE102,BF102,BG102,1,0)*BH102</f>
        <v>#NAME?</v>
      </c>
      <c r="BK102" s="433" t="n">
        <f aca="false">(AI102-AJ102)*N102</f>
        <v>0</v>
      </c>
      <c r="BM102" s="433" t="e">
        <f aca="false">BJ102-BK102</f>
        <v>#NAME?</v>
      </c>
    </row>
    <row r="103" customFormat="false" ht="16.5" hidden="false" customHeight="false" outlineLevel="0" collapsed="false">
      <c r="A103" s="59" t="n">
        <f aca="false">A102+1</f>
        <v>97</v>
      </c>
      <c r="C103" s="59" t="n">
        <v>31</v>
      </c>
      <c r="D103" s="59" t="s">
        <v>164</v>
      </c>
      <c r="E103" s="125" t="n">
        <f aca="false">E102+C102</f>
        <v>39448</v>
      </c>
      <c r="F103" s="425" t="n">
        <f aca="false">F55</f>
        <v>22</v>
      </c>
      <c r="G103" s="433" t="n">
        <f aca="false">C103-F103</f>
        <v>9</v>
      </c>
      <c r="H103" s="433"/>
      <c r="I103" s="433"/>
      <c r="J103" s="59" t="n">
        <f aca="false">K104-K103</f>
        <v>31</v>
      </c>
      <c r="K103" s="478" t="n">
        <v>39448</v>
      </c>
      <c r="L103" s="490" t="n">
        <v>0.074034140077795</v>
      </c>
      <c r="M103" s="491" t="n">
        <v>0.065478927911344</v>
      </c>
      <c r="N103" s="480" t="n">
        <f aca="false">(1+L103/2)^(-2*((K103+$T$1)-$K$1)/365.25)</f>
        <v>0.5611356424926</v>
      </c>
      <c r="O103" s="127" t="n">
        <f aca="false">VLOOKUP(K103,Inflation!$B$8:$C$266,2)</f>
        <v>1.24030288077922</v>
      </c>
      <c r="P103" s="480"/>
      <c r="Q103" s="481" t="n">
        <f aca="false">VLOOKUP(K103,'Fuel Curve'!$B$11:$F$268,5)</f>
        <v>4.79017241379311</v>
      </c>
      <c r="R103" s="482" t="n">
        <f aca="false">VLOOKUP(K103,'Fuel Curve Simulation'!$B$12:$J$258,9)</f>
        <v>4.79017241379311</v>
      </c>
      <c r="S103" s="481" t="n">
        <f aca="false">(R103*$S$2)/1000</f>
        <v>45.8850615517242</v>
      </c>
      <c r="T103" s="483"/>
      <c r="V103" s="128" t="n">
        <f aca="false">VLOOKUP(K103,PJM_01212000!$A$7:$C$259,3)</f>
        <v>38.8249984741211</v>
      </c>
      <c r="W103" s="128"/>
      <c r="X103" s="484" t="n">
        <f aca="false">'PJM Curve Simulation'!J103</f>
        <v>38.8249984741211</v>
      </c>
      <c r="Y103" s="489"/>
      <c r="Z103" s="483"/>
      <c r="AA103" s="59" t="n">
        <f aca="false">AA102</f>
        <v>315</v>
      </c>
      <c r="AB103" s="425" t="n">
        <f aca="false">AA103*F103*16</f>
        <v>110880</v>
      </c>
      <c r="AC103" s="425" t="n">
        <f aca="false">VLOOKUP(K103,'Company Volumes'!$B$20:$C$259,2)</f>
        <v>17916.3073077053</v>
      </c>
      <c r="AD103" s="485" t="n">
        <f aca="false">IF(V103&gt;S103+($AM$5*1000*O103),AA103*F103*16,0)</f>
        <v>0</v>
      </c>
      <c r="AE103" s="425"/>
      <c r="AF103" s="425" t="n">
        <v>0</v>
      </c>
      <c r="AG103" s="425" t="n">
        <v>0</v>
      </c>
      <c r="AH103" s="425" t="n">
        <f aca="false">X103*AD103</f>
        <v>0</v>
      </c>
      <c r="AI103" s="425" t="n">
        <f aca="false">SUM(AF103:AH103)</f>
        <v>0</v>
      </c>
      <c r="AJ103" s="425" t="n">
        <f aca="false">(AD103*1000*$S$2)/1000000*R103</f>
        <v>0</v>
      </c>
      <c r="AK103" s="425" t="n">
        <f aca="false">($AK$5*O103)/12</f>
        <v>62015.1440389612</v>
      </c>
      <c r="AL103" s="425" t="n">
        <f aca="false">($AL$5*O103)/12</f>
        <v>158138.617299351</v>
      </c>
      <c r="AM103" s="425" t="n">
        <f aca="false">AD103*$AM$5*1000*O103</f>
        <v>0</v>
      </c>
      <c r="AN103" s="425" t="n">
        <f aca="false">(($AN$5*O103)/12)*$S$4</f>
        <v>141807.962702425</v>
      </c>
      <c r="AO103" s="425" t="n">
        <f aca="false">($AO$5*O103)/12</f>
        <v>31007.5720194806</v>
      </c>
      <c r="AP103" s="425" t="n">
        <f aca="false">AP102</f>
        <v>46500.5582152336</v>
      </c>
      <c r="AQ103" s="433" t="n">
        <f aca="false">SUM(AK103:AP103)</f>
        <v>439469.854275451</v>
      </c>
      <c r="AR103" s="425" t="n">
        <f aca="false">($AR$5*O103)/12</f>
        <v>15503.7860097403</v>
      </c>
      <c r="AS103" s="433" t="n">
        <f aca="false">AS102</f>
        <v>30387.755</v>
      </c>
      <c r="AT103" s="425" t="n">
        <f aca="false">(AI103/100)*$AT$6*O103</f>
        <v>0</v>
      </c>
      <c r="AU103" s="433" t="n">
        <f aca="false">SUM(AJ103:AT103)-AQ103</f>
        <v>485361.395285192</v>
      </c>
      <c r="AV103" s="433" t="n">
        <f aca="false">AI103-AU103</f>
        <v>-485361.395285192</v>
      </c>
      <c r="AW103" s="493"/>
      <c r="AX103" s="423" t="n">
        <f aca="false">K103</f>
        <v>39448</v>
      </c>
      <c r="BA103" s="126"/>
      <c r="BB103" s="481" t="n">
        <f aca="false">X103</f>
        <v>38.8249984741211</v>
      </c>
      <c r="BC103" s="481" t="n">
        <f aca="false">'Curve Analysis - Base Case'!D95</f>
        <v>48.3656673132826</v>
      </c>
      <c r="BD103" s="479" t="n">
        <f aca="false">L103</f>
        <v>0.074034140077795</v>
      </c>
      <c r="BE103" s="479" t="n">
        <f aca="false">L103</f>
        <v>0.074034140077795</v>
      </c>
      <c r="BF103" s="489" t="n">
        <f aca="false">PJM_01212000!X103</f>
        <v>0.151757166477312</v>
      </c>
      <c r="BG103" s="425" t="n">
        <f aca="false">(AX103+15)-$K$1</f>
        <v>2874</v>
      </c>
      <c r="BH103" s="433" t="n">
        <f aca="false">AD103</f>
        <v>0</v>
      </c>
      <c r="BJ103" s="486" t="e">
        <f aca="false">EURO(BB103,BC103,BD103,BE103,BF103,BG103,1,0)*BH103</f>
        <v>#NAME?</v>
      </c>
      <c r="BK103" s="433" t="n">
        <f aca="false">(AI103-AJ103)*N103</f>
        <v>0</v>
      </c>
      <c r="BM103" s="433" t="e">
        <f aca="false">BJ103-BK103</f>
        <v>#NAME?</v>
      </c>
    </row>
    <row r="104" customFormat="false" ht="16.5" hidden="false" customHeight="false" outlineLevel="0" collapsed="false">
      <c r="A104" s="59" t="n">
        <f aca="false">A103+1</f>
        <v>98</v>
      </c>
      <c r="C104" s="496" t="n">
        <v>29</v>
      </c>
      <c r="D104" s="497" t="s">
        <v>165</v>
      </c>
      <c r="E104" s="125" t="n">
        <f aca="false">E103+C103</f>
        <v>39479</v>
      </c>
      <c r="F104" s="425" t="n">
        <f aca="false">F56</f>
        <v>20</v>
      </c>
      <c r="G104" s="433" t="n">
        <f aca="false">C104-F104</f>
        <v>9</v>
      </c>
      <c r="H104" s="433"/>
      <c r="I104" s="433"/>
      <c r="J104" s="59" t="n">
        <f aca="false">K105-K104</f>
        <v>29</v>
      </c>
      <c r="K104" s="478" t="n">
        <v>39479</v>
      </c>
      <c r="L104" s="490" t="n">
        <v>0.074049122616337</v>
      </c>
      <c r="M104" s="491" t="n">
        <v>0.065465691888979</v>
      </c>
      <c r="N104" s="480" t="n">
        <f aca="false">(1+L104/2)^(-2*((K104+$T$1)-$K$1)/365.25)</f>
        <v>0.557619363957722</v>
      </c>
      <c r="O104" s="127" t="n">
        <f aca="false">VLOOKUP(K104,Inflation!$B$8:$C$266,2)</f>
        <v>1.24305961181531</v>
      </c>
      <c r="P104" s="480"/>
      <c r="Q104" s="481" t="n">
        <f aca="false">VLOOKUP(K104,'Fuel Curve'!$B$11:$F$268,5)</f>
        <v>4.69103448275862</v>
      </c>
      <c r="R104" s="482" t="n">
        <f aca="false">VLOOKUP(K104,'Fuel Curve Simulation'!$B$12:$J$258,9)</f>
        <v>4.69103448275862</v>
      </c>
      <c r="S104" s="481" t="n">
        <f aca="false">(R104*$S$2)/1000</f>
        <v>44.9354193103448</v>
      </c>
      <c r="T104" s="483"/>
      <c r="V104" s="128" t="n">
        <f aca="false">VLOOKUP(K104,PJM_01212000!$A$7:$C$259,3)</f>
        <v>38.8249984741211</v>
      </c>
      <c r="W104" s="128"/>
      <c r="X104" s="484" t="n">
        <f aca="false">'PJM Curve Simulation'!J104</f>
        <v>38.8249984741211</v>
      </c>
      <c r="Y104" s="489"/>
      <c r="Z104" s="483"/>
      <c r="AA104" s="59" t="n">
        <f aca="false">AA103</f>
        <v>315</v>
      </c>
      <c r="AB104" s="425" t="n">
        <f aca="false">AA104*F104*16</f>
        <v>100800</v>
      </c>
      <c r="AC104" s="425" t="n">
        <f aca="false">VLOOKUP(K104,'Company Volumes'!$B$20:$C$259,2)</f>
        <v>712.976950852444</v>
      </c>
      <c r="AD104" s="485" t="n">
        <f aca="false">IF(V104&gt;S104+($AM$5*1000*O104),AA104*F104*16,0)</f>
        <v>0</v>
      </c>
      <c r="AE104" s="425"/>
      <c r="AF104" s="425" t="n">
        <v>0</v>
      </c>
      <c r="AG104" s="425" t="n">
        <v>0</v>
      </c>
      <c r="AH104" s="425" t="n">
        <f aca="false">X104*AD104</f>
        <v>0</v>
      </c>
      <c r="AI104" s="425" t="n">
        <f aca="false">SUM(AF104:AH104)</f>
        <v>0</v>
      </c>
      <c r="AJ104" s="425" t="n">
        <f aca="false">(AD104*1000*$S$2)/1000000*R104</f>
        <v>0</v>
      </c>
      <c r="AK104" s="425" t="n">
        <f aca="false">($AK$5*O104)/12</f>
        <v>62152.9805907657</v>
      </c>
      <c r="AL104" s="425" t="n">
        <f aca="false">($AL$5*O104)/12</f>
        <v>158490.100506453</v>
      </c>
      <c r="AM104" s="425" t="n">
        <f aca="false">AD104*$AM$5*1000*O104</f>
        <v>0</v>
      </c>
      <c r="AN104" s="425" t="n">
        <f aca="false">(($AN$5*O104)/12)*$S$4</f>
        <v>142123.148950884</v>
      </c>
      <c r="AO104" s="425" t="n">
        <f aca="false">($AO$5*O104)/12</f>
        <v>31076.4902953828</v>
      </c>
      <c r="AP104" s="425" t="n">
        <f aca="false">AP103</f>
        <v>46500.5582152336</v>
      </c>
      <c r="AQ104" s="433" t="n">
        <f aca="false">SUM(AK104:AP104)</f>
        <v>440343.278558719</v>
      </c>
      <c r="AR104" s="425" t="n">
        <f aca="false">($AR$5*O104)/12</f>
        <v>15538.2451476914</v>
      </c>
      <c r="AS104" s="433" t="n">
        <f aca="false">AS103</f>
        <v>30387.755</v>
      </c>
      <c r="AT104" s="425" t="n">
        <f aca="false">(AI104/100)*$AT$6*O104</f>
        <v>0</v>
      </c>
      <c r="AU104" s="433" t="n">
        <f aca="false">SUM(AJ104:AT104)-AQ104</f>
        <v>486269.27870641</v>
      </c>
      <c r="AV104" s="433" t="n">
        <f aca="false">AI104-AU104</f>
        <v>-486269.27870641</v>
      </c>
      <c r="AW104" s="493"/>
      <c r="AX104" s="423" t="n">
        <f aca="false">K104</f>
        <v>39479</v>
      </c>
      <c r="BA104" s="126"/>
      <c r="BB104" s="481" t="n">
        <f aca="false">X104</f>
        <v>38.8249984741211</v>
      </c>
      <c r="BC104" s="481" t="n">
        <f aca="false">'Curve Analysis - Base Case'!D96</f>
        <v>47.4215385339755</v>
      </c>
      <c r="BD104" s="479" t="n">
        <f aca="false">L104</f>
        <v>0.074049122616337</v>
      </c>
      <c r="BE104" s="479" t="n">
        <f aca="false">L104</f>
        <v>0.074049122616337</v>
      </c>
      <c r="BF104" s="489" t="n">
        <f aca="false">PJM_01212000!X104</f>
        <v>0.151757166477312</v>
      </c>
      <c r="BG104" s="425" t="n">
        <f aca="false">(AX104+15)-$K$1</f>
        <v>2905</v>
      </c>
      <c r="BH104" s="433" t="n">
        <f aca="false">AD104</f>
        <v>0</v>
      </c>
      <c r="BJ104" s="486" t="e">
        <f aca="false">EURO(BB104,BC104,BD104,BE104,BF104,BG104,1,0)*BH104</f>
        <v>#NAME?</v>
      </c>
      <c r="BK104" s="433" t="n">
        <f aca="false">(AI104-AJ104)*N104</f>
        <v>0</v>
      </c>
      <c r="BM104" s="433" t="e">
        <f aca="false">BJ104-BK104</f>
        <v>#NAME?</v>
      </c>
    </row>
    <row r="105" customFormat="false" ht="16.5" hidden="false" customHeight="false" outlineLevel="0" collapsed="false">
      <c r="A105" s="59" t="n">
        <f aca="false">A104+1</f>
        <v>99</v>
      </c>
      <c r="C105" s="59" t="n">
        <v>31</v>
      </c>
      <c r="D105" s="59" t="s">
        <v>166</v>
      </c>
      <c r="E105" s="125" t="n">
        <f aca="false">E104+C104</f>
        <v>39508</v>
      </c>
      <c r="F105" s="425" t="n">
        <f aca="false">F57</f>
        <v>23</v>
      </c>
      <c r="G105" s="433" t="n">
        <f aca="false">C105-F105</f>
        <v>8</v>
      </c>
      <c r="H105" s="433"/>
      <c r="I105" s="433"/>
      <c r="J105" s="59" t="n">
        <f aca="false">K106-K105</f>
        <v>31</v>
      </c>
      <c r="K105" s="478" t="n">
        <v>39508</v>
      </c>
      <c r="L105" s="490" t="n">
        <v>0.074063138539555</v>
      </c>
      <c r="M105" s="491" t="n">
        <v>0.065453309804646</v>
      </c>
      <c r="N105" s="480" t="n">
        <f aca="false">(1+L105/2)^(-2*((K105+$T$1)-$K$1)/365.25)</f>
        <v>0.554348662223597</v>
      </c>
      <c r="O105" s="127" t="n">
        <f aca="false">VLOOKUP(K105,Inflation!$B$8:$C$266,2)</f>
        <v>1.24582247003705</v>
      </c>
      <c r="P105" s="480"/>
      <c r="Q105" s="481" t="n">
        <f aca="false">VLOOKUP(K105,'Fuel Curve'!$B$11:$F$268,5)</f>
        <v>4.59396551724138</v>
      </c>
      <c r="R105" s="482" t="n">
        <f aca="false">VLOOKUP(K105,'Fuel Curve Simulation'!$B$12:$J$258,9)</f>
        <v>4.59396551724138</v>
      </c>
      <c r="S105" s="481" t="n">
        <f aca="false">(R105*$S$2)/1000</f>
        <v>44.0055956896552</v>
      </c>
      <c r="T105" s="483"/>
      <c r="V105" s="128" t="n">
        <f aca="false">VLOOKUP(K105,PJM_01212000!$A$7:$C$259,3)</f>
        <v>28.5500007629395</v>
      </c>
      <c r="W105" s="128"/>
      <c r="X105" s="484" t="n">
        <f aca="false">'PJM Curve Simulation'!J105</f>
        <v>28.5500007629395</v>
      </c>
      <c r="Y105" s="489"/>
      <c r="Z105" s="483"/>
      <c r="AA105" s="59" t="n">
        <f aca="false">AA104</f>
        <v>315</v>
      </c>
      <c r="AB105" s="425" t="n">
        <f aca="false">AA105*F105*16</f>
        <v>115920</v>
      </c>
      <c r="AC105" s="425" t="n">
        <f aca="false">VLOOKUP(K105,'Company Volumes'!$B$20:$C$259,2)</f>
        <v>712.976950852444</v>
      </c>
      <c r="AD105" s="485" t="n">
        <f aca="false">IF(V105&gt;S105+($AM$5*1000*O105),AA105*F105*16,0)</f>
        <v>0</v>
      </c>
      <c r="AE105" s="425"/>
      <c r="AF105" s="425" t="n">
        <v>0</v>
      </c>
      <c r="AG105" s="425" t="n">
        <v>0</v>
      </c>
      <c r="AH105" s="425" t="n">
        <f aca="false">X105*AD105</f>
        <v>0</v>
      </c>
      <c r="AI105" s="425" t="n">
        <f aca="false">SUM(AF105:AH105)</f>
        <v>0</v>
      </c>
      <c r="AJ105" s="425" t="n">
        <f aca="false">(AD105*1000*$S$2)/1000000*R105</f>
        <v>0</v>
      </c>
      <c r="AK105" s="425" t="n">
        <f aca="false">($AK$5*O105)/12</f>
        <v>62291.1235018524</v>
      </c>
      <c r="AL105" s="425" t="n">
        <f aca="false">($AL$5*O105)/12</f>
        <v>158842.364929724</v>
      </c>
      <c r="AM105" s="425" t="n">
        <f aca="false">AD105*$AM$5*1000*O105</f>
        <v>0</v>
      </c>
      <c r="AN105" s="425" t="n">
        <f aca="false">(($AN$5*O105)/12)*$S$4</f>
        <v>142439.035740902</v>
      </c>
      <c r="AO105" s="425" t="n">
        <f aca="false">($AO$5*O105)/12</f>
        <v>31145.5617509262</v>
      </c>
      <c r="AP105" s="425" t="n">
        <f aca="false">AP104</f>
        <v>46500.5582152336</v>
      </c>
      <c r="AQ105" s="433" t="n">
        <f aca="false">SUM(AK105:AP105)</f>
        <v>441218.644138638</v>
      </c>
      <c r="AR105" s="425" t="n">
        <f aca="false">($AR$5*O105)/12</f>
        <v>15572.7808754631</v>
      </c>
      <c r="AS105" s="433" t="n">
        <f aca="false">AS104</f>
        <v>30387.755</v>
      </c>
      <c r="AT105" s="425" t="n">
        <f aca="false">(AI105/100)*$AT$6*O105</f>
        <v>0</v>
      </c>
      <c r="AU105" s="433" t="n">
        <f aca="false">SUM(AJ105:AT105)-AQ105</f>
        <v>487179.180014101</v>
      </c>
      <c r="AV105" s="433" t="n">
        <f aca="false">AI105-AU105</f>
        <v>-487179.180014101</v>
      </c>
      <c r="AW105" s="493"/>
      <c r="AX105" s="423" t="n">
        <f aca="false">K105</f>
        <v>39508</v>
      </c>
      <c r="BA105" s="126"/>
      <c r="BB105" s="481" t="n">
        <f aca="false">X105</f>
        <v>28.5500007629395</v>
      </c>
      <c r="BC105" s="481" t="n">
        <f aca="false">'Curve Analysis - Base Case'!D97</f>
        <v>46.4972406297293</v>
      </c>
      <c r="BD105" s="479" t="n">
        <f aca="false">L105</f>
        <v>0.074063138539555</v>
      </c>
      <c r="BE105" s="479" t="n">
        <f aca="false">L105</f>
        <v>0.074063138539555</v>
      </c>
      <c r="BF105" s="489" t="n">
        <f aca="false">PJM_01212000!X105</f>
        <v>0.12646430539776</v>
      </c>
      <c r="BG105" s="425" t="n">
        <f aca="false">(AX105+15)-$K$1</f>
        <v>2934</v>
      </c>
      <c r="BH105" s="433" t="n">
        <f aca="false">AD105</f>
        <v>0</v>
      </c>
      <c r="BJ105" s="486" t="e">
        <f aca="false">EURO(BB105,BC105,BD105,BE105,BF105,BG105,1,0)*BH105</f>
        <v>#NAME?</v>
      </c>
      <c r="BK105" s="433" t="n">
        <f aca="false">(AI105-AJ105)*N105</f>
        <v>0</v>
      </c>
      <c r="BM105" s="433" t="e">
        <f aca="false">BJ105-BK105</f>
        <v>#NAME?</v>
      </c>
    </row>
    <row r="106" customFormat="false" ht="16.5" hidden="false" customHeight="false" outlineLevel="0" collapsed="false">
      <c r="A106" s="59" t="n">
        <f aca="false">A105+1</f>
        <v>100</v>
      </c>
      <c r="C106" s="59" t="n">
        <v>30</v>
      </c>
      <c r="D106" s="59" t="s">
        <v>167</v>
      </c>
      <c r="E106" s="125" t="n">
        <f aca="false">E105+C105</f>
        <v>39539</v>
      </c>
      <c r="F106" s="425" t="n">
        <f aca="false">F58</f>
        <v>22</v>
      </c>
      <c r="G106" s="433" t="n">
        <f aca="false">C106-F106</f>
        <v>8</v>
      </c>
      <c r="H106" s="433"/>
      <c r="I106" s="433"/>
      <c r="J106" s="59" t="n">
        <f aca="false">K107-K106</f>
        <v>30</v>
      </c>
      <c r="K106" s="478" t="n">
        <v>39539</v>
      </c>
      <c r="L106" s="490" t="n">
        <v>0.074078121078241</v>
      </c>
      <c r="M106" s="491" t="n">
        <v>0.065440073784641</v>
      </c>
      <c r="N106" s="480" t="n">
        <f aca="false">(1+L106/2)^(-2*((K106+$T$1)-$K$1)/365.25)</f>
        <v>0.55087229945878</v>
      </c>
      <c r="O106" s="127" t="n">
        <f aca="false">VLOOKUP(K106,Inflation!$B$8:$C$266,2)</f>
        <v>1.24859146906288</v>
      </c>
      <c r="P106" s="480"/>
      <c r="Q106" s="481" t="n">
        <f aca="false">VLOOKUP(K106,'Fuel Curve'!$B$11:$F$268,5)</f>
        <v>4.49396551724138</v>
      </c>
      <c r="R106" s="482" t="n">
        <f aca="false">VLOOKUP(K106,'Fuel Curve Simulation'!$B$12:$J$258,9)</f>
        <v>4.49396551724138</v>
      </c>
      <c r="S106" s="481" t="n">
        <f aca="false">(R106*$S$2)/1000</f>
        <v>43.0476956896552</v>
      </c>
      <c r="T106" s="483"/>
      <c r="V106" s="128" t="n">
        <f aca="false">VLOOKUP(K106,PJM_01212000!$A$7:$C$259,3)</f>
        <v>28.3250007629395</v>
      </c>
      <c r="W106" s="128"/>
      <c r="X106" s="484" t="n">
        <f aca="false">'PJM Curve Simulation'!J106</f>
        <v>28.3250007629395</v>
      </c>
      <c r="Y106" s="489"/>
      <c r="Z106" s="483"/>
      <c r="AA106" s="59" t="n">
        <f aca="false">AA105</f>
        <v>315</v>
      </c>
      <c r="AB106" s="425" t="n">
        <f aca="false">AA106*F106*16</f>
        <v>110880</v>
      </c>
      <c r="AC106" s="425" t="n">
        <f aca="false">VLOOKUP(K106,'Company Volumes'!$B$20:$C$259,2)</f>
        <v>9285.25334070444</v>
      </c>
      <c r="AD106" s="485" t="n">
        <f aca="false">IF(V106&gt;S106+($AM$5*1000*O106),AA106*F106*16,0)</f>
        <v>0</v>
      </c>
      <c r="AE106" s="425"/>
      <c r="AF106" s="425" t="n">
        <v>0</v>
      </c>
      <c r="AG106" s="425" t="n">
        <v>0</v>
      </c>
      <c r="AH106" s="425" t="n">
        <f aca="false">X106*AD106</f>
        <v>0</v>
      </c>
      <c r="AI106" s="425" t="n">
        <f aca="false">SUM(AF106:AH106)</f>
        <v>0</v>
      </c>
      <c r="AJ106" s="425" t="n">
        <f aca="false">(AD106*1000*$S$2)/1000000*R106</f>
        <v>0</v>
      </c>
      <c r="AK106" s="425" t="n">
        <f aca="false">($AK$5*O106)/12</f>
        <v>62429.5734531438</v>
      </c>
      <c r="AL106" s="425" t="n">
        <f aca="false">($AL$5*O106)/12</f>
        <v>159195.412305517</v>
      </c>
      <c r="AM106" s="425" t="n">
        <f aca="false">AD106*$AM$5*1000*O106</f>
        <v>0</v>
      </c>
      <c r="AN106" s="425" t="n">
        <f aca="false">(($AN$5*O106)/12)*$S$4</f>
        <v>142755.624629522</v>
      </c>
      <c r="AO106" s="425" t="n">
        <f aca="false">($AO$5*O106)/12</f>
        <v>31214.7867265719</v>
      </c>
      <c r="AP106" s="425" t="n">
        <f aca="false">AP105</f>
        <v>46500.5582152336</v>
      </c>
      <c r="AQ106" s="433" t="n">
        <f aca="false">SUM(AK106:AP106)</f>
        <v>442095.955329988</v>
      </c>
      <c r="AR106" s="425" t="n">
        <f aca="false">($AR$5*O106)/12</f>
        <v>15607.3933632859</v>
      </c>
      <c r="AS106" s="433" t="n">
        <f aca="false">AS105</f>
        <v>30387.755</v>
      </c>
      <c r="AT106" s="425" t="n">
        <f aca="false">(AI106/100)*$AT$6*O106</f>
        <v>0</v>
      </c>
      <c r="AU106" s="433" t="n">
        <f aca="false">SUM(AJ106:AT106)-AQ106</f>
        <v>488091.103693274</v>
      </c>
      <c r="AV106" s="433" t="n">
        <f aca="false">AI106-AU106</f>
        <v>-488091.103693274</v>
      </c>
      <c r="AW106" s="493"/>
      <c r="AX106" s="423" t="n">
        <f aca="false">K106</f>
        <v>39539</v>
      </c>
      <c r="BA106" s="126"/>
      <c r="BB106" s="481" t="n">
        <f aca="false">X106</f>
        <v>28.3250007629395</v>
      </c>
      <c r="BC106" s="481" t="n">
        <f aca="false">'Curve Analysis - Base Case'!D98</f>
        <v>45.5448786277809</v>
      </c>
      <c r="BD106" s="479" t="n">
        <f aca="false">L106</f>
        <v>0.074078121078241</v>
      </c>
      <c r="BE106" s="479" t="n">
        <f aca="false">L106</f>
        <v>0.074078121078241</v>
      </c>
      <c r="BF106" s="489" t="n">
        <f aca="false">PJM_01212000!X106</f>
        <v>0.120141090127872</v>
      </c>
      <c r="BG106" s="425" t="n">
        <f aca="false">(AX106+15)-$K$1</f>
        <v>2965</v>
      </c>
      <c r="BH106" s="433" t="n">
        <f aca="false">AD106</f>
        <v>0</v>
      </c>
      <c r="BJ106" s="486" t="e">
        <f aca="false">EURO(BB106,BC106,BD106,BE106,BF106,BG106,1,0)*BH106</f>
        <v>#NAME?</v>
      </c>
      <c r="BK106" s="433" t="n">
        <f aca="false">(AI106-AJ106)*N106</f>
        <v>0</v>
      </c>
      <c r="BM106" s="433" t="e">
        <f aca="false">BJ106-BK106</f>
        <v>#NAME?</v>
      </c>
    </row>
    <row r="107" customFormat="false" ht="16.5" hidden="false" customHeight="false" outlineLevel="0" collapsed="false">
      <c r="A107" s="59" t="n">
        <f aca="false">A106+1</f>
        <v>101</v>
      </c>
      <c r="C107" s="59" t="n">
        <v>31</v>
      </c>
      <c r="D107" s="59" t="s">
        <v>29</v>
      </c>
      <c r="E107" s="125" t="n">
        <f aca="false">E106+C106</f>
        <v>39569</v>
      </c>
      <c r="F107" s="425" t="n">
        <f aca="false">F59</f>
        <v>21</v>
      </c>
      <c r="G107" s="433" t="n">
        <f aca="false">C107-F107</f>
        <v>10</v>
      </c>
      <c r="H107" s="433"/>
      <c r="I107" s="433"/>
      <c r="J107" s="59" t="n">
        <f aca="false">K108-K107</f>
        <v>31</v>
      </c>
      <c r="K107" s="478" t="n">
        <v>39569</v>
      </c>
      <c r="L107" s="490" t="n">
        <v>0.074092620309297</v>
      </c>
      <c r="M107" s="491" t="n">
        <v>0.065427264734184</v>
      </c>
      <c r="N107" s="480" t="n">
        <f aca="false">(1+L107/2)^(-2*((K107+$T$1)-$K$1)/365.25)</f>
        <v>0.547527557804006</v>
      </c>
      <c r="O107" s="127" t="n">
        <f aca="false">VLOOKUP(K107,Inflation!$B$8:$C$266,2)</f>
        <v>1.25136662254152</v>
      </c>
      <c r="P107" s="480"/>
      <c r="Q107" s="481" t="n">
        <f aca="false">VLOOKUP(K107,'Fuel Curve'!$B$11:$F$268,5)</f>
        <v>4.42672413793104</v>
      </c>
      <c r="R107" s="482" t="n">
        <f aca="false">VLOOKUP(K107,'Fuel Curve Simulation'!$B$12:$J$258,9)</f>
        <v>4.42672413793104</v>
      </c>
      <c r="S107" s="481" t="n">
        <f aca="false">(R107*$S$2)/1000</f>
        <v>42.4035905172414</v>
      </c>
      <c r="T107" s="483"/>
      <c r="V107" s="128" t="n">
        <f aca="false">VLOOKUP(K107,PJM_01212000!$A$7:$C$259,3)</f>
        <v>34.825</v>
      </c>
      <c r="W107" s="128"/>
      <c r="X107" s="484" t="n">
        <f aca="false">'PJM Curve Simulation'!J107</f>
        <v>34.825</v>
      </c>
      <c r="Y107" s="489"/>
      <c r="Z107" s="483"/>
      <c r="AA107" s="59" t="n">
        <f aca="false">AA106</f>
        <v>315</v>
      </c>
      <c r="AB107" s="425" t="n">
        <f aca="false">AA107*F107*16</f>
        <v>105840</v>
      </c>
      <c r="AC107" s="425" t="n">
        <f aca="false">VLOOKUP(K107,'Company Volumes'!$B$20:$C$259,2)</f>
        <v>17783.5345660124</v>
      </c>
      <c r="AD107" s="485" t="n">
        <f aca="false">IF(V107&gt;S107+($AM$5*1000*O107),AA107*F107*16,0)</f>
        <v>0</v>
      </c>
      <c r="AE107" s="425"/>
      <c r="AF107" s="425" t="n">
        <v>0</v>
      </c>
      <c r="AG107" s="425" t="n">
        <v>0</v>
      </c>
      <c r="AH107" s="425" t="n">
        <f aca="false">X107*AD107</f>
        <v>0</v>
      </c>
      <c r="AI107" s="425" t="n">
        <f aca="false">SUM(AF107:AH107)</f>
        <v>0</v>
      </c>
      <c r="AJ107" s="425" t="n">
        <f aca="false">(AD107*1000*$S$2)/1000000*R107</f>
        <v>0</v>
      </c>
      <c r="AK107" s="425" t="n">
        <f aca="false">($AK$5*O107)/12</f>
        <v>62568.3311270758</v>
      </c>
      <c r="AL107" s="425" t="n">
        <f aca="false">($AL$5*O107)/12</f>
        <v>159549.244374043</v>
      </c>
      <c r="AM107" s="425" t="n">
        <f aca="false">AD107*$AM$5*1000*O107</f>
        <v>0</v>
      </c>
      <c r="AN107" s="425" t="n">
        <f aca="false">(($AN$5*O107)/12)*$S$4</f>
        <v>143072.917177247</v>
      </c>
      <c r="AO107" s="425" t="n">
        <f aca="false">($AO$5*O107)/12</f>
        <v>31284.1655635379</v>
      </c>
      <c r="AP107" s="425" t="n">
        <f aca="false">AP106</f>
        <v>46500.5582152336</v>
      </c>
      <c r="AQ107" s="433" t="n">
        <f aca="false">SUM(AK107:AP107)</f>
        <v>442975.216457137</v>
      </c>
      <c r="AR107" s="425" t="n">
        <f aca="false">($AR$5*O107)/12</f>
        <v>15642.0827817689</v>
      </c>
      <c r="AS107" s="433" t="n">
        <f aca="false">AS106</f>
        <v>30387.755</v>
      </c>
      <c r="AT107" s="425" t="n">
        <f aca="false">(AI107/100)*$AT$6*O107</f>
        <v>0</v>
      </c>
      <c r="AU107" s="433" t="n">
        <f aca="false">SUM(AJ107:AT107)-AQ107</f>
        <v>489005.054238906</v>
      </c>
      <c r="AV107" s="433" t="n">
        <f aca="false">AI107-AU107</f>
        <v>-489005.054238906</v>
      </c>
      <c r="AW107" s="493"/>
      <c r="AX107" s="423" t="n">
        <f aca="false">K107</f>
        <v>39569</v>
      </c>
      <c r="BA107" s="126"/>
      <c r="BB107" s="481" t="n">
        <f aca="false">X107</f>
        <v>34.825</v>
      </c>
      <c r="BC107" s="481" t="n">
        <f aca="false">'Curve Analysis - Base Case'!D99</f>
        <v>44.9063237623244</v>
      </c>
      <c r="BD107" s="479" t="n">
        <f aca="false">L107</f>
        <v>0.074092620309297</v>
      </c>
      <c r="BE107" s="479" t="n">
        <f aca="false">L107</f>
        <v>0.074092620309297</v>
      </c>
      <c r="BF107" s="489" t="n">
        <f aca="false">PJM_01212000!X107</f>
        <v>0.132787520667648</v>
      </c>
      <c r="BG107" s="425" t="n">
        <f aca="false">(AX107+15)-$K$1</f>
        <v>2995</v>
      </c>
      <c r="BH107" s="433" t="n">
        <f aca="false">AD107</f>
        <v>0</v>
      </c>
      <c r="BJ107" s="486" t="e">
        <f aca="false">EURO(BB107,BC107,BD107,BE107,BF107,BG107,1,0)*BH107</f>
        <v>#NAME?</v>
      </c>
      <c r="BK107" s="433" t="n">
        <f aca="false">(AI107-AJ107)*N107</f>
        <v>0</v>
      </c>
      <c r="BM107" s="433" t="e">
        <f aca="false">BJ107-BK107</f>
        <v>#NAME?</v>
      </c>
    </row>
    <row r="108" customFormat="false" ht="16.5" hidden="false" customHeight="false" outlineLevel="0" collapsed="false">
      <c r="A108" s="59" t="n">
        <f aca="false">A107+1</f>
        <v>102</v>
      </c>
      <c r="C108" s="59" t="n">
        <v>30</v>
      </c>
      <c r="D108" s="59" t="s">
        <v>168</v>
      </c>
      <c r="E108" s="125" t="n">
        <f aca="false">E107+C107</f>
        <v>39600</v>
      </c>
      <c r="F108" s="425" t="n">
        <f aca="false">F60</f>
        <v>22</v>
      </c>
      <c r="G108" s="433" t="n">
        <f aca="false">C108-F108</f>
        <v>8</v>
      </c>
      <c r="H108" s="433"/>
      <c r="I108" s="433"/>
      <c r="J108" s="59" t="n">
        <f aca="false">K109-K108</f>
        <v>30</v>
      </c>
      <c r="K108" s="478" t="n">
        <v>39600</v>
      </c>
      <c r="L108" s="490" t="n">
        <v>0.074107602848128</v>
      </c>
      <c r="M108" s="491" t="n">
        <v>0.065414028716578</v>
      </c>
      <c r="N108" s="480" t="n">
        <f aca="false">(1+L108/2)^(-2*((K108+$T$1)-$K$1)/365.25)</f>
        <v>0.544091346009173</v>
      </c>
      <c r="O108" s="127" t="n">
        <f aca="false">VLOOKUP(K108,Inflation!$B$8:$C$266,2)</f>
        <v>1.25414794415202</v>
      </c>
      <c r="P108" s="480"/>
      <c r="Q108" s="481" t="n">
        <f aca="false">VLOOKUP(K108,'Fuel Curve'!$B$11:$F$268,5)</f>
        <v>4.42017241379311</v>
      </c>
      <c r="R108" s="482" t="n">
        <f aca="false">VLOOKUP(K108,'Fuel Curve Simulation'!$B$12:$J$258,9)</f>
        <v>4.42017241379311</v>
      </c>
      <c r="S108" s="481" t="n">
        <f aca="false">(R108*$S$2)/1000</f>
        <v>42.3408315517242</v>
      </c>
      <c r="T108" s="483"/>
      <c r="V108" s="128" t="n">
        <f aca="false">VLOOKUP(K108,PJM_01212000!$A$7:$C$259,3)</f>
        <v>59.8499984741211</v>
      </c>
      <c r="W108" s="128"/>
      <c r="X108" s="484" t="n">
        <f aca="false">'PJM Curve Simulation'!J108</f>
        <v>59.8499984741211</v>
      </c>
      <c r="Y108" s="489"/>
      <c r="Z108" s="483"/>
      <c r="AA108" s="59" t="n">
        <f aca="false">AA107</f>
        <v>315</v>
      </c>
      <c r="AB108" s="425" t="n">
        <f aca="false">AA108*F108*16</f>
        <v>110880</v>
      </c>
      <c r="AC108" s="425" t="n">
        <f aca="false">VLOOKUP(K108,'Company Volumes'!$B$20:$C$259,2)</f>
        <v>32058.4392990618</v>
      </c>
      <c r="AD108" s="485" t="n">
        <f aca="false">IF(V108&gt;S108+($AM$5*1000*O108),AA108*F108*16,0)</f>
        <v>110880</v>
      </c>
      <c r="AE108" s="425"/>
      <c r="AF108" s="425" t="n">
        <v>0</v>
      </c>
      <c r="AG108" s="425" t="n">
        <v>0</v>
      </c>
      <c r="AH108" s="425" t="n">
        <f aca="false">X108*AD108</f>
        <v>6636167.83081055</v>
      </c>
      <c r="AI108" s="425" t="n">
        <f aca="false">SUM(AF108:AH108)</f>
        <v>6636167.83081055</v>
      </c>
      <c r="AJ108" s="425" t="n">
        <f aca="false">(AD108*1000*$S$2)/1000000*R108</f>
        <v>4694751.40245517</v>
      </c>
      <c r="AK108" s="425" t="n">
        <f aca="false">($AK$5*O108)/12</f>
        <v>62707.3972076012</v>
      </c>
      <c r="AL108" s="425" t="n">
        <f aca="false">($AL$5*O108)/12</f>
        <v>159903.862879383</v>
      </c>
      <c r="AM108" s="425" t="n">
        <f aca="false">AD108*$AM$5*1000*O108</f>
        <v>278119.848095153</v>
      </c>
      <c r="AN108" s="425" t="n">
        <f aca="false">(($AN$5*O108)/12)*$S$4</f>
        <v>143390.914948048</v>
      </c>
      <c r="AO108" s="425" t="n">
        <f aca="false">($AO$5*O108)/12</f>
        <v>31353.6986038006</v>
      </c>
      <c r="AP108" s="425" t="n">
        <f aca="false">AP107</f>
        <v>46500.5582152336</v>
      </c>
      <c r="AQ108" s="433" t="n">
        <f aca="false">SUM(AK108:AP108)</f>
        <v>721976.279949219</v>
      </c>
      <c r="AR108" s="425" t="n">
        <f aca="false">($AR$5*O108)/12</f>
        <v>15676.8493019003</v>
      </c>
      <c r="AS108" s="433" t="n">
        <f aca="false">AS107</f>
        <v>30387.755</v>
      </c>
      <c r="AT108" s="425" t="n">
        <f aca="false">(AI108/100)*$AT$6*O108</f>
        <v>49936.4174523531</v>
      </c>
      <c r="AU108" s="433" t="n">
        <f aca="false">SUM(AJ108:AT108)-AQ108</f>
        <v>5512728.70415865</v>
      </c>
      <c r="AV108" s="433" t="n">
        <f aca="false">AI108-AU108</f>
        <v>1123439.1266519</v>
      </c>
      <c r="AW108" s="493"/>
      <c r="AX108" s="423" t="n">
        <f aca="false">K108</f>
        <v>39600</v>
      </c>
      <c r="BA108" s="126"/>
      <c r="BB108" s="481" t="n">
        <f aca="false">X108</f>
        <v>59.8499984741211</v>
      </c>
      <c r="BC108" s="481" t="n">
        <f aca="false">'Curve Analysis - Base Case'!D100</f>
        <v>44.8491274400282</v>
      </c>
      <c r="BD108" s="479" t="n">
        <f aca="false">L108</f>
        <v>0.074107602848128</v>
      </c>
      <c r="BE108" s="479" t="n">
        <f aca="false">L108</f>
        <v>0.074107602848128</v>
      </c>
      <c r="BF108" s="489" t="n">
        <f aca="false">PJM_01212000!X108</f>
        <v>0.170726812286976</v>
      </c>
      <c r="BG108" s="425" t="n">
        <f aca="false">(AX108+15)-$K$1</f>
        <v>3026</v>
      </c>
      <c r="BH108" s="433" t="n">
        <f aca="false">AD108</f>
        <v>110880</v>
      </c>
      <c r="BJ108" s="486" t="e">
        <f aca="false">EURO(BB108,BC108,BD108,BE108,BF108,BG108,1,0)*BH108</f>
        <v>#NAME?</v>
      </c>
      <c r="BK108" s="433" t="n">
        <f aca="false">(AI108-AJ108)*N108</f>
        <v>1056307.8776682</v>
      </c>
      <c r="BM108" s="433" t="e">
        <f aca="false">BJ108-BK108</f>
        <v>#NAME?</v>
      </c>
    </row>
    <row r="109" customFormat="false" ht="16.5" hidden="false" customHeight="false" outlineLevel="0" collapsed="false">
      <c r="A109" s="59" t="n">
        <f aca="false">A108+1</f>
        <v>103</v>
      </c>
      <c r="C109" s="59" t="n">
        <v>31</v>
      </c>
      <c r="D109" s="59" t="s">
        <v>169</v>
      </c>
      <c r="E109" s="125" t="n">
        <f aca="false">E108+C108</f>
        <v>39630</v>
      </c>
      <c r="F109" s="425" t="n">
        <f aca="false">F61</f>
        <v>22</v>
      </c>
      <c r="G109" s="433" t="n">
        <f aca="false">C109-F109</f>
        <v>9</v>
      </c>
      <c r="H109" s="433"/>
      <c r="I109" s="433"/>
      <c r="J109" s="59" t="n">
        <f aca="false">K110-K109</f>
        <v>31</v>
      </c>
      <c r="K109" s="478" t="n">
        <v>39630</v>
      </c>
      <c r="L109" s="490" t="n">
        <v>0.074122102079324</v>
      </c>
      <c r="M109" s="491" t="n">
        <v>0.065401219668443</v>
      </c>
      <c r="N109" s="480" t="n">
        <f aca="false">(1+L109/2)^(-2*((K109+$T$1)-$K$1)/365.25)</f>
        <v>0.540785251828893</v>
      </c>
      <c r="O109" s="127" t="n">
        <f aca="false">VLOOKUP(K109,Inflation!$B$8:$C$266,2)</f>
        <v>1.25693544760386</v>
      </c>
      <c r="P109" s="480"/>
      <c r="Q109" s="481" t="n">
        <f aca="false">VLOOKUP(K109,'Fuel Curve'!$B$11:$F$268,5)</f>
        <v>4.47741379310345</v>
      </c>
      <c r="R109" s="482" t="n">
        <f aca="false">VLOOKUP(K109,'Fuel Curve Simulation'!$B$12:$J$258,9)</f>
        <v>4.47741379310345</v>
      </c>
      <c r="S109" s="481" t="n">
        <f aca="false">(R109*$S$2)/1000</f>
        <v>42.8891467241379</v>
      </c>
      <c r="T109" s="483"/>
      <c r="V109" s="128" t="n">
        <f aca="false">VLOOKUP(K109,PJM_01212000!$A$7:$C$259,3)</f>
        <v>102.449996948242</v>
      </c>
      <c r="W109" s="128"/>
      <c r="X109" s="484" t="n">
        <f aca="false">'PJM Curve Simulation'!J109</f>
        <v>102.449996948242</v>
      </c>
      <c r="Y109" s="489"/>
      <c r="Z109" s="483"/>
      <c r="AA109" s="59" t="n">
        <f aca="false">AA108</f>
        <v>315</v>
      </c>
      <c r="AB109" s="425" t="n">
        <f aca="false">AA109*F109*16</f>
        <v>110880</v>
      </c>
      <c r="AC109" s="425" t="n">
        <f aca="false">VLOOKUP(K109,'Company Volumes'!$B$20:$C$259,2)</f>
        <v>52294.4063009822</v>
      </c>
      <c r="AD109" s="485" t="n">
        <f aca="false">IF(V109&gt;S109+($AM$5*1000*O109),AA109*F109*16,0)</f>
        <v>110880</v>
      </c>
      <c r="AE109" s="425"/>
      <c r="AF109" s="425" t="n">
        <v>0</v>
      </c>
      <c r="AG109" s="425" t="n">
        <v>0</v>
      </c>
      <c r="AH109" s="425" t="n">
        <f aca="false">X109*AD109</f>
        <v>11359655.6616211</v>
      </c>
      <c r="AI109" s="425" t="n">
        <f aca="false">SUM(AF109:AH109)</f>
        <v>11359655.6616211</v>
      </c>
      <c r="AJ109" s="425" t="n">
        <f aca="false">(AD109*1000*$S$2)/1000000*R109</f>
        <v>4755548.58877241</v>
      </c>
      <c r="AK109" s="425" t="n">
        <f aca="false">($AK$5*O109)/12</f>
        <v>62846.7723801929</v>
      </c>
      <c r="AL109" s="425" t="n">
        <f aca="false">($AL$5*O109)/12</f>
        <v>160259.269569492</v>
      </c>
      <c r="AM109" s="425" t="n">
        <f aca="false">AD109*$AM$5*1000*O109</f>
        <v>278738.004860632</v>
      </c>
      <c r="AN109" s="425" t="n">
        <f aca="false">(($AN$5*O109)/12)*$S$4</f>
        <v>143709.619509374</v>
      </c>
      <c r="AO109" s="425" t="n">
        <f aca="false">($AO$5*O109)/12</f>
        <v>31423.3861900965</v>
      </c>
      <c r="AP109" s="425" t="n">
        <f aca="false">AP108</f>
        <v>46500.5582152336</v>
      </c>
      <c r="AQ109" s="433" t="n">
        <f aca="false">SUM(AK109:AP109)</f>
        <v>723477.610725021</v>
      </c>
      <c r="AR109" s="425" t="n">
        <f aca="false">($AR$5*O109)/12</f>
        <v>15711.6930950482</v>
      </c>
      <c r="AS109" s="433" t="n">
        <f aca="false">AS108</f>
        <v>30387.755</v>
      </c>
      <c r="AT109" s="425" t="n">
        <f aca="false">(AI109/100)*$AT$6*O109</f>
        <v>85670.1232419925</v>
      </c>
      <c r="AU109" s="433" t="n">
        <f aca="false">SUM(AJ109:AT109)-AQ109</f>
        <v>5610795.77083448</v>
      </c>
      <c r="AV109" s="433" t="n">
        <f aca="false">AI109-AU109</f>
        <v>5748859.89078662</v>
      </c>
      <c r="AW109" s="493"/>
      <c r="AX109" s="423" t="n">
        <f aca="false">K109</f>
        <v>39630</v>
      </c>
      <c r="BA109" s="126"/>
      <c r="BB109" s="481" t="n">
        <f aca="false">X109</f>
        <v>102.449996948242</v>
      </c>
      <c r="BC109" s="481" t="n">
        <f aca="false">'Curve Analysis - Base Case'!D101</f>
        <v>45.4030176193457</v>
      </c>
      <c r="BD109" s="479" t="n">
        <f aca="false">L109</f>
        <v>0.074122102079324</v>
      </c>
      <c r="BE109" s="479" t="n">
        <f aca="false">L109</f>
        <v>0.074122102079324</v>
      </c>
      <c r="BF109" s="489" t="n">
        <f aca="false">PJM_01212000!X109</f>
        <v>0.208666103906304</v>
      </c>
      <c r="BG109" s="425" t="n">
        <f aca="false">(AX109+15)-$K$1</f>
        <v>3056</v>
      </c>
      <c r="BH109" s="433" t="n">
        <f aca="false">AD109</f>
        <v>110880</v>
      </c>
      <c r="BJ109" s="486" t="e">
        <f aca="false">EURO(BB109,BC109,BD109,BE109,BF109,BG109,1,0)*BH109</f>
        <v>#NAME?</v>
      </c>
      <c r="BK109" s="433" t="n">
        <f aca="false">(AI109-AJ109)*N109</f>
        <v>3571403.70649544</v>
      </c>
      <c r="BM109" s="433" t="e">
        <f aca="false">BJ109-BK109</f>
        <v>#NAME?</v>
      </c>
    </row>
    <row r="110" customFormat="false" ht="16.5" hidden="false" customHeight="false" outlineLevel="0" collapsed="false">
      <c r="A110" s="59" t="n">
        <f aca="false">A109+1</f>
        <v>104</v>
      </c>
      <c r="C110" s="59" t="n">
        <v>31</v>
      </c>
      <c r="D110" s="59" t="s">
        <v>170</v>
      </c>
      <c r="E110" s="125" t="n">
        <f aca="false">E109+C109</f>
        <v>39661</v>
      </c>
      <c r="F110" s="425" t="n">
        <f aca="false">F62</f>
        <v>22</v>
      </c>
      <c r="G110" s="433" t="n">
        <f aca="false">C110-F110</f>
        <v>9</v>
      </c>
      <c r="H110" s="433"/>
      <c r="I110" s="433"/>
      <c r="J110" s="59" t="n">
        <f aca="false">K111-K110</f>
        <v>31</v>
      </c>
      <c r="K110" s="478" t="n">
        <v>39661</v>
      </c>
      <c r="L110" s="490" t="n">
        <v>0.074137084618301</v>
      </c>
      <c r="M110" s="491" t="n">
        <v>0.065387983653237</v>
      </c>
      <c r="N110" s="480" t="n">
        <f aca="false">(1+L110/2)^(-2*((K110+$T$1)-$K$1)/365.25)</f>
        <v>0.537388761562232</v>
      </c>
      <c r="O110" s="127" t="n">
        <f aca="false">VLOOKUP(K110,Inflation!$B$8:$C$266,2)</f>
        <v>1.25972914663695</v>
      </c>
      <c r="P110" s="480"/>
      <c r="Q110" s="481" t="n">
        <f aca="false">VLOOKUP(K110,'Fuel Curve'!$B$11:$F$268,5)</f>
        <v>4.56793103448276</v>
      </c>
      <c r="R110" s="482" t="n">
        <f aca="false">VLOOKUP(K110,'Fuel Curve Simulation'!$B$12:$J$258,9)</f>
        <v>4.56793103448276</v>
      </c>
      <c r="S110" s="481" t="n">
        <f aca="false">(R110*$S$2)/1000</f>
        <v>43.7562113793104</v>
      </c>
      <c r="T110" s="483"/>
      <c r="V110" s="128" t="n">
        <f aca="false">VLOOKUP(K110,PJM_01212000!$A$7:$C$259,3)</f>
        <v>89.4499969482422</v>
      </c>
      <c r="W110" s="128"/>
      <c r="X110" s="484" t="n">
        <f aca="false">'PJM Curve Simulation'!J110</f>
        <v>89.4499969482422</v>
      </c>
      <c r="Y110" s="489"/>
      <c r="Z110" s="483"/>
      <c r="AA110" s="59" t="n">
        <f aca="false">AA109</f>
        <v>315</v>
      </c>
      <c r="AB110" s="425" t="n">
        <f aca="false">AA110*F110*16</f>
        <v>110880</v>
      </c>
      <c r="AC110" s="425" t="n">
        <f aca="false">VLOOKUP(K110,'Company Volumes'!$B$20:$C$259,2)</f>
        <v>34862.9375333307</v>
      </c>
      <c r="AD110" s="485" t="n">
        <f aca="false">IF(V110&gt;S110+($AM$5*1000*O110),AA110*F110*16,0)</f>
        <v>110880</v>
      </c>
      <c r="AE110" s="425"/>
      <c r="AF110" s="425" t="n">
        <v>0</v>
      </c>
      <c r="AG110" s="425" t="n">
        <v>0</v>
      </c>
      <c r="AH110" s="425" t="n">
        <f aca="false">X110*AD110</f>
        <v>9918215.66162109</v>
      </c>
      <c r="AI110" s="425" t="n">
        <f aca="false">SUM(AF110:AH110)</f>
        <v>9918215.66162109</v>
      </c>
      <c r="AJ110" s="425" t="n">
        <f aca="false">(AD110*1000*$S$2)/1000000*R110</f>
        <v>4851688.71773793</v>
      </c>
      <c r="AK110" s="425" t="n">
        <f aca="false">($AK$5*O110)/12</f>
        <v>62986.4573318474</v>
      </c>
      <c r="AL110" s="425" t="n">
        <f aca="false">($AL$5*O110)/12</f>
        <v>160615.466196211</v>
      </c>
      <c r="AM110" s="425" t="n">
        <f aca="false">AD110*$AM$5*1000*O110</f>
        <v>279357.53555821</v>
      </c>
      <c r="AN110" s="425" t="n">
        <f aca="false">(($AN$5*O110)/12)*$S$4</f>
        <v>144029.032432158</v>
      </c>
      <c r="AO110" s="425" t="n">
        <f aca="false">($AO$5*O110)/12</f>
        <v>31493.2286659237</v>
      </c>
      <c r="AP110" s="425" t="n">
        <f aca="false">AP109</f>
        <v>46500.5582152336</v>
      </c>
      <c r="AQ110" s="433" t="n">
        <f aca="false">SUM(AK110:AP110)</f>
        <v>724982.278399583</v>
      </c>
      <c r="AR110" s="425" t="n">
        <f aca="false">($AR$5*O110)/12</f>
        <v>15746.6143329618</v>
      </c>
      <c r="AS110" s="433" t="n">
        <f aca="false">AS109</f>
        <v>30387.755</v>
      </c>
      <c r="AT110" s="425" t="n">
        <f aca="false">(AI110/100)*$AT$6*O110</f>
        <v>74965.5921094509</v>
      </c>
      <c r="AU110" s="433" t="n">
        <f aca="false">SUM(AJ110:AT110)-AQ110</f>
        <v>5697770.95757993</v>
      </c>
      <c r="AV110" s="433" t="n">
        <f aca="false">AI110-AU110</f>
        <v>4220444.70404117</v>
      </c>
      <c r="AW110" s="493"/>
      <c r="AX110" s="423" t="n">
        <f aca="false">K110</f>
        <v>39661</v>
      </c>
      <c r="BA110" s="126"/>
      <c r="BB110" s="481" t="n">
        <f aca="false">X110</f>
        <v>89.4499969482422</v>
      </c>
      <c r="BC110" s="481" t="n">
        <f aca="false">'Curve Analysis - Base Case'!D102</f>
        <v>46.2756696725843</v>
      </c>
      <c r="BD110" s="479" t="n">
        <f aca="false">L110</f>
        <v>0.074137084618301</v>
      </c>
      <c r="BE110" s="479" t="n">
        <f aca="false">L110</f>
        <v>0.074137084618301</v>
      </c>
      <c r="BF110" s="489" t="n">
        <f aca="false">PJM_01212000!X110</f>
        <v>0.208666103906304</v>
      </c>
      <c r="BG110" s="425" t="n">
        <f aca="false">(AX110+15)-$K$1</f>
        <v>3087</v>
      </c>
      <c r="BH110" s="433" t="n">
        <f aca="false">AD110</f>
        <v>110880</v>
      </c>
      <c r="BJ110" s="486" t="e">
        <f aca="false">EURO(BB110,BC110,BD110,BE110,BF110,BG110,1,0)*BH110</f>
        <v>#NAME?</v>
      </c>
      <c r="BK110" s="433" t="n">
        <f aca="false">(AI110-AJ110)*N110</f>
        <v>2722694.63979505</v>
      </c>
      <c r="BM110" s="433" t="e">
        <f aca="false">BJ110-BK110</f>
        <v>#NAME?</v>
      </c>
    </row>
    <row r="111" customFormat="false" ht="16.5" hidden="false" customHeight="false" outlineLevel="0" collapsed="false">
      <c r="A111" s="59" t="n">
        <f aca="false">A110+1</f>
        <v>105</v>
      </c>
      <c r="C111" s="59" t="n">
        <v>30</v>
      </c>
      <c r="D111" s="59" t="s">
        <v>171</v>
      </c>
      <c r="E111" s="125" t="n">
        <f aca="false">E110+C110</f>
        <v>39692</v>
      </c>
      <c r="F111" s="425" t="n">
        <f aca="false">F63</f>
        <v>22</v>
      </c>
      <c r="G111" s="433" t="n">
        <f aca="false">C111-F111</f>
        <v>8</v>
      </c>
      <c r="H111" s="433"/>
      <c r="I111" s="433"/>
      <c r="J111" s="59" t="n">
        <f aca="false">K112-K111</f>
        <v>30</v>
      </c>
      <c r="K111" s="478" t="n">
        <v>39692</v>
      </c>
      <c r="L111" s="490" t="n">
        <v>0.074152067157352</v>
      </c>
      <c r="M111" s="491" t="n">
        <v>0.065374747639249</v>
      </c>
      <c r="N111" s="480" t="n">
        <f aca="false">(1+L111/2)^(-2*((K111+$T$1)-$K$1)/365.25)</f>
        <v>0.534012294406073</v>
      </c>
      <c r="O111" s="127" t="n">
        <f aca="false">VLOOKUP(K111,Inflation!$B$8:$C$266,2)</f>
        <v>1.26252905502176</v>
      </c>
      <c r="P111" s="480"/>
      <c r="Q111" s="481" t="n">
        <f aca="false">VLOOKUP(K111,'Fuel Curve'!$B$11:$F$268,5)</f>
        <v>4.66275862068966</v>
      </c>
      <c r="R111" s="482" t="n">
        <f aca="false">VLOOKUP(K111,'Fuel Curve Simulation'!$B$12:$J$258,9)</f>
        <v>4.66275862068966</v>
      </c>
      <c r="S111" s="481" t="n">
        <f aca="false">(R111*$S$2)/1000</f>
        <v>44.6645648275862</v>
      </c>
      <c r="T111" s="483"/>
      <c r="V111" s="128" t="n">
        <f aca="false">VLOOKUP(K111,PJM_01212000!$A$7:$C$259,3)</f>
        <v>35.4249984741211</v>
      </c>
      <c r="W111" s="128"/>
      <c r="X111" s="484" t="n">
        <f aca="false">'PJM Curve Simulation'!J111</f>
        <v>35.4249984741211</v>
      </c>
      <c r="Y111" s="489"/>
      <c r="Z111" s="483"/>
      <c r="AA111" s="59" t="n">
        <f aca="false">AA110</f>
        <v>315</v>
      </c>
      <c r="AB111" s="425" t="n">
        <f aca="false">AA111*F111*16</f>
        <v>110880</v>
      </c>
      <c r="AC111" s="425" t="n">
        <f aca="false">VLOOKUP(K111,'Company Volumes'!$B$20:$C$259,2)</f>
        <v>21735.4311367853</v>
      </c>
      <c r="AD111" s="485" t="n">
        <f aca="false">IF(V111&gt;S111+($AM$5*1000*O111),AA111*F111*16,0)</f>
        <v>0</v>
      </c>
      <c r="AE111" s="425"/>
      <c r="AF111" s="425" t="n">
        <v>0</v>
      </c>
      <c r="AG111" s="425" t="n">
        <v>0</v>
      </c>
      <c r="AH111" s="425" t="n">
        <f aca="false">X111*AD111</f>
        <v>0</v>
      </c>
      <c r="AI111" s="425" t="n">
        <f aca="false">SUM(AF111:AH111)</f>
        <v>0</v>
      </c>
      <c r="AJ111" s="425" t="n">
        <f aca="false">(AD111*1000*$S$2)/1000000*R111</f>
        <v>0</v>
      </c>
      <c r="AK111" s="425" t="n">
        <f aca="false">($AK$5*O111)/12</f>
        <v>63126.452751088</v>
      </c>
      <c r="AL111" s="425" t="n">
        <f aca="false">($AL$5*O111)/12</f>
        <v>160972.454515274</v>
      </c>
      <c r="AM111" s="425" t="n">
        <f aca="false">AD111*$AM$5*1000*O111</f>
        <v>0</v>
      </c>
      <c r="AN111" s="425" t="n">
        <f aca="false">(($AN$5*O111)/12)*$S$4</f>
        <v>144349.155290821</v>
      </c>
      <c r="AO111" s="425" t="n">
        <f aca="false">($AO$5*O111)/12</f>
        <v>31563.226375544</v>
      </c>
      <c r="AP111" s="425" t="n">
        <f aca="false">AP110</f>
        <v>46500.5582152336</v>
      </c>
      <c r="AQ111" s="433" t="n">
        <f aca="false">SUM(AK111:AP111)</f>
        <v>446511.847147961</v>
      </c>
      <c r="AR111" s="425" t="n">
        <f aca="false">($AR$5*O111)/12</f>
        <v>15781.613187772</v>
      </c>
      <c r="AS111" s="433" t="n">
        <f aca="false">AS110</f>
        <v>30387.755</v>
      </c>
      <c r="AT111" s="425" t="n">
        <f aca="false">(AI111/100)*$AT$6*O111</f>
        <v>0</v>
      </c>
      <c r="AU111" s="433" t="n">
        <f aca="false">SUM(AJ111:AT111)-AQ111</f>
        <v>492681.215335733</v>
      </c>
      <c r="AV111" s="433" t="n">
        <f aca="false">AI111-AU111</f>
        <v>-492681.215335733</v>
      </c>
      <c r="AW111" s="493"/>
      <c r="AX111" s="423" t="n">
        <f aca="false">K111</f>
        <v>39692</v>
      </c>
      <c r="BA111" s="126"/>
      <c r="BB111" s="481" t="n">
        <f aca="false">X111</f>
        <v>35.4249984741211</v>
      </c>
      <c r="BC111" s="481" t="n">
        <f aca="false">'Curve Analysis - Base Case'!D103</f>
        <v>47.1896229376297</v>
      </c>
      <c r="BD111" s="479" t="n">
        <f aca="false">L111</f>
        <v>0.074152067157352</v>
      </c>
      <c r="BE111" s="479" t="n">
        <f aca="false">L111</f>
        <v>0.074152067157352</v>
      </c>
      <c r="BF111" s="489" t="n">
        <f aca="false">PJM_01212000!X111</f>
        <v>0.1341288087552</v>
      </c>
      <c r="BG111" s="425" t="n">
        <f aca="false">(AX111+15)-$K$1</f>
        <v>3118</v>
      </c>
      <c r="BH111" s="433" t="n">
        <f aca="false">AD111</f>
        <v>0</v>
      </c>
      <c r="BJ111" s="486" t="e">
        <f aca="false">EURO(BB111,BC111,BD111,BE111,BF111,BG111,1,0)*BH111</f>
        <v>#NAME?</v>
      </c>
      <c r="BK111" s="433" t="n">
        <f aca="false">(AI111-AJ111)*N111</f>
        <v>0</v>
      </c>
      <c r="BM111" s="433" t="e">
        <f aca="false">BJ111-BK111</f>
        <v>#NAME?</v>
      </c>
    </row>
    <row r="112" customFormat="false" ht="16.5" hidden="false" customHeight="false" outlineLevel="0" collapsed="false">
      <c r="A112" s="59" t="n">
        <f aca="false">A111+1</f>
        <v>106</v>
      </c>
      <c r="C112" s="59" t="n">
        <v>31</v>
      </c>
      <c r="D112" s="59" t="s">
        <v>172</v>
      </c>
      <c r="E112" s="125" t="n">
        <f aca="false">E111+C111</f>
        <v>39722</v>
      </c>
      <c r="F112" s="425" t="n">
        <f aca="false">F64</f>
        <v>21</v>
      </c>
      <c r="G112" s="433" t="n">
        <f aca="false">C112-F112</f>
        <v>10</v>
      </c>
      <c r="H112" s="433"/>
      <c r="I112" s="433"/>
      <c r="J112" s="59" t="n">
        <f aca="false">K113-K112</f>
        <v>31</v>
      </c>
      <c r="K112" s="478" t="n">
        <v>39722</v>
      </c>
      <c r="L112" s="490" t="n">
        <v>0.074166566388762</v>
      </c>
      <c r="M112" s="491" t="n">
        <v>0.065361938594616</v>
      </c>
      <c r="N112" s="480" t="n">
        <f aca="false">(1+L112/2)^(-2*((K112+$T$1)-$K$1)/365.25)</f>
        <v>0.530763707268937</v>
      </c>
      <c r="O112" s="127" t="n">
        <f aca="false">VLOOKUP(K112,Inflation!$B$8:$C$266,2)</f>
        <v>1.26533518655937</v>
      </c>
      <c r="P112" s="480"/>
      <c r="Q112" s="481" t="n">
        <f aca="false">VLOOKUP(K112,'Fuel Curve'!$B$11:$F$268,5)</f>
        <v>4.75534482758621</v>
      </c>
      <c r="R112" s="482" t="n">
        <f aca="false">VLOOKUP(K112,'Fuel Curve Simulation'!$B$12:$J$258,9)</f>
        <v>4.75534482758621</v>
      </c>
      <c r="S112" s="481" t="n">
        <f aca="false">(R112*$S$2)/1000</f>
        <v>45.5514481034483</v>
      </c>
      <c r="T112" s="483"/>
      <c r="V112" s="128" t="n">
        <f aca="false">VLOOKUP(K112,PJM_01212000!$A$7:$C$259,3)</f>
        <v>29.0750003814697</v>
      </c>
      <c r="W112" s="128"/>
      <c r="X112" s="484" t="n">
        <f aca="false">'PJM Curve Simulation'!J112</f>
        <v>29.0750003814697</v>
      </c>
      <c r="Y112" s="489"/>
      <c r="Z112" s="483"/>
      <c r="AA112" s="59" t="n">
        <f aca="false">AA111</f>
        <v>315</v>
      </c>
      <c r="AB112" s="425" t="n">
        <f aca="false">AA112*F112*16</f>
        <v>105840</v>
      </c>
      <c r="AC112" s="425" t="n">
        <f aca="false">VLOOKUP(K112,'Company Volumes'!$B$20:$C$259,2)</f>
        <v>3845.83193596622</v>
      </c>
      <c r="AD112" s="485" t="n">
        <f aca="false">IF(V112&gt;S112+($AM$5*1000*O112),AA112*F112*16,0)</f>
        <v>0</v>
      </c>
      <c r="AE112" s="425"/>
      <c r="AF112" s="425" t="n">
        <v>0</v>
      </c>
      <c r="AG112" s="425" t="n">
        <v>0</v>
      </c>
      <c r="AH112" s="425" t="n">
        <f aca="false">X112*AD112</f>
        <v>0</v>
      </c>
      <c r="AI112" s="425" t="n">
        <f aca="false">SUM(AF112:AH112)</f>
        <v>0</v>
      </c>
      <c r="AJ112" s="425" t="n">
        <f aca="false">(AD112*1000*$S$2)/1000000*R112</f>
        <v>0</v>
      </c>
      <c r="AK112" s="425" t="n">
        <f aca="false">($AK$5*O112)/12</f>
        <v>63266.7593279685</v>
      </c>
      <c r="AL112" s="425" t="n">
        <f aca="false">($AL$5*O112)/12</f>
        <v>161330.23628632</v>
      </c>
      <c r="AM112" s="425" t="n">
        <f aca="false">AD112*$AM$5*1000*O112</f>
        <v>0</v>
      </c>
      <c r="AN112" s="425" t="n">
        <f aca="false">(($AN$5*O112)/12)*$S$4</f>
        <v>144669.989663288</v>
      </c>
      <c r="AO112" s="425" t="n">
        <f aca="false">($AO$5*O112)/12</f>
        <v>31633.3796639843</v>
      </c>
      <c r="AP112" s="425" t="n">
        <f aca="false">AP111</f>
        <v>46500.5582152336</v>
      </c>
      <c r="AQ112" s="433" t="n">
        <f aca="false">SUM(AK112:AP112)</f>
        <v>447400.923156794</v>
      </c>
      <c r="AR112" s="425" t="n">
        <f aca="false">($AR$5*O112)/12</f>
        <v>15816.6898319921</v>
      </c>
      <c r="AS112" s="433" t="n">
        <f aca="false">AS111</f>
        <v>30387.755</v>
      </c>
      <c r="AT112" s="425" t="n">
        <f aca="false">(AI112/100)*$AT$6*O112</f>
        <v>0</v>
      </c>
      <c r="AU112" s="433" t="n">
        <f aca="false">SUM(AJ112:AT112)-AQ112</f>
        <v>493605.367988786</v>
      </c>
      <c r="AV112" s="433" t="n">
        <f aca="false">AI112-AU112</f>
        <v>-493605.367988786</v>
      </c>
      <c r="AW112" s="493"/>
      <c r="AX112" s="423" t="n">
        <f aca="false">K112</f>
        <v>39722</v>
      </c>
      <c r="BA112" s="126"/>
      <c r="BB112" s="481" t="n">
        <f aca="false">X112</f>
        <v>29.0750003814697</v>
      </c>
      <c r="BC112" s="481" t="n">
        <f aca="false">'Curve Analysis - Base Case'!D104</f>
        <v>48.082118476567</v>
      </c>
      <c r="BD112" s="479" t="n">
        <f aca="false">L112</f>
        <v>0.074166566388762</v>
      </c>
      <c r="BE112" s="479" t="n">
        <f aca="false">L112</f>
        <v>0.074166566388762</v>
      </c>
      <c r="BF112" s="489" t="n">
        <f aca="false">PJM_01212000!X112</f>
        <v>0.09484822904832</v>
      </c>
      <c r="BG112" s="425" t="n">
        <f aca="false">(AX112+15)-$K$1</f>
        <v>3148</v>
      </c>
      <c r="BH112" s="433" t="n">
        <f aca="false">AD112</f>
        <v>0</v>
      </c>
      <c r="BJ112" s="486" t="e">
        <f aca="false">EURO(BB112,BC112,BD112,BE112,BF112,BG112,1,0)*BH112</f>
        <v>#NAME?</v>
      </c>
      <c r="BK112" s="433" t="n">
        <f aca="false">(AI112-AJ112)*N112</f>
        <v>0</v>
      </c>
      <c r="BM112" s="433" t="e">
        <f aca="false">BJ112-BK112</f>
        <v>#NAME?</v>
      </c>
    </row>
    <row r="113" customFormat="false" ht="16.5" hidden="false" customHeight="false" outlineLevel="0" collapsed="false">
      <c r="A113" s="59" t="n">
        <f aca="false">A112+1</f>
        <v>107</v>
      </c>
      <c r="C113" s="59" t="n">
        <v>30</v>
      </c>
      <c r="D113" s="59" t="s">
        <v>173</v>
      </c>
      <c r="E113" s="125" t="n">
        <f aca="false">E112+C112</f>
        <v>39753</v>
      </c>
      <c r="F113" s="425" t="n">
        <f aca="false">F65</f>
        <v>22</v>
      </c>
      <c r="G113" s="433" t="n">
        <f aca="false">C113-F113</f>
        <v>8</v>
      </c>
      <c r="H113" s="433"/>
      <c r="I113" s="433"/>
      <c r="J113" s="59" t="n">
        <f aca="false">K114-K113</f>
        <v>30</v>
      </c>
      <c r="K113" s="478" t="n">
        <v>39753</v>
      </c>
      <c r="L113" s="490" t="n">
        <v>0.074181548927958</v>
      </c>
      <c r="M113" s="491" t="n">
        <v>0.065348702583027</v>
      </c>
      <c r="N113" s="480" t="n">
        <f aca="false">(1+L113/2)^(-2*((K113+$T$1)-$K$1)/365.25)</f>
        <v>0.527426321820942</v>
      </c>
      <c r="O113" s="127" t="n">
        <f aca="false">VLOOKUP(K113,Inflation!$B$8:$C$266,2)</f>
        <v>1.26814755508153</v>
      </c>
      <c r="P113" s="480"/>
      <c r="Q113" s="481" t="n">
        <f aca="false">VLOOKUP(K113,'Fuel Curve'!$B$11:$F$268,5)</f>
        <v>4.80465517241379</v>
      </c>
      <c r="R113" s="482" t="n">
        <f aca="false">VLOOKUP(K113,'Fuel Curve Simulation'!$B$12:$J$258,9)</f>
        <v>4.80465517241379</v>
      </c>
      <c r="S113" s="481" t="n">
        <f aca="false">(R113*$S$2)/1000</f>
        <v>46.0237918965517</v>
      </c>
      <c r="T113" s="483"/>
      <c r="V113" s="128" t="n">
        <f aca="false">VLOOKUP(K113,PJM_01212000!$A$7:$C$259,3)</f>
        <v>28.7474990844727</v>
      </c>
      <c r="W113" s="128"/>
      <c r="X113" s="484" t="n">
        <f aca="false">'PJM Curve Simulation'!J113</f>
        <v>28.7474990844727</v>
      </c>
      <c r="Y113" s="489"/>
      <c r="Z113" s="483"/>
      <c r="AA113" s="59" t="n">
        <f aca="false">AA112</f>
        <v>315</v>
      </c>
      <c r="AB113" s="425" t="n">
        <f aca="false">AA113*F113*16</f>
        <v>110880</v>
      </c>
      <c r="AC113" s="425" t="n">
        <f aca="false">VLOOKUP(K113,'Company Volumes'!$B$20:$C$259,2)</f>
        <v>8056.85339055022</v>
      </c>
      <c r="AD113" s="485" t="n">
        <f aca="false">IF(V113&gt;S113+($AM$5*1000*O113),AA113*F113*16,0)</f>
        <v>0</v>
      </c>
      <c r="AE113" s="425"/>
      <c r="AF113" s="425" t="n">
        <v>0</v>
      </c>
      <c r="AG113" s="425" t="n">
        <v>0</v>
      </c>
      <c r="AH113" s="425" t="n">
        <f aca="false">X113*AD113</f>
        <v>0</v>
      </c>
      <c r="AI113" s="425" t="n">
        <f aca="false">SUM(AF113:AH113)</f>
        <v>0</v>
      </c>
      <c r="AJ113" s="425" t="n">
        <f aca="false">(AD113*1000*$S$2)/1000000*R113</f>
        <v>0</v>
      </c>
      <c r="AK113" s="425" t="n">
        <f aca="false">($AK$5*O113)/12</f>
        <v>63407.3777540764</v>
      </c>
      <c r="AL113" s="425" t="n">
        <f aca="false">($AL$5*O113)/12</f>
        <v>161688.813272895</v>
      </c>
      <c r="AM113" s="425" t="n">
        <f aca="false">AD113*$AM$5*1000*O113</f>
        <v>0</v>
      </c>
      <c r="AN113" s="425" t="n">
        <f aca="false">(($AN$5*O113)/12)*$S$4</f>
        <v>144991.537130988</v>
      </c>
      <c r="AO113" s="425" t="n">
        <f aca="false">($AO$5*O113)/12</f>
        <v>31703.6888770382</v>
      </c>
      <c r="AP113" s="425" t="n">
        <f aca="false">AP112</f>
        <v>46500.5582152336</v>
      </c>
      <c r="AQ113" s="433" t="n">
        <f aca="false">SUM(AK113:AP113)</f>
        <v>448291.975250231</v>
      </c>
      <c r="AR113" s="425" t="n">
        <f aca="false">($AR$5*O113)/12</f>
        <v>15851.8444385191</v>
      </c>
      <c r="AS113" s="433" t="n">
        <f aca="false">AS112</f>
        <v>30387.755</v>
      </c>
      <c r="AT113" s="425" t="n">
        <f aca="false">(AI113/100)*$AT$6*O113</f>
        <v>0</v>
      </c>
      <c r="AU113" s="433" t="n">
        <f aca="false">SUM(AJ113:AT113)-AQ113</f>
        <v>494531.57468875</v>
      </c>
      <c r="AV113" s="433" t="n">
        <f aca="false">AI113-AU113</f>
        <v>-494531.57468875</v>
      </c>
      <c r="AW113" s="493"/>
      <c r="AX113" s="423" t="n">
        <f aca="false">K113</f>
        <v>39753</v>
      </c>
      <c r="BA113" s="126"/>
      <c r="BB113" s="481" t="n">
        <f aca="false">X113</f>
        <v>28.7474990844727</v>
      </c>
      <c r="BC113" s="481" t="n">
        <f aca="false">'Curve Analysis - Base Case'!D105</f>
        <v>48.5600870067148</v>
      </c>
      <c r="BD113" s="479" t="n">
        <f aca="false">L113</f>
        <v>0.074181548927958</v>
      </c>
      <c r="BE113" s="479" t="n">
        <f aca="false">L113</f>
        <v>0.074181548927958</v>
      </c>
      <c r="BF113" s="489" t="n">
        <f aca="false">PJM_01212000!X113</f>
        <v>0.09484822904832</v>
      </c>
      <c r="BG113" s="425" t="n">
        <f aca="false">(AX113+15)-$K$1</f>
        <v>3179</v>
      </c>
      <c r="BH113" s="433" t="n">
        <f aca="false">AD113</f>
        <v>0</v>
      </c>
      <c r="BJ113" s="486" t="e">
        <f aca="false">EURO(BB113,BC113,BD113,BE113,BF113,BG113,1,0)*BH113</f>
        <v>#NAME?</v>
      </c>
      <c r="BK113" s="433" t="n">
        <f aca="false">(AI113-AJ113)*N113</f>
        <v>0</v>
      </c>
      <c r="BM113" s="433" t="e">
        <f aca="false">BJ113-BK113</f>
        <v>#NAME?</v>
      </c>
    </row>
    <row r="114" customFormat="false" ht="16.5" hidden="false" customHeight="false" outlineLevel="0" collapsed="false">
      <c r="A114" s="59" t="n">
        <f aca="false">A113+1</f>
        <v>108</v>
      </c>
      <c r="C114" s="59" t="n">
        <v>31</v>
      </c>
      <c r="D114" s="59" t="s">
        <v>174</v>
      </c>
      <c r="E114" s="125" t="n">
        <f aca="false">E113+C113</f>
        <v>39783</v>
      </c>
      <c r="F114" s="425" t="n">
        <f aca="false">F66</f>
        <v>23</v>
      </c>
      <c r="G114" s="433" t="n">
        <f aca="false">C114-F114</f>
        <v>8</v>
      </c>
      <c r="H114" s="433" t="n">
        <f aca="false">SUM(F103:G114)</f>
        <v>366</v>
      </c>
      <c r="I114" s="433"/>
      <c r="J114" s="59" t="n">
        <f aca="false">K115-K114</f>
        <v>31</v>
      </c>
      <c r="K114" s="478" t="n">
        <v>39783</v>
      </c>
      <c r="L114" s="490" t="n">
        <v>0.074196048159509</v>
      </c>
      <c r="M114" s="491" t="n">
        <v>0.065280999020832</v>
      </c>
      <c r="N114" s="480" t="n">
        <f aca="false">(1+L114/2)^(-2*((K114+$T$1)-$K$1)/365.25)</f>
        <v>0.524215352419727</v>
      </c>
      <c r="O114" s="127" t="n">
        <f aca="false">VLOOKUP(K114,Inflation!$B$8:$C$266,2)</f>
        <v>1.27096617445072</v>
      </c>
      <c r="P114" s="480"/>
      <c r="Q114" s="481" t="n">
        <f aca="false">VLOOKUP(K114,'Fuel Curve'!$B$11:$F$268,5)</f>
        <v>4.84741379310345</v>
      </c>
      <c r="R114" s="482" t="n">
        <f aca="false">VLOOKUP(K114,'Fuel Curve Simulation'!$B$12:$J$258,9)</f>
        <v>4.84741379310345</v>
      </c>
      <c r="S114" s="481" t="n">
        <f aca="false">(R114*$S$2)/1000</f>
        <v>46.4333767241379</v>
      </c>
      <c r="T114" s="483"/>
      <c r="V114" s="128" t="n">
        <f aca="false">VLOOKUP(K114,PJM_01212000!$A$7:$C$259,3)</f>
        <v>30.4999996185303</v>
      </c>
      <c r="W114" s="128"/>
      <c r="X114" s="484" t="n">
        <f aca="false">'PJM Curve Simulation'!J114</f>
        <v>30.4999996185303</v>
      </c>
      <c r="Y114" s="489"/>
      <c r="Z114" s="483"/>
      <c r="AA114" s="59" t="n">
        <f aca="false">AA113</f>
        <v>315</v>
      </c>
      <c r="AB114" s="425" t="n">
        <f aca="false">AA114*F114*16</f>
        <v>115920</v>
      </c>
      <c r="AC114" s="425" t="n">
        <f aca="false">VLOOKUP(K114,'Company Volumes'!$B$20:$C$259,2)</f>
        <v>8056.85339055022</v>
      </c>
      <c r="AD114" s="485" t="n">
        <f aca="false">IF(V114&gt;S114+($AM$5*1000*O114),AA114*F114*16,0)</f>
        <v>0</v>
      </c>
      <c r="AE114" s="425"/>
      <c r="AF114" s="425" t="n">
        <v>0</v>
      </c>
      <c r="AG114" s="425" t="n">
        <v>0</v>
      </c>
      <c r="AH114" s="425" t="n">
        <f aca="false">X114*AD114</f>
        <v>0</v>
      </c>
      <c r="AI114" s="425" t="n">
        <f aca="false">SUM(AF114:AH114)</f>
        <v>0</v>
      </c>
      <c r="AJ114" s="425" t="n">
        <f aca="false">(AD114*1000*$S$2)/1000000*R114</f>
        <v>0</v>
      </c>
      <c r="AK114" s="425" t="n">
        <f aca="false">($AK$5*O114)/12</f>
        <v>63548.3087225362</v>
      </c>
      <c r="AL114" s="425" t="n">
        <f aca="false">($AL$5*O114)/12</f>
        <v>162048.187242467</v>
      </c>
      <c r="AM114" s="425" t="n">
        <f aca="false">AD114*$AM$5*1000*O114</f>
        <v>0</v>
      </c>
      <c r="AN114" s="425" t="n">
        <f aca="false">(($AN$5*O114)/12)*$S$4</f>
        <v>145313.799278866</v>
      </c>
      <c r="AO114" s="425" t="n">
        <f aca="false">($AO$5*O114)/12</f>
        <v>31774.1543612681</v>
      </c>
      <c r="AP114" s="425" t="n">
        <f aca="false">AP113</f>
        <v>46500.5582152336</v>
      </c>
      <c r="AQ114" s="433" t="n">
        <f aca="false">SUM(AK114:AP114)</f>
        <v>449185.007820372</v>
      </c>
      <c r="AR114" s="425" t="n">
        <f aca="false">($AR$5*O114)/12</f>
        <v>15887.0771806341</v>
      </c>
      <c r="AS114" s="433" t="n">
        <f aca="false">AS113</f>
        <v>30387.755</v>
      </c>
      <c r="AT114" s="425" t="n">
        <f aca="false">(AI114/100)*$AT$6*O114</f>
        <v>0</v>
      </c>
      <c r="AU114" s="433" t="n">
        <f aca="false">SUM(AJ114:AT114)-AQ114</f>
        <v>495459.840001006</v>
      </c>
      <c r="AV114" s="433" t="n">
        <f aca="false">AI114-AU114</f>
        <v>-495459.840001006</v>
      </c>
      <c r="AW114" s="493"/>
      <c r="AX114" s="423" t="n">
        <f aca="false">K114</f>
        <v>39783</v>
      </c>
      <c r="AY114" s="425" t="n">
        <f aca="false">'Debt Amortization'!P8</f>
        <v>4271675.7511975</v>
      </c>
      <c r="AZ114" s="425" t="n">
        <f aca="false">AY114*N114</f>
        <v>2239278.0093368</v>
      </c>
      <c r="BA114" s="126"/>
      <c r="BB114" s="481" t="n">
        <f aca="false">X114</f>
        <v>30.4999996185303</v>
      </c>
      <c r="BC114" s="481" t="n">
        <f aca="false">'Curve Analysis - Base Case'!D106</f>
        <v>48.9753090730394</v>
      </c>
      <c r="BD114" s="479" t="n">
        <f aca="false">L114</f>
        <v>0.074196048159509</v>
      </c>
      <c r="BE114" s="479" t="n">
        <f aca="false">L114</f>
        <v>0.074196048159509</v>
      </c>
      <c r="BF114" s="489" t="n">
        <f aca="false">PJM_01212000!X114</f>
        <v>0.09484822904832</v>
      </c>
      <c r="BG114" s="425" t="n">
        <f aca="false">(AX114+15)-$K$1</f>
        <v>3209</v>
      </c>
      <c r="BH114" s="433" t="n">
        <f aca="false">AD114</f>
        <v>0</v>
      </c>
      <c r="BJ114" s="486" t="e">
        <f aca="false">EURO(BB114,BC114,BD114,BE114,BF114,BG114,1,0)*BH114</f>
        <v>#NAME?</v>
      </c>
      <c r="BK114" s="433" t="n">
        <f aca="false">(AI114-AJ114)*N114</f>
        <v>0</v>
      </c>
      <c r="BM114" s="433" t="e">
        <f aca="false">BJ114-BK114</f>
        <v>#NAME?</v>
      </c>
    </row>
    <row r="115" customFormat="false" ht="16.5" hidden="false" customHeight="false" outlineLevel="0" collapsed="false">
      <c r="A115" s="59" t="n">
        <f aca="false">A114+1</f>
        <v>109</v>
      </c>
      <c r="C115" s="59" t="n">
        <v>31</v>
      </c>
      <c r="D115" s="59" t="s">
        <v>164</v>
      </c>
      <c r="E115" s="125" t="n">
        <f aca="false">E114+C114</f>
        <v>39814</v>
      </c>
      <c r="F115" s="425" t="n">
        <f aca="false">F67</f>
        <v>23</v>
      </c>
      <c r="G115" s="433" t="n">
        <f aca="false">C115-F115</f>
        <v>8</v>
      </c>
      <c r="H115" s="433"/>
      <c r="I115" s="433"/>
      <c r="J115" s="59" t="n">
        <f aca="false">K116-K115</f>
        <v>31</v>
      </c>
      <c r="K115" s="478" t="n">
        <v>39814</v>
      </c>
      <c r="L115" s="490" t="n">
        <v>0.074211030698851</v>
      </c>
      <c r="M115" s="491" t="n">
        <v>0.065161404953905</v>
      </c>
      <c r="N115" s="480" t="n">
        <f aca="false">(1+L115/2)^(-2*((K115+$T$1)-$K$1)/365.25)</f>
        <v>0.520916629613195</v>
      </c>
      <c r="O115" s="127" t="n">
        <f aca="false">VLOOKUP(K115,Inflation!$B$8:$C$266,2)</f>
        <v>1.27379105856026</v>
      </c>
      <c r="P115" s="480"/>
      <c r="Q115" s="481" t="n">
        <f aca="false">VLOOKUP(K115,'Fuel Curve'!$B$11:$F$268,5)</f>
        <v>4.79017241379311</v>
      </c>
      <c r="R115" s="482" t="n">
        <f aca="false">VLOOKUP(K115,'Fuel Curve Simulation'!$B$12:$J$258,9)</f>
        <v>4.79017241379311</v>
      </c>
      <c r="S115" s="481" t="n">
        <f aca="false">(R115*$S$2)/1000</f>
        <v>45.8850615517242</v>
      </c>
      <c r="T115" s="483"/>
      <c r="V115" s="128" t="n">
        <f aca="false">VLOOKUP(K115,PJM_01212000!$A$7:$C$259,3)</f>
        <v>39.3249984741211</v>
      </c>
      <c r="W115" s="128"/>
      <c r="X115" s="484" t="n">
        <f aca="false">'PJM Curve Simulation'!J115</f>
        <v>39.3249984741211</v>
      </c>
      <c r="Y115" s="489"/>
      <c r="Z115" s="483"/>
      <c r="AA115" s="59" t="n">
        <f aca="false">AA114</f>
        <v>315</v>
      </c>
      <c r="AB115" s="425" t="n">
        <f aca="false">AA115*F115*16</f>
        <v>115920</v>
      </c>
      <c r="AC115" s="425" t="n">
        <f aca="false">VLOOKUP(K115,'Company Volumes'!$B$20:$C$259,2)</f>
        <v>17006.6244538462</v>
      </c>
      <c r="AD115" s="485" t="n">
        <f aca="false">IF(V115&gt;S115+($AM$5*1000*O115),AA115*F115*16,0)</f>
        <v>0</v>
      </c>
      <c r="AE115" s="425"/>
      <c r="AF115" s="425" t="n">
        <v>0</v>
      </c>
      <c r="AG115" s="425" t="n">
        <v>0</v>
      </c>
      <c r="AH115" s="425" t="n">
        <f aca="false">X115*AD115</f>
        <v>0</v>
      </c>
      <c r="AI115" s="425" t="n">
        <f aca="false">SUM(AF115:AH115)</f>
        <v>0</v>
      </c>
      <c r="AJ115" s="425" t="n">
        <f aca="false">(AD115*1000*$S$2)/1000000*R115</f>
        <v>0</v>
      </c>
      <c r="AK115" s="425" t="n">
        <f aca="false">($AK$5*O115)/12</f>
        <v>63689.5529280132</v>
      </c>
      <c r="AL115" s="425" t="n">
        <f aca="false">($AL$5*O115)/12</f>
        <v>162408.359966434</v>
      </c>
      <c r="AM115" s="425" t="n">
        <f aca="false">AD115*$AM$5*1000*O115</f>
        <v>0</v>
      </c>
      <c r="AN115" s="425" t="n">
        <f aca="false">(($AN$5*O115)/12)*$S$4</f>
        <v>145636.77769539</v>
      </c>
      <c r="AO115" s="425" t="n">
        <f aca="false">($AO$5*O115)/12</f>
        <v>31844.7764640066</v>
      </c>
      <c r="AP115" s="425" t="n">
        <f aca="false">AP114</f>
        <v>46500.5582152336</v>
      </c>
      <c r="AQ115" s="433" t="n">
        <f aca="false">SUM(AK115:AP115)</f>
        <v>450080.025269077</v>
      </c>
      <c r="AR115" s="425" t="n">
        <f aca="false">($AR$5*O115)/12</f>
        <v>15922.3882320033</v>
      </c>
      <c r="AS115" s="433" t="n">
        <f aca="false">AS114</f>
        <v>30387.755</v>
      </c>
      <c r="AT115" s="425" t="n">
        <f aca="false">(AI115/100)*$AT$6*O115</f>
        <v>0</v>
      </c>
      <c r="AU115" s="433" t="n">
        <f aca="false">SUM(AJ115:AT115)-AQ115</f>
        <v>496390.16850108</v>
      </c>
      <c r="AV115" s="433" t="n">
        <f aca="false">AI115-AU115</f>
        <v>-496390.16850108</v>
      </c>
      <c r="AW115" s="493"/>
      <c r="AX115" s="423" t="n">
        <f aca="false">K115</f>
        <v>39814</v>
      </c>
      <c r="BA115" s="126"/>
      <c r="BB115" s="481" t="n">
        <f aca="false">X115</f>
        <v>39.3249984741211</v>
      </c>
      <c r="BC115" s="481" t="n">
        <f aca="false">'Curve Analysis - Base Case'!D107</f>
        <v>48.4326436688447</v>
      </c>
      <c r="BD115" s="479" t="n">
        <f aca="false">L115</f>
        <v>0.074211030698851</v>
      </c>
      <c r="BE115" s="479" t="n">
        <f aca="false">L115</f>
        <v>0.074211030698851</v>
      </c>
      <c r="BF115" s="489" t="n">
        <f aca="false">PJM_01212000!X115</f>
        <v>0.145686879818219</v>
      </c>
      <c r="BG115" s="425" t="n">
        <f aca="false">(AX115+15)-$K$1</f>
        <v>3240</v>
      </c>
      <c r="BH115" s="433" t="n">
        <f aca="false">AD115</f>
        <v>0</v>
      </c>
      <c r="BJ115" s="486" t="e">
        <f aca="false">EURO(BB115,BC115,BD115,BE115,BF115,BG115,1,0)*BH115</f>
        <v>#NAME?</v>
      </c>
      <c r="BK115" s="433" t="n">
        <f aca="false">(AI115-AJ115)*N115</f>
        <v>0</v>
      </c>
      <c r="BM115" s="433" t="e">
        <f aca="false">BJ115-BK115</f>
        <v>#NAME?</v>
      </c>
    </row>
    <row r="116" customFormat="false" ht="16.5" hidden="false" customHeight="false" outlineLevel="0" collapsed="false">
      <c r="A116" s="59" t="n">
        <f aca="false">A115+1</f>
        <v>110</v>
      </c>
      <c r="C116" s="59" t="n">
        <v>28</v>
      </c>
      <c r="D116" s="59" t="s">
        <v>165</v>
      </c>
      <c r="E116" s="125" t="n">
        <f aca="false">E115+C115</f>
        <v>39845</v>
      </c>
      <c r="F116" s="425" t="n">
        <f aca="false">F68</f>
        <v>20</v>
      </c>
      <c r="G116" s="433" t="n">
        <f aca="false">C116-F116</f>
        <v>8</v>
      </c>
      <c r="H116" s="433"/>
      <c r="I116" s="433"/>
      <c r="J116" s="59" t="n">
        <f aca="false">K117-K116</f>
        <v>28</v>
      </c>
      <c r="K116" s="478" t="n">
        <v>39845</v>
      </c>
      <c r="L116" s="490" t="n">
        <v>0.074226013238268</v>
      </c>
      <c r="M116" s="491" t="n">
        <v>0.065041810986527</v>
      </c>
      <c r="N116" s="480" t="n">
        <f aca="false">(1+L116/2)^(-2*((K116+$T$1)-$K$1)/365.25)</f>
        <v>0.517637395742299</v>
      </c>
      <c r="O116" s="127" t="n">
        <f aca="false">VLOOKUP(K116,Inflation!$B$8:$C$266,2)</f>
        <v>1.27662222133433</v>
      </c>
      <c r="P116" s="480"/>
      <c r="Q116" s="481" t="n">
        <f aca="false">VLOOKUP(K116,'Fuel Curve'!$B$11:$F$268,5)</f>
        <v>4.69103448275862</v>
      </c>
      <c r="R116" s="482" t="n">
        <f aca="false">VLOOKUP(K116,'Fuel Curve Simulation'!$B$12:$J$258,9)</f>
        <v>4.69103448275862</v>
      </c>
      <c r="S116" s="481" t="n">
        <f aca="false">(R116*$S$2)/1000</f>
        <v>44.9354193103448</v>
      </c>
      <c r="T116" s="483"/>
      <c r="V116" s="128" t="n">
        <f aca="false">VLOOKUP(K116,PJM_01212000!$A$7:$C$259,3)</f>
        <v>39.3249984741211</v>
      </c>
      <c r="W116" s="128"/>
      <c r="X116" s="484" t="n">
        <f aca="false">'PJM Curve Simulation'!J116</f>
        <v>39.3249984741211</v>
      </c>
      <c r="Y116" s="489"/>
      <c r="Z116" s="483"/>
      <c r="AA116" s="59" t="n">
        <f aca="false">AA115</f>
        <v>315</v>
      </c>
      <c r="AB116" s="425" t="n">
        <f aca="false">AA116*F116*16</f>
        <v>100800</v>
      </c>
      <c r="AC116" s="425" t="n">
        <f aca="false">VLOOKUP(K116,'Company Volumes'!$B$20:$C$259,2)</f>
        <v>699.608044902667</v>
      </c>
      <c r="AD116" s="485" t="n">
        <f aca="false">IF(V116&gt;S116+($AM$5*1000*O116),AA116*F116*16,0)</f>
        <v>0</v>
      </c>
      <c r="AE116" s="425"/>
      <c r="AF116" s="425" t="n">
        <v>0</v>
      </c>
      <c r="AG116" s="425" t="n">
        <v>0</v>
      </c>
      <c r="AH116" s="425" t="n">
        <f aca="false">X116*AD116</f>
        <v>0</v>
      </c>
      <c r="AI116" s="425" t="n">
        <f aca="false">SUM(AF116:AH116)</f>
        <v>0</v>
      </c>
      <c r="AJ116" s="425" t="n">
        <f aca="false">(AD116*1000*$S$2)/1000000*R116</f>
        <v>0</v>
      </c>
      <c r="AK116" s="425" t="n">
        <f aca="false">($AK$5*O116)/12</f>
        <v>63831.1110667164</v>
      </c>
      <c r="AL116" s="425" t="n">
        <f aca="false">($AL$5*O116)/12</f>
        <v>162769.333220127</v>
      </c>
      <c r="AM116" s="425" t="n">
        <f aca="false">AD116*$AM$5*1000*O116</f>
        <v>0</v>
      </c>
      <c r="AN116" s="425" t="n">
        <f aca="false">(($AN$5*O116)/12)*$S$4</f>
        <v>145960.473972558</v>
      </c>
      <c r="AO116" s="425" t="n">
        <f aca="false">($AO$5*O116)/12</f>
        <v>31915.5555333582</v>
      </c>
      <c r="AP116" s="425" t="n">
        <f aca="false">AP115</f>
        <v>46500.5582152336</v>
      </c>
      <c r="AQ116" s="433" t="n">
        <f aca="false">SUM(AK116:AP116)</f>
        <v>450977.032007993</v>
      </c>
      <c r="AR116" s="425" t="n">
        <f aca="false">($AR$5*O116)/12</f>
        <v>15957.7777666791</v>
      </c>
      <c r="AS116" s="433" t="n">
        <f aca="false">AS115</f>
        <v>30387.755</v>
      </c>
      <c r="AT116" s="425" t="n">
        <f aca="false">(AI116/100)*$AT$6*O116</f>
        <v>0</v>
      </c>
      <c r="AU116" s="433" t="n">
        <f aca="false">SUM(AJ116:AT116)-AQ116</f>
        <v>497322.564774672</v>
      </c>
      <c r="AV116" s="433" t="n">
        <f aca="false">AI116-AU116</f>
        <v>-497322.564774672</v>
      </c>
      <c r="AW116" s="493"/>
      <c r="AX116" s="423" t="n">
        <f aca="false">K116</f>
        <v>39845</v>
      </c>
      <c r="BA116" s="126"/>
      <c r="BB116" s="481" t="n">
        <f aca="false">X116</f>
        <v>39.3249984741211</v>
      </c>
      <c r="BC116" s="481" t="n">
        <f aca="false">'Curve Analysis - Base Case'!D108</f>
        <v>47.4886637530135</v>
      </c>
      <c r="BD116" s="479" t="n">
        <f aca="false">L116</f>
        <v>0.074226013238268</v>
      </c>
      <c r="BE116" s="479" t="n">
        <f aca="false">L116</f>
        <v>0.074226013238268</v>
      </c>
      <c r="BF116" s="489" t="n">
        <f aca="false">PJM_01212000!X116</f>
        <v>0.145686879818219</v>
      </c>
      <c r="BG116" s="425" t="n">
        <f aca="false">(AX116+15)-$K$1</f>
        <v>3271</v>
      </c>
      <c r="BH116" s="433" t="n">
        <f aca="false">AD116</f>
        <v>0</v>
      </c>
      <c r="BJ116" s="486" t="e">
        <f aca="false">EURO(BB116,BC116,BD116,BE116,BF116,BG116,1,0)*BH116</f>
        <v>#NAME?</v>
      </c>
      <c r="BK116" s="433" t="n">
        <f aca="false">(AI116-AJ116)*N116</f>
        <v>0</v>
      </c>
      <c r="BM116" s="433" t="e">
        <f aca="false">BJ116-BK116</f>
        <v>#NAME?</v>
      </c>
    </row>
    <row r="117" customFormat="false" ht="16.5" hidden="false" customHeight="false" outlineLevel="0" collapsed="false">
      <c r="A117" s="59" t="n">
        <f aca="false">A116+1</f>
        <v>111</v>
      </c>
      <c r="C117" s="59" t="n">
        <v>31</v>
      </c>
      <c r="D117" s="59" t="s">
        <v>166</v>
      </c>
      <c r="E117" s="125" t="n">
        <f aca="false">E116+C116</f>
        <v>39873</v>
      </c>
      <c r="F117" s="425" t="n">
        <f aca="false">F69</f>
        <v>22</v>
      </c>
      <c r="G117" s="433" t="n">
        <f aca="false">C117-F117</f>
        <v>9</v>
      </c>
      <c r="H117" s="433"/>
      <c r="I117" s="433"/>
      <c r="J117" s="59" t="n">
        <f aca="false">K118-K117</f>
        <v>31</v>
      </c>
      <c r="K117" s="478" t="n">
        <v>39873</v>
      </c>
      <c r="L117" s="490" t="n">
        <v>0.074239545854578</v>
      </c>
      <c r="M117" s="491" t="n">
        <v>0.064933790714463</v>
      </c>
      <c r="N117" s="480" t="n">
        <f aca="false">(1+L117/2)^(-2*((K117+$T$1)-$K$1)/365.25)</f>
        <v>0.514692169522929</v>
      </c>
      <c r="O117" s="127" t="n">
        <f aca="false">VLOOKUP(K117,Inflation!$B$8:$C$266,2)</f>
        <v>1.27945967672805</v>
      </c>
      <c r="P117" s="480"/>
      <c r="Q117" s="481" t="n">
        <f aca="false">VLOOKUP(K117,'Fuel Curve'!$B$11:$F$268,5)</f>
        <v>4.59396551724138</v>
      </c>
      <c r="R117" s="482" t="n">
        <f aca="false">VLOOKUP(K117,'Fuel Curve Simulation'!$B$12:$J$258,9)</f>
        <v>4.59396551724138</v>
      </c>
      <c r="S117" s="481" t="n">
        <f aca="false">(R117*$S$2)/1000</f>
        <v>44.0055956896552</v>
      </c>
      <c r="T117" s="483"/>
      <c r="V117" s="128" t="n">
        <f aca="false">VLOOKUP(K117,PJM_01212000!$A$7:$C$259,3)</f>
        <v>29.0500007629395</v>
      </c>
      <c r="W117" s="128"/>
      <c r="X117" s="484" t="n">
        <f aca="false">'PJM Curve Simulation'!J117</f>
        <v>29.0500007629395</v>
      </c>
      <c r="Y117" s="489"/>
      <c r="Z117" s="483"/>
      <c r="AA117" s="59" t="n">
        <f aca="false">AA116</f>
        <v>315</v>
      </c>
      <c r="AB117" s="425" t="n">
        <f aca="false">AA117*F117*16</f>
        <v>110880</v>
      </c>
      <c r="AC117" s="425" t="n">
        <f aca="false">VLOOKUP(K117,'Company Volumes'!$B$20:$C$259,2)</f>
        <v>699.608044902667</v>
      </c>
      <c r="AD117" s="485" t="n">
        <f aca="false">IF(V117&gt;S117+($AM$5*1000*O117),AA117*F117*16,0)</f>
        <v>0</v>
      </c>
      <c r="AE117" s="425"/>
      <c r="AF117" s="425" t="n">
        <v>0</v>
      </c>
      <c r="AG117" s="425" t="n">
        <v>0</v>
      </c>
      <c r="AH117" s="425" t="n">
        <f aca="false">X117*AD117</f>
        <v>0</v>
      </c>
      <c r="AI117" s="425" t="n">
        <f aca="false">SUM(AF117:AH117)</f>
        <v>0</v>
      </c>
      <c r="AJ117" s="425" t="n">
        <f aca="false">(AD117*1000*$S$2)/1000000*R117</f>
        <v>0</v>
      </c>
      <c r="AK117" s="425" t="n">
        <f aca="false">($AK$5*O117)/12</f>
        <v>63972.9838364024</v>
      </c>
      <c r="AL117" s="425" t="n">
        <f aca="false">($AL$5*O117)/12</f>
        <v>163131.108782826</v>
      </c>
      <c r="AM117" s="425" t="n">
        <f aca="false">AD117*$AM$5*1000*O117</f>
        <v>0</v>
      </c>
      <c r="AN117" s="425" t="n">
        <f aca="false">(($AN$5*O117)/12)*$S$4</f>
        <v>146284.889705907</v>
      </c>
      <c r="AO117" s="425" t="n">
        <f aca="false">($AO$5*O117)/12</f>
        <v>31986.4919182012</v>
      </c>
      <c r="AP117" s="425" t="n">
        <f aca="false">AP116</f>
        <v>46500.5582152336</v>
      </c>
      <c r="AQ117" s="433" t="n">
        <f aca="false">SUM(AK117:AP117)</f>
        <v>451876.03245857</v>
      </c>
      <c r="AR117" s="425" t="n">
        <f aca="false">($AR$5*O117)/12</f>
        <v>15993.2459591006</v>
      </c>
      <c r="AS117" s="433" t="n">
        <f aca="false">AS116</f>
        <v>30387.755</v>
      </c>
      <c r="AT117" s="425" t="n">
        <f aca="false">(AI117/100)*$AT$6*O117</f>
        <v>0</v>
      </c>
      <c r="AU117" s="433" t="n">
        <f aca="false">SUM(AJ117:AT117)-AQ117</f>
        <v>498257.033417671</v>
      </c>
      <c r="AV117" s="433" t="n">
        <f aca="false">AI117-AU117</f>
        <v>-498257.033417671</v>
      </c>
      <c r="AW117" s="493"/>
      <c r="AX117" s="423" t="n">
        <f aca="false">K117</f>
        <v>39873</v>
      </c>
      <c r="BA117" s="126"/>
      <c r="BB117" s="481" t="n">
        <f aca="false">X117</f>
        <v>29.0500007629395</v>
      </c>
      <c r="BC117" s="481" t="n">
        <f aca="false">'Curve Analysis - Base Case'!D109</f>
        <v>46.5645150431113</v>
      </c>
      <c r="BD117" s="479" t="n">
        <f aca="false">L117</f>
        <v>0.074239545854578</v>
      </c>
      <c r="BE117" s="479" t="n">
        <f aca="false">L117</f>
        <v>0.074239545854578</v>
      </c>
      <c r="BF117" s="489" t="n">
        <f aca="false">PJM_01212000!X117</f>
        <v>0.12140573318185</v>
      </c>
      <c r="BG117" s="425" t="n">
        <f aca="false">(AX117+15)-$K$1</f>
        <v>3299</v>
      </c>
      <c r="BH117" s="433" t="n">
        <f aca="false">AD117</f>
        <v>0</v>
      </c>
      <c r="BJ117" s="486" t="e">
        <f aca="false">EURO(BB117,BC117,BD117,BE117,BF117,BG117,1,0)*BH117</f>
        <v>#NAME?</v>
      </c>
      <c r="BK117" s="433" t="n">
        <f aca="false">(AI117-AJ117)*N117</f>
        <v>0</v>
      </c>
      <c r="BM117" s="433" t="e">
        <f aca="false">BJ117-BK117</f>
        <v>#NAME?</v>
      </c>
    </row>
    <row r="118" customFormat="false" ht="16.5" hidden="false" customHeight="false" outlineLevel="0" collapsed="false">
      <c r="A118" s="59" t="n">
        <f aca="false">A117+1</f>
        <v>112</v>
      </c>
      <c r="C118" s="59" t="n">
        <v>30</v>
      </c>
      <c r="D118" s="59" t="s">
        <v>167</v>
      </c>
      <c r="E118" s="125" t="n">
        <f aca="false">E117+C117</f>
        <v>39904</v>
      </c>
      <c r="F118" s="425" t="n">
        <f aca="false">F70</f>
        <v>21</v>
      </c>
      <c r="G118" s="433" t="n">
        <f aca="false">C118-F118</f>
        <v>9</v>
      </c>
      <c r="H118" s="433"/>
      <c r="I118" s="433"/>
      <c r="J118" s="59" t="n">
        <f aca="false">K119-K118</f>
        <v>30</v>
      </c>
      <c r="K118" s="478" t="n">
        <v>39904</v>
      </c>
      <c r="L118" s="490" t="n">
        <v>0.074254528394135</v>
      </c>
      <c r="M118" s="491" t="n">
        <v>0.064814196936563</v>
      </c>
      <c r="N118" s="480" t="n">
        <f aca="false">(1+L118/2)^(-2*((K118+$T$1)-$K$1)/365.25)</f>
        <v>0.511449733303317</v>
      </c>
      <c r="O118" s="127" t="n">
        <f aca="false">VLOOKUP(K118,Inflation!$B$8:$C$266,2)</f>
        <v>1.28230343872757</v>
      </c>
      <c r="P118" s="480"/>
      <c r="Q118" s="481" t="n">
        <f aca="false">VLOOKUP(K118,'Fuel Curve'!$B$11:$F$268,5)</f>
        <v>4.49396551724138</v>
      </c>
      <c r="R118" s="482" t="n">
        <f aca="false">VLOOKUP(K118,'Fuel Curve Simulation'!$B$12:$J$258,9)</f>
        <v>4.49396551724138</v>
      </c>
      <c r="S118" s="481" t="n">
        <f aca="false">(R118*$S$2)/1000</f>
        <v>43.0476956896552</v>
      </c>
      <c r="T118" s="483"/>
      <c r="V118" s="128" t="n">
        <f aca="false">VLOOKUP(K118,PJM_01212000!$A$7:$C$259,3)</f>
        <v>28.8250007629395</v>
      </c>
      <c r="W118" s="128"/>
      <c r="X118" s="484" t="n">
        <f aca="false">'PJM Curve Simulation'!J118</f>
        <v>28.8250007629395</v>
      </c>
      <c r="Y118" s="489"/>
      <c r="Z118" s="483"/>
      <c r="AA118" s="59" t="n">
        <f aca="false">AA117</f>
        <v>315</v>
      </c>
      <c r="AB118" s="425" t="n">
        <f aca="false">AA118*F118*16</f>
        <v>105840</v>
      </c>
      <c r="AC118" s="425" t="n">
        <f aca="false">VLOOKUP(K118,'Company Volumes'!$B$20:$C$259,2)</f>
        <v>9156.87431664756</v>
      </c>
      <c r="AD118" s="485" t="n">
        <f aca="false">IF(V118&gt;S118+($AM$5*1000*O118),AA118*F118*16,0)</f>
        <v>0</v>
      </c>
      <c r="AE118" s="425"/>
      <c r="AF118" s="425" t="n">
        <v>0</v>
      </c>
      <c r="AG118" s="425" t="n">
        <v>0</v>
      </c>
      <c r="AH118" s="425" t="n">
        <f aca="false">X118*AD118</f>
        <v>0</v>
      </c>
      <c r="AI118" s="425" t="n">
        <f aca="false">SUM(AF118:AH118)</f>
        <v>0</v>
      </c>
      <c r="AJ118" s="425" t="n">
        <f aca="false">(AD118*1000*$S$2)/1000000*R118</f>
        <v>0</v>
      </c>
      <c r="AK118" s="425" t="n">
        <f aca="false">($AK$5*O118)/12</f>
        <v>64115.1719363787</v>
      </c>
      <c r="AL118" s="425" t="n">
        <f aca="false">($AL$5*O118)/12</f>
        <v>163493.688437766</v>
      </c>
      <c r="AM118" s="425" t="n">
        <f aca="false">AD118*$AM$5*1000*O118</f>
        <v>0</v>
      </c>
      <c r="AN118" s="425" t="n">
        <f aca="false">(($AN$5*O118)/12)*$S$4</f>
        <v>146610.026494519</v>
      </c>
      <c r="AO118" s="425" t="n">
        <f aca="false">($AO$5*O118)/12</f>
        <v>32057.5859681893</v>
      </c>
      <c r="AP118" s="425" t="n">
        <f aca="false">AP117</f>
        <v>46500.5582152336</v>
      </c>
      <c r="AQ118" s="433" t="n">
        <f aca="false">SUM(AK118:AP118)</f>
        <v>452777.031052086</v>
      </c>
      <c r="AR118" s="425" t="n">
        <f aca="false">($AR$5*O118)/12</f>
        <v>16028.7929840947</v>
      </c>
      <c r="AS118" s="433" t="n">
        <f aca="false">AS117</f>
        <v>30387.755</v>
      </c>
      <c r="AT118" s="425" t="n">
        <f aca="false">(AI118/100)*$AT$6*O118</f>
        <v>0</v>
      </c>
      <c r="AU118" s="433" t="n">
        <f aca="false">SUM(AJ118:AT118)-AQ118</f>
        <v>499193.579036181</v>
      </c>
      <c r="AV118" s="433" t="n">
        <f aca="false">AI118-AU118</f>
        <v>-499193.579036181</v>
      </c>
      <c r="AW118" s="493"/>
      <c r="AX118" s="423" t="n">
        <f aca="false">K118</f>
        <v>39904</v>
      </c>
      <c r="BA118" s="126"/>
      <c r="BB118" s="481" t="n">
        <f aca="false">X118</f>
        <v>28.8250007629395</v>
      </c>
      <c r="BC118" s="481" t="n">
        <f aca="false">'Curve Analysis - Base Case'!D110</f>
        <v>45.6123025671103</v>
      </c>
      <c r="BD118" s="479" t="n">
        <f aca="false">L118</f>
        <v>0.074254528394135</v>
      </c>
      <c r="BE118" s="479" t="n">
        <f aca="false">L118</f>
        <v>0.074254528394135</v>
      </c>
      <c r="BF118" s="489" t="n">
        <f aca="false">PJM_01212000!X118</f>
        <v>0.115335446522757</v>
      </c>
      <c r="BG118" s="425" t="n">
        <f aca="false">(AX118+15)-$K$1</f>
        <v>3330</v>
      </c>
      <c r="BH118" s="433" t="n">
        <f aca="false">AD118</f>
        <v>0</v>
      </c>
      <c r="BJ118" s="486" t="e">
        <f aca="false">EURO(BB118,BC118,BD118,BE118,BF118,BG118,1,0)*BH118</f>
        <v>#NAME?</v>
      </c>
      <c r="BK118" s="433" t="n">
        <f aca="false">(AI118-AJ118)*N118</f>
        <v>0</v>
      </c>
      <c r="BM118" s="433" t="e">
        <f aca="false">BJ118-BK118</f>
        <v>#NAME?</v>
      </c>
    </row>
    <row r="119" customFormat="false" ht="16.5" hidden="false" customHeight="false" outlineLevel="0" collapsed="false">
      <c r="A119" s="59" t="n">
        <f aca="false">A118+1</f>
        <v>113</v>
      </c>
      <c r="C119" s="59" t="n">
        <v>31</v>
      </c>
      <c r="D119" s="59" t="s">
        <v>29</v>
      </c>
      <c r="E119" s="125" t="n">
        <f aca="false">E118+C118</f>
        <v>39934</v>
      </c>
      <c r="F119" s="425" t="n">
        <f aca="false">F71</f>
        <v>23</v>
      </c>
      <c r="G119" s="433" t="n">
        <f aca="false">C119-F119</f>
        <v>8</v>
      </c>
      <c r="H119" s="433"/>
      <c r="I119" s="433"/>
      <c r="J119" s="59" t="n">
        <f aca="false">K120-K119</f>
        <v>31</v>
      </c>
      <c r="K119" s="478" t="n">
        <v>39934</v>
      </c>
      <c r="L119" s="490" t="n">
        <v>0.074269027626035</v>
      </c>
      <c r="M119" s="491" t="n">
        <v>0.064698461117264</v>
      </c>
      <c r="N119" s="480" t="n">
        <f aca="false">(1+L119/2)^(-2*((K119+$T$1)-$K$1)/365.25)</f>
        <v>0.508330155535402</v>
      </c>
      <c r="O119" s="127" t="n">
        <f aca="false">VLOOKUP(K119,Inflation!$B$8:$C$266,2)</f>
        <v>1.28515352135014</v>
      </c>
      <c r="P119" s="480"/>
      <c r="Q119" s="481" t="n">
        <f aca="false">VLOOKUP(K119,'Fuel Curve'!$B$11:$F$268,5)</f>
        <v>4.42672413793104</v>
      </c>
      <c r="R119" s="482" t="n">
        <f aca="false">VLOOKUP(K119,'Fuel Curve Simulation'!$B$12:$J$258,9)</f>
        <v>4.42672413793104</v>
      </c>
      <c r="S119" s="481" t="n">
        <f aca="false">(R119*$S$2)/1000</f>
        <v>42.4035905172414</v>
      </c>
      <c r="T119" s="483"/>
      <c r="V119" s="128" t="n">
        <f aca="false">VLOOKUP(K119,PJM_01212000!$A$7:$C$259,3)</f>
        <v>36.075</v>
      </c>
      <c r="W119" s="128"/>
      <c r="X119" s="484" t="n">
        <f aca="false">'PJM Curve Simulation'!J119</f>
        <v>36.075</v>
      </c>
      <c r="Y119" s="489"/>
      <c r="Z119" s="483"/>
      <c r="AA119" s="59" t="n">
        <f aca="false">AA118</f>
        <v>315</v>
      </c>
      <c r="AB119" s="425" t="n">
        <f aca="false">AA119*F119*16</f>
        <v>115920</v>
      </c>
      <c r="AC119" s="425" t="n">
        <f aca="false">VLOOKUP(K119,'Company Volumes'!$B$20:$C$259,2)</f>
        <v>16891.3697043031</v>
      </c>
      <c r="AD119" s="485" t="n">
        <f aca="false">IF(V119&gt;S119+($AM$5*1000*O119),AA119*F119*16,0)</f>
        <v>0</v>
      </c>
      <c r="AE119" s="425"/>
      <c r="AF119" s="425" t="n">
        <v>0</v>
      </c>
      <c r="AG119" s="425" t="n">
        <v>0</v>
      </c>
      <c r="AH119" s="425" t="n">
        <f aca="false">X119*AD119</f>
        <v>0</v>
      </c>
      <c r="AI119" s="425" t="n">
        <f aca="false">SUM(AF119:AH119)</f>
        <v>0</v>
      </c>
      <c r="AJ119" s="425" t="n">
        <f aca="false">(AD119*1000*$S$2)/1000000*R119</f>
        <v>0</v>
      </c>
      <c r="AK119" s="425" t="n">
        <f aca="false">($AK$5*O119)/12</f>
        <v>64257.6760675068</v>
      </c>
      <c r="AL119" s="425" t="n">
        <f aca="false">($AL$5*O119)/12</f>
        <v>163857.073972142</v>
      </c>
      <c r="AM119" s="425" t="n">
        <f aca="false">AD119*$AM$5*1000*O119</f>
        <v>0</v>
      </c>
      <c r="AN119" s="425" t="n">
        <f aca="false">(($AN$5*O119)/12)*$S$4</f>
        <v>146935.885941032</v>
      </c>
      <c r="AO119" s="425" t="n">
        <f aca="false">($AO$5*O119)/12</f>
        <v>32128.8380337534</v>
      </c>
      <c r="AP119" s="425" t="n">
        <f aca="false">AP118</f>
        <v>46500.5582152336</v>
      </c>
      <c r="AQ119" s="433" t="n">
        <f aca="false">SUM(AK119:AP119)</f>
        <v>453680.032229669</v>
      </c>
      <c r="AR119" s="425" t="n">
        <f aca="false">($AR$5*O119)/12</f>
        <v>16064.4190168767</v>
      </c>
      <c r="AS119" s="433" t="n">
        <f aca="false">AS118</f>
        <v>30387.755</v>
      </c>
      <c r="AT119" s="425" t="n">
        <f aca="false">(AI119/100)*$AT$6*O119</f>
        <v>0</v>
      </c>
      <c r="AU119" s="433" t="n">
        <f aca="false">SUM(AJ119:AT119)-AQ119</f>
        <v>500132.206246545</v>
      </c>
      <c r="AV119" s="433" t="n">
        <f aca="false">AI119-AU119</f>
        <v>-500132.206246545</v>
      </c>
      <c r="AW119" s="493"/>
      <c r="AX119" s="423" t="n">
        <f aca="false">K119</f>
        <v>39934</v>
      </c>
      <c r="BA119" s="126"/>
      <c r="BB119" s="481" t="n">
        <f aca="false">X119</f>
        <v>36.075</v>
      </c>
      <c r="BC119" s="481" t="n">
        <f aca="false">'Curve Analysis - Base Case'!D111</f>
        <v>44.9738975599417</v>
      </c>
      <c r="BD119" s="479" t="n">
        <f aca="false">L119</f>
        <v>0.074269027626035</v>
      </c>
      <c r="BE119" s="479" t="n">
        <f aca="false">L119</f>
        <v>0.074269027626035</v>
      </c>
      <c r="BF119" s="489" t="n">
        <f aca="false">PJM_01212000!X119</f>
        <v>0.127476019840942</v>
      </c>
      <c r="BG119" s="425" t="n">
        <f aca="false">(AX119+15)-$K$1</f>
        <v>3360</v>
      </c>
      <c r="BH119" s="433" t="n">
        <f aca="false">AD119</f>
        <v>0</v>
      </c>
      <c r="BJ119" s="486" t="e">
        <f aca="false">EURO(BB119,BC119,BD119,BE119,BF119,BG119,1,0)*BH119</f>
        <v>#NAME?</v>
      </c>
      <c r="BK119" s="433" t="n">
        <f aca="false">(AI119-AJ119)*N119</f>
        <v>0</v>
      </c>
      <c r="BM119" s="433" t="e">
        <f aca="false">BJ119-BK119</f>
        <v>#NAME?</v>
      </c>
    </row>
    <row r="120" customFormat="false" ht="16.5" hidden="false" customHeight="false" outlineLevel="0" collapsed="false">
      <c r="A120" s="59" t="n">
        <f aca="false">A119+1</f>
        <v>114</v>
      </c>
      <c r="C120" s="59" t="n">
        <v>30</v>
      </c>
      <c r="D120" s="59" t="s">
        <v>168</v>
      </c>
      <c r="E120" s="125" t="n">
        <f aca="false">E119+C119</f>
        <v>39965</v>
      </c>
      <c r="F120" s="425" t="n">
        <f aca="false">F72</f>
        <v>21</v>
      </c>
      <c r="G120" s="433" t="n">
        <f aca="false">C120-F120</f>
        <v>9</v>
      </c>
      <c r="H120" s="433"/>
      <c r="I120" s="433"/>
      <c r="J120" s="59" t="n">
        <f aca="false">K121-K120</f>
        <v>30</v>
      </c>
      <c r="K120" s="478" t="n">
        <v>39965</v>
      </c>
      <c r="L120" s="490" t="n">
        <v>0.074284010165738</v>
      </c>
      <c r="M120" s="491" t="n">
        <v>0.064578867535287</v>
      </c>
      <c r="N120" s="480" t="n">
        <f aca="false">(1+L120/2)^(-2*((K120+$T$1)-$K$1)/365.25)</f>
        <v>0.505125362051734</v>
      </c>
      <c r="O120" s="127" t="n">
        <f aca="false">VLOOKUP(K120,Inflation!$B$8:$C$266,2)</f>
        <v>1.28800993864413</v>
      </c>
      <c r="P120" s="480"/>
      <c r="Q120" s="481" t="n">
        <f aca="false">VLOOKUP(K120,'Fuel Curve'!$B$11:$F$268,5)</f>
        <v>4.42017241379311</v>
      </c>
      <c r="R120" s="482" t="n">
        <f aca="false">VLOOKUP(K120,'Fuel Curve Simulation'!$B$12:$J$258,9)</f>
        <v>4.42017241379311</v>
      </c>
      <c r="S120" s="481" t="n">
        <f aca="false">(R120*$S$2)/1000</f>
        <v>42.3408315517242</v>
      </c>
      <c r="T120" s="483"/>
      <c r="V120" s="128" t="n">
        <f aca="false">VLOOKUP(K120,PJM_01212000!$A$7:$C$259,3)</f>
        <v>61.0999984741211</v>
      </c>
      <c r="W120" s="128"/>
      <c r="X120" s="484" t="n">
        <f aca="false">'PJM Curve Simulation'!J120</f>
        <v>61.0999984741211</v>
      </c>
      <c r="Y120" s="489"/>
      <c r="Z120" s="483"/>
      <c r="AA120" s="59" t="n">
        <f aca="false">AA119</f>
        <v>315</v>
      </c>
      <c r="AB120" s="425" t="n">
        <f aca="false">AA120*F120*16</f>
        <v>105840</v>
      </c>
      <c r="AC120" s="425" t="n">
        <f aca="false">VLOOKUP(K120,'Company Volumes'!$B$20:$C$259,2)</f>
        <v>32784.3680617756</v>
      </c>
      <c r="AD120" s="485" t="n">
        <f aca="false">IF(V120&gt;S120+($AM$5*1000*O120),AA120*F120*16,0)</f>
        <v>105840</v>
      </c>
      <c r="AE120" s="425"/>
      <c r="AF120" s="425" t="n">
        <v>0</v>
      </c>
      <c r="AG120" s="425" t="n">
        <v>0</v>
      </c>
      <c r="AH120" s="425" t="n">
        <f aca="false">X120*AD120</f>
        <v>6466823.83850098</v>
      </c>
      <c r="AI120" s="425" t="n">
        <f aca="false">SUM(AF120:AH120)</f>
        <v>6466823.83850098</v>
      </c>
      <c r="AJ120" s="425" t="n">
        <f aca="false">(AD120*1000*$S$2)/1000000*R120</f>
        <v>4481353.61143448</v>
      </c>
      <c r="AK120" s="425" t="n">
        <f aca="false">($AK$5*O120)/12</f>
        <v>64400.4969322064</v>
      </c>
      <c r="AL120" s="425" t="n">
        <f aca="false">($AL$5*O120)/12</f>
        <v>164221.267177126</v>
      </c>
      <c r="AM120" s="425" t="n">
        <f aca="false">AD120*$AM$5*1000*O120</f>
        <v>272645.943812189</v>
      </c>
      <c r="AN120" s="425" t="n">
        <f aca="false">(($AN$5*O120)/12)*$S$4</f>
        <v>147262.469651645</v>
      </c>
      <c r="AO120" s="425" t="n">
        <f aca="false">($AO$5*O120)/12</f>
        <v>32200.2484661032</v>
      </c>
      <c r="AP120" s="425" t="n">
        <f aca="false">AP119</f>
        <v>46500.5582152336</v>
      </c>
      <c r="AQ120" s="433" t="n">
        <f aca="false">SUM(AK120:AP120)</f>
        <v>727230.984254504</v>
      </c>
      <c r="AR120" s="425" t="n">
        <f aca="false">($AR$5*O120)/12</f>
        <v>16100.1242330516</v>
      </c>
      <c r="AS120" s="433" t="n">
        <f aca="false">AS119</f>
        <v>30387.755</v>
      </c>
      <c r="AT120" s="425" t="n">
        <f aca="false">(AI120/100)*$AT$6*O120</f>
        <v>49976.0002527002</v>
      </c>
      <c r="AU120" s="433" t="n">
        <f aca="false">SUM(AJ120:AT120)-AQ120</f>
        <v>5305048.47517474</v>
      </c>
      <c r="AV120" s="433" t="n">
        <f aca="false">AI120-AU120</f>
        <v>1161775.36332624</v>
      </c>
      <c r="AW120" s="493"/>
      <c r="AX120" s="423" t="n">
        <f aca="false">K120</f>
        <v>39965</v>
      </c>
      <c r="BA120" s="126"/>
      <c r="BB120" s="481" t="n">
        <f aca="false">X120</f>
        <v>61.0999984741211</v>
      </c>
      <c r="BC120" s="481" t="n">
        <f aca="false">'Curve Analysis - Base Case'!D112</f>
        <v>44.9168514290124</v>
      </c>
      <c r="BD120" s="479" t="n">
        <f aca="false">L120</f>
        <v>0.074284010165738</v>
      </c>
      <c r="BE120" s="479" t="n">
        <f aca="false">L120</f>
        <v>0.074284010165738</v>
      </c>
      <c r="BF120" s="489" t="n">
        <f aca="false">PJM_01212000!X120</f>
        <v>0.163897739795497</v>
      </c>
      <c r="BG120" s="425" t="n">
        <f aca="false">(AX120+15)-$K$1</f>
        <v>3391</v>
      </c>
      <c r="BH120" s="433" t="n">
        <f aca="false">AD120</f>
        <v>105840</v>
      </c>
      <c r="BJ120" s="486" t="e">
        <f aca="false">EURO(BB120,BC120,BD120,BE120,BF120,BG120,1,0)*BH120</f>
        <v>#NAME?</v>
      </c>
      <c r="BK120" s="433" t="n">
        <f aca="false">(AI120-AJ120)*N120</f>
        <v>1002911.3672899</v>
      </c>
      <c r="BM120" s="433" t="e">
        <f aca="false">BJ120-BK120</f>
        <v>#NAME?</v>
      </c>
    </row>
    <row r="121" customFormat="false" ht="16.5" hidden="false" customHeight="false" outlineLevel="0" collapsed="false">
      <c r="A121" s="59" t="n">
        <f aca="false">A120+1</f>
        <v>115</v>
      </c>
      <c r="C121" s="59" t="n">
        <v>31</v>
      </c>
      <c r="D121" s="59" t="s">
        <v>169</v>
      </c>
      <c r="E121" s="125" t="n">
        <f aca="false">E120+C120</f>
        <v>39995</v>
      </c>
      <c r="F121" s="425" t="n">
        <f aca="false">F73</f>
        <v>22</v>
      </c>
      <c r="G121" s="433" t="n">
        <f aca="false">C121-F121</f>
        <v>9</v>
      </c>
      <c r="H121" s="433"/>
      <c r="I121" s="433"/>
      <c r="J121" s="59" t="n">
        <f aca="false">K122-K121</f>
        <v>31</v>
      </c>
      <c r="K121" s="478" t="n">
        <v>39995</v>
      </c>
      <c r="L121" s="490" t="n">
        <v>0.074298509397779</v>
      </c>
      <c r="M121" s="491" t="n">
        <v>0.064463131905601</v>
      </c>
      <c r="N121" s="480" t="n">
        <f aca="false">(1+L121/2)^(-2*((K121+$T$1)-$K$1)/365.25)</f>
        <v>0.502042016261753</v>
      </c>
      <c r="O121" s="127" t="n">
        <f aca="false">VLOOKUP(K121,Inflation!$B$8:$C$266,2)</f>
        <v>1.29087270468916</v>
      </c>
      <c r="P121" s="480"/>
      <c r="Q121" s="481" t="n">
        <f aca="false">VLOOKUP(K121,'Fuel Curve'!$B$11:$F$268,5)</f>
        <v>4.47741379310345</v>
      </c>
      <c r="R121" s="482" t="n">
        <f aca="false">VLOOKUP(K121,'Fuel Curve Simulation'!$B$12:$J$258,9)</f>
        <v>4.47741379310345</v>
      </c>
      <c r="S121" s="481" t="n">
        <f aca="false">(R121*$S$2)/1000</f>
        <v>42.8891467241379</v>
      </c>
      <c r="T121" s="483"/>
      <c r="V121" s="128" t="n">
        <f aca="false">VLOOKUP(K121,PJM_01212000!$A$7:$C$259,3)</f>
        <v>104.699996948242</v>
      </c>
      <c r="W121" s="128"/>
      <c r="X121" s="484" t="n">
        <f aca="false">'PJM Curve Simulation'!J121</f>
        <v>104.699996948242</v>
      </c>
      <c r="Y121" s="489"/>
      <c r="Z121" s="483"/>
      <c r="AA121" s="59" t="n">
        <f aca="false">AA120</f>
        <v>315</v>
      </c>
      <c r="AB121" s="425" t="n">
        <f aca="false">AA121*F121*16</f>
        <v>110880</v>
      </c>
      <c r="AC121" s="425" t="n">
        <f aca="false">VLOOKUP(K121,'Company Volumes'!$B$20:$C$259,2)</f>
        <v>51579.8979639876</v>
      </c>
      <c r="AD121" s="485" t="n">
        <f aca="false">IF(V121&gt;S121+($AM$5*1000*O121),AA121*F121*16,0)</f>
        <v>110880</v>
      </c>
      <c r="AE121" s="425"/>
      <c r="AF121" s="425" t="n">
        <v>0</v>
      </c>
      <c r="AG121" s="425" t="n">
        <v>0</v>
      </c>
      <c r="AH121" s="425" t="n">
        <f aca="false">X121*AD121</f>
        <v>11609135.6616211</v>
      </c>
      <c r="AI121" s="425" t="n">
        <f aca="false">SUM(AF121:AH121)</f>
        <v>11609135.6616211</v>
      </c>
      <c r="AJ121" s="425" t="n">
        <f aca="false">(AD121*1000*$S$2)/1000000*R121</f>
        <v>4755548.58877241</v>
      </c>
      <c r="AK121" s="425" t="n">
        <f aca="false">($AK$5*O121)/12</f>
        <v>64543.6352344581</v>
      </c>
      <c r="AL121" s="425" t="n">
        <f aca="false">($AL$5*O121)/12</f>
        <v>164586.269847868</v>
      </c>
      <c r="AM121" s="425" t="n">
        <f aca="false">AD121*$AM$5*1000*O121</f>
        <v>286263.930991869</v>
      </c>
      <c r="AN121" s="425" t="n">
        <f aca="false">(($AN$5*O121)/12)*$S$4</f>
        <v>147589.779236128</v>
      </c>
      <c r="AO121" s="425" t="n">
        <f aca="false">($AO$5*O121)/12</f>
        <v>32271.8176172291</v>
      </c>
      <c r="AP121" s="425" t="n">
        <f aca="false">AP120</f>
        <v>46500.5582152336</v>
      </c>
      <c r="AQ121" s="433" t="n">
        <f aca="false">SUM(AK121:AP121)</f>
        <v>741755.991142785</v>
      </c>
      <c r="AR121" s="425" t="n">
        <f aca="false">($AR$5*O121)/12</f>
        <v>16135.9088086145</v>
      </c>
      <c r="AS121" s="433" t="n">
        <f aca="false">AS120</f>
        <v>30387.755</v>
      </c>
      <c r="AT121" s="425" t="n">
        <f aca="false">(AI121/100)*$AT$6*O121</f>
        <v>89915.4981037214</v>
      </c>
      <c r="AU121" s="433" t="n">
        <f aca="false">SUM(AJ121:AT121)-AQ121</f>
        <v>5633743.74182754</v>
      </c>
      <c r="AV121" s="433" t="n">
        <f aca="false">AI121-AU121</f>
        <v>5975391.91979356</v>
      </c>
      <c r="AW121" s="493"/>
      <c r="AX121" s="423" t="n">
        <f aca="false">K121</f>
        <v>39995</v>
      </c>
      <c r="BA121" s="126"/>
      <c r="BB121" s="481" t="n">
        <f aca="false">X121</f>
        <v>104.699996948242</v>
      </c>
      <c r="BC121" s="481" t="n">
        <f aca="false">'Curve Analysis - Base Case'!D113</f>
        <v>45.4708921335163</v>
      </c>
      <c r="BD121" s="479" t="n">
        <f aca="false">L121</f>
        <v>0.074298509397779</v>
      </c>
      <c r="BE121" s="479" t="n">
        <f aca="false">L121</f>
        <v>0.074298509397779</v>
      </c>
      <c r="BF121" s="489" t="n">
        <f aca="false">PJM_01212000!X121</f>
        <v>0.200319459750052</v>
      </c>
      <c r="BG121" s="425" t="n">
        <f aca="false">(AX121+15)-$K$1</f>
        <v>3421</v>
      </c>
      <c r="BH121" s="433" t="n">
        <f aca="false">AD121</f>
        <v>110880</v>
      </c>
      <c r="BJ121" s="486" t="e">
        <f aca="false">EURO(BB121,BC121,BD121,BE121,BF121,BG121,1,0)*BH121</f>
        <v>#NAME?</v>
      </c>
      <c r="BK121" s="433" t="n">
        <f aca="false">(AI121-AJ121)*N121</f>
        <v>3440788.67267843</v>
      </c>
      <c r="BM121" s="433" t="e">
        <f aca="false">BJ121-BK121</f>
        <v>#NAME?</v>
      </c>
    </row>
    <row r="122" customFormat="false" ht="16.5" hidden="false" customHeight="false" outlineLevel="0" collapsed="false">
      <c r="A122" s="59" t="n">
        <f aca="false">A121+1</f>
        <v>116</v>
      </c>
      <c r="C122" s="59" t="n">
        <v>31</v>
      </c>
      <c r="D122" s="59" t="s">
        <v>170</v>
      </c>
      <c r="E122" s="125" t="n">
        <f aca="false">E121+C121</f>
        <v>40026</v>
      </c>
      <c r="F122" s="425" t="n">
        <f aca="false">F74</f>
        <v>23</v>
      </c>
      <c r="G122" s="433" t="n">
        <f aca="false">C122-F122</f>
        <v>8</v>
      </c>
      <c r="H122" s="433"/>
      <c r="I122" s="433"/>
      <c r="J122" s="59" t="n">
        <f aca="false">K123-K122</f>
        <v>31</v>
      </c>
      <c r="K122" s="478" t="n">
        <v>40026</v>
      </c>
      <c r="L122" s="490" t="n">
        <v>0.074313491937628</v>
      </c>
      <c r="M122" s="491" t="n">
        <v>0.064343538519569</v>
      </c>
      <c r="N122" s="480" t="n">
        <f aca="false">(1+L122/2)^(-2*((K122+$T$1)-$K$1)/365.25)</f>
        <v>0.49887446046185</v>
      </c>
      <c r="O122" s="127" t="n">
        <f aca="false">VLOOKUP(K122,Inflation!$B$8:$C$266,2)</f>
        <v>1.29374183359615</v>
      </c>
      <c r="P122" s="480"/>
      <c r="Q122" s="481" t="n">
        <f aca="false">VLOOKUP(K122,'Fuel Curve'!$B$11:$F$268,5)</f>
        <v>4.56793103448276</v>
      </c>
      <c r="R122" s="482" t="n">
        <f aca="false">VLOOKUP(K122,'Fuel Curve Simulation'!$B$12:$J$258,9)</f>
        <v>4.56793103448276</v>
      </c>
      <c r="S122" s="481" t="n">
        <f aca="false">(R122*$S$2)/1000</f>
        <v>43.7562113793104</v>
      </c>
      <c r="T122" s="483"/>
      <c r="V122" s="128" t="n">
        <f aca="false">VLOOKUP(K122,PJM_01212000!$A$7:$C$259,3)</f>
        <v>91.6999969482422</v>
      </c>
      <c r="W122" s="128"/>
      <c r="X122" s="484" t="n">
        <f aca="false">'PJM Curve Simulation'!J122</f>
        <v>91.6999969482422</v>
      </c>
      <c r="Y122" s="489"/>
      <c r="Z122" s="483"/>
      <c r="AA122" s="59" t="n">
        <f aca="false">AA121</f>
        <v>315</v>
      </c>
      <c r="AB122" s="425" t="n">
        <f aca="false">AA122*F122*16</f>
        <v>115920</v>
      </c>
      <c r="AC122" s="425" t="n">
        <f aca="false">VLOOKUP(K122,'Company Volumes'!$B$20:$C$259,2)</f>
        <v>34386.5986429871</v>
      </c>
      <c r="AD122" s="485" t="n">
        <f aca="false">IF(V122&gt;S122+($AM$5*1000*O122),AA122*F122*16,0)</f>
        <v>115920</v>
      </c>
      <c r="AE122" s="425"/>
      <c r="AF122" s="425" t="n">
        <v>0</v>
      </c>
      <c r="AG122" s="425" t="n">
        <v>0</v>
      </c>
      <c r="AH122" s="425" t="n">
        <f aca="false">X122*AD122</f>
        <v>10629863.6462402</v>
      </c>
      <c r="AI122" s="425" t="n">
        <f aca="false">SUM(AF122:AH122)</f>
        <v>10629863.6462402</v>
      </c>
      <c r="AJ122" s="425" t="n">
        <f aca="false">(AD122*1000*$S$2)/1000000*R122</f>
        <v>5072220.02308966</v>
      </c>
      <c r="AK122" s="425" t="n">
        <f aca="false">($AK$5*O122)/12</f>
        <v>64687.0916798073</v>
      </c>
      <c r="AL122" s="425" t="n">
        <f aca="false">($AL$5*O122)/12</f>
        <v>164952.083783509</v>
      </c>
      <c r="AM122" s="425" t="n">
        <f aca="false">AD122*$AM$5*1000*O122</f>
        <v>299941.10670093</v>
      </c>
      <c r="AN122" s="425" t="n">
        <f aca="false">(($AN$5*O122)/12)*$S$4</f>
        <v>147917.816307826</v>
      </c>
      <c r="AO122" s="425" t="n">
        <f aca="false">($AO$5*O122)/12</f>
        <v>32343.5458399036</v>
      </c>
      <c r="AP122" s="425" t="n">
        <f aca="false">AP121</f>
        <v>46500.5582152336</v>
      </c>
      <c r="AQ122" s="433" t="n">
        <f aca="false">SUM(AK122:AP122)</f>
        <v>756342.202527209</v>
      </c>
      <c r="AR122" s="425" t="n">
        <f aca="false">($AR$5*O122)/12</f>
        <v>16171.7729199518</v>
      </c>
      <c r="AS122" s="433" t="n">
        <f aca="false">AS121</f>
        <v>30387.755</v>
      </c>
      <c r="AT122" s="425" t="n">
        <f aca="false">(AI122/100)*$AT$6*O122</f>
        <v>82513.7957073831</v>
      </c>
      <c r="AU122" s="433" t="n">
        <f aca="false">SUM(AJ122:AT122)-AQ122</f>
        <v>5957635.5492442</v>
      </c>
      <c r="AV122" s="433" t="n">
        <f aca="false">AI122-AU122</f>
        <v>4672228.09699603</v>
      </c>
      <c r="AW122" s="493"/>
      <c r="AX122" s="423" t="n">
        <f aca="false">K122</f>
        <v>40026</v>
      </c>
      <c r="BA122" s="126"/>
      <c r="BB122" s="481" t="n">
        <f aca="false">X122</f>
        <v>91.6999969482422</v>
      </c>
      <c r="BC122" s="481" t="n">
        <f aca="false">'Curve Analysis - Base Case'!D114</f>
        <v>46.3436950465026</v>
      </c>
      <c r="BD122" s="479" t="n">
        <f aca="false">L122</f>
        <v>0.074313491937628</v>
      </c>
      <c r="BE122" s="479" t="n">
        <f aca="false">L122</f>
        <v>0.074313491937628</v>
      </c>
      <c r="BF122" s="489" t="n">
        <f aca="false">PJM_01212000!X122</f>
        <v>0.200319459750052</v>
      </c>
      <c r="BG122" s="425" t="n">
        <f aca="false">(AX122+15)-$K$1</f>
        <v>3452</v>
      </c>
      <c r="BH122" s="433" t="n">
        <f aca="false">AD122</f>
        <v>115920</v>
      </c>
      <c r="BJ122" s="486" t="e">
        <f aca="false">EURO(BB122,BC122,BD122,BE122,BF122,BG122,1,0)*BH122</f>
        <v>#NAME?</v>
      </c>
      <c r="BK122" s="433" t="n">
        <f aca="false">(AI122-AJ122)*N122</f>
        <v>2772566.46393849</v>
      </c>
      <c r="BM122" s="433" t="e">
        <f aca="false">BJ122-BK122</f>
        <v>#NAME?</v>
      </c>
    </row>
    <row r="123" customFormat="false" ht="16.5" hidden="false" customHeight="false" outlineLevel="0" collapsed="false">
      <c r="A123" s="59" t="n">
        <f aca="false">A122+1</f>
        <v>117</v>
      </c>
      <c r="C123" s="59" t="n">
        <v>30</v>
      </c>
      <c r="D123" s="59" t="s">
        <v>171</v>
      </c>
      <c r="E123" s="125" t="n">
        <f aca="false">E122+C122</f>
        <v>40057</v>
      </c>
      <c r="F123" s="425" t="n">
        <f aca="false">F75</f>
        <v>20</v>
      </c>
      <c r="G123" s="433" t="n">
        <f aca="false">C123-F123</f>
        <v>10</v>
      </c>
      <c r="H123" s="433"/>
      <c r="I123" s="433"/>
      <c r="J123" s="59" t="n">
        <f aca="false">K124-K123</f>
        <v>30</v>
      </c>
      <c r="K123" s="478" t="n">
        <v>40057</v>
      </c>
      <c r="L123" s="490" t="n">
        <v>0.074328474477551</v>
      </c>
      <c r="M123" s="491" t="n">
        <v>0.064223945233122</v>
      </c>
      <c r="N123" s="480" t="n">
        <f aca="false">(1+L123/2)^(-2*((K123+$T$1)-$K$1)/365.25)</f>
        <v>0.495725674771308</v>
      </c>
      <c r="O123" s="127" t="n">
        <f aca="false">VLOOKUP(K123,Inflation!$B$8:$C$266,2)</f>
        <v>1.29661733950735</v>
      </c>
      <c r="P123" s="480"/>
      <c r="Q123" s="481" t="n">
        <f aca="false">VLOOKUP(K123,'Fuel Curve'!$B$11:$F$268,5)</f>
        <v>4.66275862068966</v>
      </c>
      <c r="R123" s="482" t="n">
        <f aca="false">VLOOKUP(K123,'Fuel Curve Simulation'!$B$12:$J$258,9)</f>
        <v>4.66275862068966</v>
      </c>
      <c r="S123" s="481" t="n">
        <f aca="false">(R123*$S$2)/1000</f>
        <v>44.6645648275862</v>
      </c>
      <c r="T123" s="483"/>
      <c r="V123" s="128" t="n">
        <f aca="false">VLOOKUP(K123,PJM_01212000!$A$7:$C$259,3)</f>
        <v>35.9249984741211</v>
      </c>
      <c r="W123" s="128"/>
      <c r="X123" s="484" t="n">
        <f aca="false">'PJM Curve Simulation'!J123</f>
        <v>35.9249984741211</v>
      </c>
      <c r="Y123" s="489"/>
      <c r="Z123" s="483"/>
      <c r="AA123" s="59" t="n">
        <f aca="false">AA122</f>
        <v>315</v>
      </c>
      <c r="AB123" s="425" t="n">
        <f aca="false">AA123*F123*16</f>
        <v>100800</v>
      </c>
      <c r="AC123" s="425" t="n">
        <f aca="false">VLOOKUP(K123,'Company Volumes'!$B$20:$C$259,2)</f>
        <v>20645.0074162609</v>
      </c>
      <c r="AD123" s="485" t="n">
        <f aca="false">IF(V123&gt;S123+($AM$5*1000*O123),AA123*F123*16,0)</f>
        <v>0</v>
      </c>
      <c r="AE123" s="425"/>
      <c r="AF123" s="425" t="n">
        <v>0</v>
      </c>
      <c r="AG123" s="425" t="n">
        <v>0</v>
      </c>
      <c r="AH123" s="425" t="n">
        <f aca="false">X123*AD123</f>
        <v>0</v>
      </c>
      <c r="AI123" s="425" t="n">
        <f aca="false">SUM(AF123:AH123)</f>
        <v>0</v>
      </c>
      <c r="AJ123" s="425" t="n">
        <f aca="false">(AD123*1000*$S$2)/1000000*R123</f>
        <v>0</v>
      </c>
      <c r="AK123" s="425" t="n">
        <f aca="false">($AK$5*O123)/12</f>
        <v>64830.8669753674</v>
      </c>
      <c r="AL123" s="425" t="n">
        <f aca="false">($AL$5*O123)/12</f>
        <v>165318.710787187</v>
      </c>
      <c r="AM123" s="425" t="n">
        <f aca="false">AD123*$AM$5*1000*O123</f>
        <v>0</v>
      </c>
      <c r="AN123" s="425" t="n">
        <f aca="false">(($AN$5*O123)/12)*$S$4</f>
        <v>148246.582483673</v>
      </c>
      <c r="AO123" s="425" t="n">
        <f aca="false">($AO$5*O123)/12</f>
        <v>32415.4334876837</v>
      </c>
      <c r="AP123" s="425" t="n">
        <f aca="false">AP122</f>
        <v>46500.5582152336</v>
      </c>
      <c r="AQ123" s="433" t="n">
        <f aca="false">SUM(AK123:AP123)</f>
        <v>457312.151949145</v>
      </c>
      <c r="AR123" s="425" t="n">
        <f aca="false">($AR$5*O123)/12</f>
        <v>16207.7167438418</v>
      </c>
      <c r="AS123" s="433" t="n">
        <f aca="false">AS122</f>
        <v>30387.755</v>
      </c>
      <c r="AT123" s="425" t="n">
        <f aca="false">(AI123/100)*$AT$6*O123</f>
        <v>0</v>
      </c>
      <c r="AU123" s="433" t="n">
        <f aca="false">SUM(AJ123:AT123)-AQ123</f>
        <v>503907.623692987</v>
      </c>
      <c r="AV123" s="433" t="n">
        <f aca="false">AI123-AU123</f>
        <v>-503907.623692987</v>
      </c>
      <c r="AW123" s="493"/>
      <c r="AX123" s="423" t="n">
        <f aca="false">K123</f>
        <v>40057</v>
      </c>
      <c r="BA123" s="126"/>
      <c r="BB123" s="481" t="n">
        <f aca="false">X123</f>
        <v>35.9249984741211</v>
      </c>
      <c r="BC123" s="481" t="n">
        <f aca="false">'Curve Analysis - Base Case'!D115</f>
        <v>47.2577995066009</v>
      </c>
      <c r="BD123" s="479" t="n">
        <f aca="false">L123</f>
        <v>0.074328474477551</v>
      </c>
      <c r="BE123" s="479" t="n">
        <f aca="false">L123</f>
        <v>0.074328474477551</v>
      </c>
      <c r="BF123" s="489" t="n">
        <f aca="false">PJM_01212000!X123</f>
        <v>0.128763656404992</v>
      </c>
      <c r="BG123" s="425" t="n">
        <f aca="false">(AX123+15)-$K$1</f>
        <v>3483</v>
      </c>
      <c r="BH123" s="433" t="n">
        <f aca="false">AD123</f>
        <v>0</v>
      </c>
      <c r="BJ123" s="486" t="e">
        <f aca="false">EURO(BB123,BC123,BD123,BE123,BF123,BG123,1,0)*BH123</f>
        <v>#NAME?</v>
      </c>
      <c r="BK123" s="433" t="n">
        <f aca="false">(AI123-AJ123)*N123</f>
        <v>0</v>
      </c>
      <c r="BM123" s="433" t="e">
        <f aca="false">BJ123-BK123</f>
        <v>#NAME?</v>
      </c>
    </row>
    <row r="124" customFormat="false" ht="16.5" hidden="false" customHeight="false" outlineLevel="0" collapsed="false">
      <c r="A124" s="59" t="n">
        <f aca="false">A123+1</f>
        <v>118</v>
      </c>
      <c r="C124" s="59" t="n">
        <v>31</v>
      </c>
      <c r="D124" s="59" t="s">
        <v>172</v>
      </c>
      <c r="E124" s="125" t="n">
        <f aca="false">E123+C123</f>
        <v>40087</v>
      </c>
      <c r="F124" s="425" t="n">
        <f aca="false">F76</f>
        <v>23</v>
      </c>
      <c r="G124" s="433" t="n">
        <f aca="false">C124-F124</f>
        <v>8</v>
      </c>
      <c r="H124" s="433"/>
      <c r="I124" s="433"/>
      <c r="J124" s="59" t="n">
        <f aca="false">K125-K124</f>
        <v>31</v>
      </c>
      <c r="K124" s="478" t="n">
        <v>40087</v>
      </c>
      <c r="L124" s="490" t="n">
        <v>0.074342973709804</v>
      </c>
      <c r="M124" s="491" t="n">
        <v>0.064108209889451</v>
      </c>
      <c r="N124" s="480" t="n">
        <f aca="false">(1+L124/2)^(-2*((K124+$T$1)-$K$1)/365.25)</f>
        <v>0.492696237369712</v>
      </c>
      <c r="O124" s="127" t="n">
        <f aca="false">VLOOKUP(K124,Inflation!$B$8:$C$266,2)</f>
        <v>1.29949923659647</v>
      </c>
      <c r="P124" s="480"/>
      <c r="Q124" s="481" t="n">
        <f aca="false">VLOOKUP(K124,'Fuel Curve'!$B$11:$F$268,5)</f>
        <v>4.75534482758621</v>
      </c>
      <c r="R124" s="482" t="n">
        <f aca="false">VLOOKUP(K124,'Fuel Curve Simulation'!$B$12:$J$258,9)</f>
        <v>4.75534482758621</v>
      </c>
      <c r="S124" s="481" t="n">
        <f aca="false">(R124*$S$2)/1000</f>
        <v>45.5514481034483</v>
      </c>
      <c r="T124" s="483"/>
      <c r="V124" s="128" t="n">
        <f aca="false">VLOOKUP(K124,PJM_01212000!$A$7:$C$259,3)</f>
        <v>29.5750003814697</v>
      </c>
      <c r="W124" s="128"/>
      <c r="X124" s="484" t="n">
        <f aca="false">'PJM Curve Simulation'!J124</f>
        <v>29.5750003814697</v>
      </c>
      <c r="Y124" s="489"/>
      <c r="Z124" s="483"/>
      <c r="AA124" s="59" t="n">
        <f aca="false">AA123</f>
        <v>315</v>
      </c>
      <c r="AB124" s="425" t="n">
        <f aca="false">AA124*F124*16</f>
        <v>115920</v>
      </c>
      <c r="AC124" s="425" t="n">
        <f aca="false">VLOOKUP(K124,'Company Volumes'!$B$20:$C$259,2)</f>
        <v>3645.94291789467</v>
      </c>
      <c r="AD124" s="485" t="n">
        <f aca="false">IF(V124&gt;S124+($AM$5*1000*O124),AA124*F124*16,0)</f>
        <v>0</v>
      </c>
      <c r="AE124" s="425"/>
      <c r="AF124" s="425" t="n">
        <v>0</v>
      </c>
      <c r="AG124" s="425" t="n">
        <v>0</v>
      </c>
      <c r="AH124" s="425" t="n">
        <f aca="false">X124*AD124</f>
        <v>0</v>
      </c>
      <c r="AI124" s="425" t="n">
        <f aca="false">SUM(AF124:AH124)</f>
        <v>0</v>
      </c>
      <c r="AJ124" s="425" t="n">
        <f aca="false">(AD124*1000*$S$2)/1000000*R124</f>
        <v>0</v>
      </c>
      <c r="AK124" s="425" t="n">
        <f aca="false">($AK$5*O124)/12</f>
        <v>64974.9618298237</v>
      </c>
      <c r="AL124" s="425" t="n">
        <f aca="false">($AL$5*O124)/12</f>
        <v>165686.15266605</v>
      </c>
      <c r="AM124" s="425" t="n">
        <f aca="false">AD124*$AM$5*1000*O124</f>
        <v>0</v>
      </c>
      <c r="AN124" s="425" t="n">
        <f aca="false">(($AN$5*O124)/12)*$S$4</f>
        <v>148576.079384197</v>
      </c>
      <c r="AO124" s="425" t="n">
        <f aca="false">($AO$5*O124)/12</f>
        <v>32487.4809149118</v>
      </c>
      <c r="AP124" s="425" t="n">
        <f aca="false">AP123</f>
        <v>46500.5582152336</v>
      </c>
      <c r="AQ124" s="433" t="n">
        <f aca="false">SUM(AK124:AP124)</f>
        <v>458225.233010216</v>
      </c>
      <c r="AR124" s="425" t="n">
        <f aca="false">($AR$5*O124)/12</f>
        <v>16243.7404574559</v>
      </c>
      <c r="AS124" s="433" t="n">
        <f aca="false">AS123</f>
        <v>30387.755</v>
      </c>
      <c r="AT124" s="425" t="n">
        <f aca="false">(AI124/100)*$AT$6*O124</f>
        <v>0</v>
      </c>
      <c r="AU124" s="433" t="n">
        <f aca="false">SUM(AJ124:AT124)-AQ124</f>
        <v>504856.728467672</v>
      </c>
      <c r="AV124" s="433" t="n">
        <f aca="false">AI124-AU124</f>
        <v>-504856.728467672</v>
      </c>
      <c r="AW124" s="493"/>
      <c r="AX124" s="423" t="n">
        <f aca="false">K124</f>
        <v>40087</v>
      </c>
      <c r="BA124" s="126"/>
      <c r="BB124" s="481" t="n">
        <f aca="false">X124</f>
        <v>29.5750003814697</v>
      </c>
      <c r="BC124" s="481" t="n">
        <f aca="false">'Curve Analysis - Base Case'!D116</f>
        <v>48.1504465766412</v>
      </c>
      <c r="BD124" s="479" t="n">
        <f aca="false">L124</f>
        <v>0.074342973709804</v>
      </c>
      <c r="BE124" s="479" t="n">
        <f aca="false">L124</f>
        <v>0.074342973709804</v>
      </c>
      <c r="BF124" s="489" t="n">
        <f aca="false">PJM_01212000!X124</f>
        <v>0.0910542998863872</v>
      </c>
      <c r="BG124" s="425" t="n">
        <f aca="false">(AX124+15)-$K$1</f>
        <v>3513</v>
      </c>
      <c r="BH124" s="433" t="n">
        <f aca="false">AD124</f>
        <v>0</v>
      </c>
      <c r="BJ124" s="486" t="e">
        <f aca="false">EURO(BB124,BC124,BD124,BE124,BF124,BG124,1,0)*BH124</f>
        <v>#NAME?</v>
      </c>
      <c r="BK124" s="433" t="n">
        <f aca="false">(AI124-AJ124)*N124</f>
        <v>0</v>
      </c>
      <c r="BM124" s="433" t="e">
        <f aca="false">BJ124-BK124</f>
        <v>#NAME?</v>
      </c>
    </row>
    <row r="125" customFormat="false" ht="16.5" hidden="false" customHeight="false" outlineLevel="0" collapsed="false">
      <c r="A125" s="59" t="n">
        <f aca="false">A124+1</f>
        <v>119</v>
      </c>
      <c r="C125" s="59" t="n">
        <v>30</v>
      </c>
      <c r="D125" s="59" t="s">
        <v>173</v>
      </c>
      <c r="E125" s="125" t="n">
        <f aca="false">E124+C124</f>
        <v>40118</v>
      </c>
      <c r="F125" s="425" t="n">
        <f aca="false">F77</f>
        <v>22</v>
      </c>
      <c r="G125" s="433" t="n">
        <f aca="false">C125-F125</f>
        <v>8</v>
      </c>
      <c r="H125" s="433"/>
      <c r="I125" s="433"/>
      <c r="J125" s="59" t="n">
        <f aca="false">K126-K125</f>
        <v>30</v>
      </c>
      <c r="K125" s="478" t="n">
        <v>40118</v>
      </c>
      <c r="L125" s="490" t="n">
        <v>0.074357956249873</v>
      </c>
      <c r="M125" s="491" t="n">
        <v>0.063988616798981</v>
      </c>
      <c r="N125" s="480" t="n">
        <f aca="false">(1+L125/2)^(-2*((K125+$T$1)-$K$1)/365.25)</f>
        <v>0.489584085936067</v>
      </c>
      <c r="O125" s="127" t="n">
        <f aca="false">VLOOKUP(K125,Inflation!$B$8:$C$266,2)</f>
        <v>1.30238753906873</v>
      </c>
      <c r="P125" s="480"/>
      <c r="Q125" s="481" t="n">
        <f aca="false">VLOOKUP(K125,'Fuel Curve'!$B$11:$F$268,5)</f>
        <v>4.80465517241379</v>
      </c>
      <c r="R125" s="482" t="n">
        <f aca="false">VLOOKUP(K125,'Fuel Curve Simulation'!$B$12:$J$258,9)</f>
        <v>4.80465517241379</v>
      </c>
      <c r="S125" s="481" t="n">
        <f aca="false">(R125*$S$2)/1000</f>
        <v>46.0237918965517</v>
      </c>
      <c r="T125" s="483"/>
      <c r="V125" s="128" t="n">
        <f aca="false">VLOOKUP(K125,PJM_01212000!$A$7:$C$259,3)</f>
        <v>29.2474990844727</v>
      </c>
      <c r="W125" s="128"/>
      <c r="X125" s="484" t="n">
        <f aca="false">'PJM Curve Simulation'!J125</f>
        <v>29.2474990844727</v>
      </c>
      <c r="Y125" s="489"/>
      <c r="Z125" s="483"/>
      <c r="AA125" s="59" t="n">
        <f aca="false">AA124</f>
        <v>315</v>
      </c>
      <c r="AB125" s="425" t="n">
        <f aca="false">AA125*F125*16</f>
        <v>110880</v>
      </c>
      <c r="AC125" s="425" t="n">
        <f aca="false">VLOOKUP(K125,'Company Volumes'!$B$20:$C$259,2)</f>
        <v>8230.21701419556</v>
      </c>
      <c r="AD125" s="485" t="n">
        <f aca="false">IF(V125&gt;S125+($AM$5*1000*O125),AA125*F125*16,0)</f>
        <v>0</v>
      </c>
      <c r="AE125" s="425"/>
      <c r="AF125" s="425" t="n">
        <v>0</v>
      </c>
      <c r="AG125" s="425" t="n">
        <v>0</v>
      </c>
      <c r="AH125" s="425" t="n">
        <f aca="false">X125*AD125</f>
        <v>0</v>
      </c>
      <c r="AI125" s="425" t="n">
        <f aca="false">SUM(AF125:AH125)</f>
        <v>0</v>
      </c>
      <c r="AJ125" s="425" t="n">
        <f aca="false">(AD125*1000*$S$2)/1000000*R125</f>
        <v>0</v>
      </c>
      <c r="AK125" s="425" t="n">
        <f aca="false">($AK$5*O125)/12</f>
        <v>65119.3769534365</v>
      </c>
      <c r="AL125" s="425" t="n">
        <f aca="false">($AL$5*O125)/12</f>
        <v>166054.411231263</v>
      </c>
      <c r="AM125" s="425" t="n">
        <f aca="false">AD125*$AM$5*1000*O125</f>
        <v>0</v>
      </c>
      <c r="AN125" s="425" t="n">
        <f aca="false">(($AN$5*O125)/12)*$S$4</f>
        <v>148906.308633525</v>
      </c>
      <c r="AO125" s="425" t="n">
        <f aca="false">($AO$5*O125)/12</f>
        <v>32559.6884767182</v>
      </c>
      <c r="AP125" s="425" t="n">
        <f aca="false">AP124</f>
        <v>46500.5582152336</v>
      </c>
      <c r="AQ125" s="433" t="n">
        <f aca="false">SUM(AK125:AP125)</f>
        <v>459140.343510176</v>
      </c>
      <c r="AR125" s="425" t="n">
        <f aca="false">($AR$5*O125)/12</f>
        <v>16279.8442383591</v>
      </c>
      <c r="AS125" s="433" t="n">
        <f aca="false">AS124</f>
        <v>30387.755</v>
      </c>
      <c r="AT125" s="425" t="n">
        <f aca="false">(AI125/100)*$AT$6*O125</f>
        <v>0</v>
      </c>
      <c r="AU125" s="433" t="n">
        <f aca="false">SUM(AJ125:AT125)-AQ125</f>
        <v>505807.942748535</v>
      </c>
      <c r="AV125" s="433" t="n">
        <f aca="false">AI125-AU125</f>
        <v>-505807.942748535</v>
      </c>
      <c r="AW125" s="493"/>
      <c r="AX125" s="423" t="n">
        <f aca="false">K125</f>
        <v>40118</v>
      </c>
      <c r="BA125" s="126"/>
      <c r="BB125" s="481" t="n">
        <f aca="false">X125</f>
        <v>29.2474990844727</v>
      </c>
      <c r="BC125" s="481" t="n">
        <f aca="false">'Curve Analysis - Base Case'!D117</f>
        <v>48.6285669746892</v>
      </c>
      <c r="BD125" s="479" t="n">
        <f aca="false">L125</f>
        <v>0.074357956249873</v>
      </c>
      <c r="BE125" s="479" t="n">
        <f aca="false">L125</f>
        <v>0.074357956249873</v>
      </c>
      <c r="BF125" s="489" t="n">
        <f aca="false">PJM_01212000!X125</f>
        <v>0.0910542998863872</v>
      </c>
      <c r="BG125" s="425" t="n">
        <f aca="false">(AX125+15)-$K$1</f>
        <v>3544</v>
      </c>
      <c r="BH125" s="433" t="n">
        <f aca="false">AD125</f>
        <v>0</v>
      </c>
      <c r="BJ125" s="486" t="e">
        <f aca="false">EURO(BB125,BC125,BD125,BE125,BF125,BG125,1,0)*BH125</f>
        <v>#NAME?</v>
      </c>
      <c r="BK125" s="433" t="n">
        <f aca="false">(AI125-AJ125)*N125</f>
        <v>0</v>
      </c>
      <c r="BM125" s="433" t="e">
        <f aca="false">BJ125-BK125</f>
        <v>#NAME?</v>
      </c>
    </row>
    <row r="126" customFormat="false" ht="16.5" hidden="false" customHeight="false" outlineLevel="0" collapsed="false">
      <c r="A126" s="59" t="n">
        <f aca="false">A125+1</f>
        <v>120</v>
      </c>
      <c r="C126" s="59" t="n">
        <v>31</v>
      </c>
      <c r="D126" s="59" t="s">
        <v>174</v>
      </c>
      <c r="E126" s="125" t="n">
        <f aca="false">E125+C125</f>
        <v>40148</v>
      </c>
      <c r="F126" s="425" t="n">
        <f aca="false">F78</f>
        <v>21</v>
      </c>
      <c r="G126" s="433" t="n">
        <f aca="false">C126-F126</f>
        <v>10</v>
      </c>
      <c r="H126" s="433" t="n">
        <f aca="false">SUM(F115:G126)</f>
        <v>365</v>
      </c>
      <c r="I126" s="433"/>
      <c r="J126" s="59" t="n">
        <f aca="false">K127-K126</f>
        <v>31</v>
      </c>
      <c r="K126" s="478" t="n">
        <v>40148</v>
      </c>
      <c r="L126" s="490" t="n">
        <v>0.074372455482268</v>
      </c>
      <c r="M126" s="491" t="n">
        <v>0.063872881644976</v>
      </c>
      <c r="N126" s="480" t="n">
        <f aca="false">(1+L126/2)^(-2*((K126+$T$1)-$K$1)/365.25)</f>
        <v>0.486589909345415</v>
      </c>
      <c r="O126" s="127" t="n">
        <f aca="false">VLOOKUP(K126,Inflation!$B$8:$C$266,2)</f>
        <v>1.30528226116089</v>
      </c>
      <c r="P126" s="480"/>
      <c r="Q126" s="481" t="n">
        <f aca="false">VLOOKUP(K126,'Fuel Curve'!$B$11:$F$268,5)</f>
        <v>4.84741379310345</v>
      </c>
      <c r="R126" s="482" t="n">
        <f aca="false">VLOOKUP(K126,'Fuel Curve Simulation'!$B$12:$J$258,9)</f>
        <v>4.84741379310345</v>
      </c>
      <c r="S126" s="481" t="n">
        <f aca="false">(R126*$S$2)/1000</f>
        <v>46.4333767241379</v>
      </c>
      <c r="T126" s="483"/>
      <c r="V126" s="128" t="n">
        <f aca="false">VLOOKUP(K126,PJM_01212000!$A$7:$C$259,3)</f>
        <v>30.9999996185303</v>
      </c>
      <c r="W126" s="128"/>
      <c r="X126" s="484" t="n">
        <f aca="false">'PJM Curve Simulation'!J126</f>
        <v>30.9999996185303</v>
      </c>
      <c r="Y126" s="489"/>
      <c r="Z126" s="483"/>
      <c r="AA126" s="59" t="n">
        <f aca="false">AA125</f>
        <v>315</v>
      </c>
      <c r="AB126" s="425" t="n">
        <f aca="false">AA126*F126*16</f>
        <v>105840</v>
      </c>
      <c r="AC126" s="425" t="n">
        <f aca="false">VLOOKUP(K126,'Company Volumes'!$B$20:$C$259,2)</f>
        <v>8230.21701419556</v>
      </c>
      <c r="AD126" s="485" t="n">
        <f aca="false">IF(V126&gt;S126+($AM$5*1000*O126),AA126*F126*16,0)</f>
        <v>0</v>
      </c>
      <c r="AE126" s="425"/>
      <c r="AF126" s="425" t="n">
        <v>0</v>
      </c>
      <c r="AG126" s="425" t="n">
        <v>0</v>
      </c>
      <c r="AH126" s="425" t="n">
        <f aca="false">X126*AD126</f>
        <v>0</v>
      </c>
      <c r="AI126" s="425" t="n">
        <f aca="false">SUM(AF126:AH126)</f>
        <v>0</v>
      </c>
      <c r="AJ126" s="425" t="n">
        <f aca="false">(AD126*1000*$S$2)/1000000*R126</f>
        <v>0</v>
      </c>
      <c r="AK126" s="425" t="n">
        <f aca="false">($AK$5*O126)/12</f>
        <v>65264.1130580447</v>
      </c>
      <c r="AL126" s="425" t="n">
        <f aca="false">($AL$5*O126)/12</f>
        <v>166423.488298014</v>
      </c>
      <c r="AM126" s="425" t="n">
        <f aca="false">AD126*$AM$5*1000*O126</f>
        <v>0</v>
      </c>
      <c r="AN126" s="425" t="n">
        <f aca="false">(($AN$5*O126)/12)*$S$4</f>
        <v>149237.271859396</v>
      </c>
      <c r="AO126" s="425" t="n">
        <f aca="false">($AO$5*O126)/12</f>
        <v>32632.0565290223</v>
      </c>
      <c r="AP126" s="425" t="n">
        <f aca="false">AP125</f>
        <v>46500.5582152336</v>
      </c>
      <c r="AQ126" s="433" t="n">
        <f aca="false">SUM(AK126:AP126)</f>
        <v>460057.48795971</v>
      </c>
      <c r="AR126" s="425" t="n">
        <f aca="false">($AR$5*O126)/12</f>
        <v>16316.0282645112</v>
      </c>
      <c r="AS126" s="433" t="n">
        <f aca="false">AS125</f>
        <v>30387.755</v>
      </c>
      <c r="AT126" s="425" t="n">
        <f aca="false">(AI126/100)*$AT$6*O126</f>
        <v>0</v>
      </c>
      <c r="AU126" s="433" t="n">
        <f aca="false">SUM(AJ126:AT126)-AQ126</f>
        <v>506761.271224221</v>
      </c>
      <c r="AV126" s="433" t="n">
        <f aca="false">AI126-AU126</f>
        <v>-506761.271224221</v>
      </c>
      <c r="AW126" s="493"/>
      <c r="AX126" s="423" t="n">
        <f aca="false">K126</f>
        <v>40148</v>
      </c>
      <c r="AY126" s="425" t="n">
        <f aca="false">'Debt Amortization'!Q8</f>
        <v>4645411.05999285</v>
      </c>
      <c r="AZ126" s="425" t="n">
        <f aca="false">AY126*N126</f>
        <v>2260410.14655411</v>
      </c>
      <c r="BA126" s="126"/>
      <c r="BB126" s="481" t="n">
        <f aca="false">X126</f>
        <v>30.9999996185303</v>
      </c>
      <c r="BC126" s="481" t="n">
        <f aca="false">'Curve Analysis - Base Case'!D118</f>
        <v>49.0439412464597</v>
      </c>
      <c r="BD126" s="479" t="n">
        <f aca="false">L126</f>
        <v>0.074372455482268</v>
      </c>
      <c r="BE126" s="479" t="n">
        <f aca="false">L126</f>
        <v>0.074372455482268</v>
      </c>
      <c r="BF126" s="489" t="n">
        <f aca="false">PJM_01212000!X126</f>
        <v>0.0910542998863872</v>
      </c>
      <c r="BG126" s="425" t="n">
        <f aca="false">(AX126+15)-$K$1</f>
        <v>3574</v>
      </c>
      <c r="BH126" s="433" t="n">
        <f aca="false">AD126</f>
        <v>0</v>
      </c>
      <c r="BJ126" s="486" t="e">
        <f aca="false">EURO(BB126,BC126,BD126,BE126,BF126,BG126,1,0)*BH126</f>
        <v>#NAME?</v>
      </c>
      <c r="BK126" s="433" t="n">
        <f aca="false">(AI126-AJ126)*N126</f>
        <v>0</v>
      </c>
      <c r="BM126" s="433" t="e">
        <f aca="false">BJ126-BK126</f>
        <v>#NAME?</v>
      </c>
    </row>
    <row r="127" customFormat="false" ht="16.5" hidden="false" customHeight="false" outlineLevel="0" collapsed="false">
      <c r="A127" s="59" t="n">
        <f aca="false">A126+1</f>
        <v>121</v>
      </c>
      <c r="C127" s="59" t="n">
        <v>31</v>
      </c>
      <c r="D127" s="59" t="s">
        <v>164</v>
      </c>
      <c r="E127" s="125" t="n">
        <f aca="false">E126+C126</f>
        <v>40179</v>
      </c>
      <c r="F127" s="425" t="n">
        <f aca="false">F79</f>
        <v>23</v>
      </c>
      <c r="G127" s="433" t="n">
        <f aca="false">C127-F127</f>
        <v>8</v>
      </c>
      <c r="H127" s="433"/>
      <c r="I127" s="433"/>
      <c r="J127" s="59" t="n">
        <f aca="false">K128-K127</f>
        <v>31</v>
      </c>
      <c r="K127" s="478" t="n">
        <v>40179</v>
      </c>
      <c r="L127" s="490" t="n">
        <v>0.074387438022482</v>
      </c>
      <c r="M127" s="491" t="n">
        <v>0.063753288750505</v>
      </c>
      <c r="N127" s="480" t="n">
        <f aca="false">(1+L127/2)^(-2*((K127+$T$1)-$K$1)/365.25)</f>
        <v>0.48351399697489</v>
      </c>
      <c r="O127" s="127" t="n">
        <f aca="false">VLOOKUP(K127,Inflation!$B$8:$C$266,2)</f>
        <v>1.30818341714139</v>
      </c>
      <c r="P127" s="480"/>
      <c r="Q127" s="481" t="n">
        <f aca="false">VLOOKUP(K127,'Fuel Curve'!$B$11:$F$268,5)</f>
        <v>4.79017241379311</v>
      </c>
      <c r="R127" s="482" t="n">
        <f aca="false">VLOOKUP(K127,'Fuel Curve Simulation'!$B$12:$J$258,9)</f>
        <v>4.79017241379311</v>
      </c>
      <c r="S127" s="481" t="n">
        <f aca="false">(R127*$S$2)/1000</f>
        <v>45.8850615517242</v>
      </c>
      <c r="T127" s="483"/>
      <c r="V127" s="128" t="n">
        <f aca="false">VLOOKUP(K127,PJM_01212000!$A$7:$C$259,3)</f>
        <v>39.8249984741211</v>
      </c>
      <c r="W127" s="128"/>
      <c r="X127" s="484" t="n">
        <f aca="false">'PJM Curve Simulation'!J127</f>
        <v>39.8249984741211</v>
      </c>
      <c r="Y127" s="489"/>
      <c r="Z127" s="483"/>
      <c r="AA127" s="59" t="n">
        <f aca="false">AA126</f>
        <v>315</v>
      </c>
      <c r="AB127" s="425" t="n">
        <f aca="false">AA127*F127*16</f>
        <v>115920</v>
      </c>
      <c r="AC127" s="425" t="n">
        <f aca="false">VLOOKUP(K127,'Company Volumes'!$B$20:$C$259,2)</f>
        <v>16153.3852733711</v>
      </c>
      <c r="AD127" s="485" t="n">
        <f aca="false">IF(V127&gt;S127+($AM$5*1000*O127),AA127*F127*16,0)</f>
        <v>0</v>
      </c>
      <c r="AE127" s="425"/>
      <c r="AF127" s="425" t="n">
        <v>0</v>
      </c>
      <c r="AG127" s="425" t="n">
        <v>0</v>
      </c>
      <c r="AH127" s="425" t="n">
        <f aca="false">X127*AD127</f>
        <v>0</v>
      </c>
      <c r="AI127" s="425" t="n">
        <f aca="false">SUM(AF127:AH127)</f>
        <v>0</v>
      </c>
      <c r="AJ127" s="425" t="n">
        <f aca="false">(AD127*1000*$S$2)/1000000*R127</f>
        <v>0</v>
      </c>
      <c r="AK127" s="425" t="n">
        <f aca="false">($AK$5*O127)/12</f>
        <v>65409.1708570695</v>
      </c>
      <c r="AL127" s="425" t="n">
        <f aca="false">($AL$5*O127)/12</f>
        <v>166793.385685527</v>
      </c>
      <c r="AM127" s="425" t="n">
        <f aca="false">AD127*$AM$5*1000*O127</f>
        <v>0</v>
      </c>
      <c r="AN127" s="425" t="n">
        <f aca="false">(($AN$5*O127)/12)*$S$4</f>
        <v>149568.970693166</v>
      </c>
      <c r="AO127" s="425" t="n">
        <f aca="false">($AO$5*O127)/12</f>
        <v>32704.5854285348</v>
      </c>
      <c r="AP127" s="425" t="n">
        <f aca="false">AP126</f>
        <v>46500.5582152336</v>
      </c>
      <c r="AQ127" s="433" t="n">
        <f aca="false">SUM(AK127:AP127)</f>
        <v>460976.670879531</v>
      </c>
      <c r="AR127" s="425" t="n">
        <f aca="false">($AR$5*O127)/12</f>
        <v>16352.2927142674</v>
      </c>
      <c r="AS127" s="433" t="n">
        <f aca="false">AS126</f>
        <v>30387.755</v>
      </c>
      <c r="AT127" s="425" t="n">
        <f aca="false">(AI127/100)*$AT$6*O127</f>
        <v>0</v>
      </c>
      <c r="AU127" s="433" t="n">
        <f aca="false">SUM(AJ127:AT127)-AQ127</f>
        <v>507716.718593798</v>
      </c>
      <c r="AV127" s="433" t="n">
        <f aca="false">AI127-AU127</f>
        <v>-507716.718593798</v>
      </c>
      <c r="AW127" s="493"/>
      <c r="AX127" s="423" t="n">
        <f aca="false">K127</f>
        <v>40179</v>
      </c>
      <c r="BA127" s="126"/>
      <c r="BB127" s="481" t="n">
        <f aca="false">X127</f>
        <v>39.8249984741211</v>
      </c>
      <c r="BC127" s="481" t="n">
        <f aca="false">'Curve Analysis - Base Case'!D119</f>
        <v>48.5014283860069</v>
      </c>
      <c r="BD127" s="479" t="n">
        <f aca="false">L127</f>
        <v>0.074387438022482</v>
      </c>
      <c r="BE127" s="479" t="n">
        <f aca="false">L127</f>
        <v>0.074387438022482</v>
      </c>
      <c r="BF127" s="489" t="n">
        <f aca="false">PJM_01212000!X127</f>
        <v>0.139859404625491</v>
      </c>
      <c r="BG127" s="425" t="n">
        <f aca="false">(AX127+15)-$K$1</f>
        <v>3605</v>
      </c>
      <c r="BH127" s="433" t="n">
        <f aca="false">AD127</f>
        <v>0</v>
      </c>
      <c r="BJ127" s="486" t="e">
        <f aca="false">EURO(BB127,BC127,BD127,BE127,BF127,BG127,1,0)*BH127</f>
        <v>#NAME?</v>
      </c>
      <c r="BK127" s="433" t="n">
        <f aca="false">(AI127-AJ127)*N127</f>
        <v>0</v>
      </c>
      <c r="BM127" s="433" t="e">
        <f aca="false">BJ127-BK127</f>
        <v>#NAME?</v>
      </c>
    </row>
    <row r="128" customFormat="false" ht="16.5" hidden="false" customHeight="false" outlineLevel="0" collapsed="false">
      <c r="A128" s="59" t="n">
        <f aca="false">A127+1</f>
        <v>122</v>
      </c>
      <c r="C128" s="59" t="n">
        <v>28</v>
      </c>
      <c r="D128" s="59" t="s">
        <v>165</v>
      </c>
      <c r="E128" s="125" t="n">
        <f aca="false">E127+C127</f>
        <v>40210</v>
      </c>
      <c r="F128" s="425" t="n">
        <f aca="false">F80</f>
        <v>20</v>
      </c>
      <c r="G128" s="433" t="n">
        <f aca="false">C128-F128</f>
        <v>8</v>
      </c>
      <c r="H128" s="433"/>
      <c r="I128" s="433"/>
      <c r="J128" s="59" t="n">
        <f aca="false">K129-K128</f>
        <v>28</v>
      </c>
      <c r="K128" s="478" t="n">
        <v>40210</v>
      </c>
      <c r="L128" s="490" t="n">
        <v>0.074402420562771</v>
      </c>
      <c r="M128" s="491" t="n">
        <v>0.063633695955649</v>
      </c>
      <c r="N128" s="480" t="n">
        <f aca="false">(1+L128/2)^(-2*((K128+$T$1)-$K$1)/365.25)</f>
        <v>0.48045635096898</v>
      </c>
      <c r="O128" s="127" t="n">
        <f aca="false">VLOOKUP(K128,Inflation!$B$8:$C$266,2)</f>
        <v>1.31109102131035</v>
      </c>
      <c r="P128" s="480"/>
      <c r="Q128" s="481" t="n">
        <f aca="false">VLOOKUP(K128,'Fuel Curve'!$B$11:$F$268,5)</f>
        <v>4.69103448275862</v>
      </c>
      <c r="R128" s="482" t="n">
        <f aca="false">VLOOKUP(K128,'Fuel Curve Simulation'!$B$12:$J$258,9)</f>
        <v>4.69103448275862</v>
      </c>
      <c r="S128" s="481" t="n">
        <f aca="false">(R128*$S$2)/1000</f>
        <v>44.9354193103448</v>
      </c>
      <c r="T128" s="483"/>
      <c r="V128" s="128" t="n">
        <f aca="false">VLOOKUP(K128,PJM_01212000!$A$7:$C$259,3)</f>
        <v>39.8249984741211</v>
      </c>
      <c r="W128" s="128"/>
      <c r="X128" s="484" t="n">
        <f aca="false">'PJM Curve Simulation'!J128</f>
        <v>39.8249984741211</v>
      </c>
      <c r="Y128" s="489"/>
      <c r="Z128" s="483"/>
      <c r="AA128" s="59" t="n">
        <f aca="false">AA127</f>
        <v>315</v>
      </c>
      <c r="AB128" s="425" t="n">
        <f aca="false">AA128*F128*16</f>
        <v>100800</v>
      </c>
      <c r="AC128" s="425" t="n">
        <f aca="false">VLOOKUP(K128,'Company Volumes'!$B$20:$C$259,2)</f>
        <v>688.891853844444</v>
      </c>
      <c r="AD128" s="485" t="n">
        <f aca="false">IF(V128&gt;S128+($AM$5*1000*O128),AA128*F128*16,0)</f>
        <v>0</v>
      </c>
      <c r="AE128" s="425"/>
      <c r="AF128" s="425" t="n">
        <v>0</v>
      </c>
      <c r="AG128" s="425" t="n">
        <v>0</v>
      </c>
      <c r="AH128" s="425" t="n">
        <f aca="false">X128*AD128</f>
        <v>0</v>
      </c>
      <c r="AI128" s="425" t="n">
        <f aca="false">SUM(AF128:AH128)</f>
        <v>0</v>
      </c>
      <c r="AJ128" s="425" t="n">
        <f aca="false">(AD128*1000*$S$2)/1000000*R128</f>
        <v>0</v>
      </c>
      <c r="AK128" s="425" t="n">
        <f aca="false">($AK$5*O128)/12</f>
        <v>65554.5510655177</v>
      </c>
      <c r="AL128" s="425" t="n">
        <f aca="false">($AL$5*O128)/12</f>
        <v>167164.10521707</v>
      </c>
      <c r="AM128" s="425" t="n">
        <f aca="false">AD128*$AM$5*1000*O128</f>
        <v>0</v>
      </c>
      <c r="AN128" s="425" t="n">
        <f aca="false">(($AN$5*O128)/12)*$S$4</f>
        <v>149901.406769817</v>
      </c>
      <c r="AO128" s="425" t="n">
        <f aca="false">($AO$5*O128)/12</f>
        <v>32777.2755327588</v>
      </c>
      <c r="AP128" s="425" t="n">
        <f aca="false">AP127</f>
        <v>46500.5582152336</v>
      </c>
      <c r="AQ128" s="433" t="n">
        <f aca="false">SUM(AK128:AP128)</f>
        <v>461897.896800397</v>
      </c>
      <c r="AR128" s="425" t="n">
        <f aca="false">($AR$5*O128)/12</f>
        <v>16388.6377663794</v>
      </c>
      <c r="AS128" s="433" t="n">
        <f aca="false">AS127</f>
        <v>30387.755</v>
      </c>
      <c r="AT128" s="425" t="n">
        <f aca="false">(AI128/100)*$AT$6*O128</f>
        <v>0</v>
      </c>
      <c r="AU128" s="433" t="n">
        <f aca="false">SUM(AJ128:AT128)-AQ128</f>
        <v>508674.289566777</v>
      </c>
      <c r="AV128" s="433" t="n">
        <f aca="false">AI128-AU128</f>
        <v>-508674.289566777</v>
      </c>
      <c r="AW128" s="493"/>
      <c r="AX128" s="423" t="n">
        <f aca="false">K128</f>
        <v>40210</v>
      </c>
      <c r="BA128" s="126"/>
      <c r="BB128" s="481" t="n">
        <f aca="false">X128</f>
        <v>39.8249984741211</v>
      </c>
      <c r="BC128" s="481" t="n">
        <f aca="false">'Curve Analysis - Base Case'!D120</f>
        <v>47.5576013529655</v>
      </c>
      <c r="BD128" s="479" t="n">
        <f aca="false">L128</f>
        <v>0.074402420562771</v>
      </c>
      <c r="BE128" s="479" t="n">
        <f aca="false">L128</f>
        <v>0.074402420562771</v>
      </c>
      <c r="BF128" s="489" t="n">
        <f aca="false">PJM_01212000!X128</f>
        <v>0.139859404625491</v>
      </c>
      <c r="BG128" s="425" t="n">
        <f aca="false">(AX128+15)-$K$1</f>
        <v>3636</v>
      </c>
      <c r="BH128" s="433" t="n">
        <f aca="false">AD128</f>
        <v>0</v>
      </c>
      <c r="BJ128" s="486" t="e">
        <f aca="false">EURO(BB128,BC128,BD128,BE128,BF128,BG128,1,0)*BH128</f>
        <v>#NAME?</v>
      </c>
      <c r="BK128" s="433" t="n">
        <f aca="false">(AI128-AJ128)*N128</f>
        <v>0</v>
      </c>
      <c r="BM128" s="433" t="e">
        <f aca="false">BJ128-BK128</f>
        <v>#NAME?</v>
      </c>
    </row>
    <row r="129" customFormat="false" ht="16.5" hidden="false" customHeight="false" outlineLevel="0" collapsed="false">
      <c r="A129" s="59" t="n">
        <f aca="false">A128+1</f>
        <v>123</v>
      </c>
      <c r="C129" s="59" t="n">
        <v>31</v>
      </c>
      <c r="D129" s="59" t="s">
        <v>166</v>
      </c>
      <c r="E129" s="125" t="n">
        <f aca="false">E128+C128</f>
        <v>40238</v>
      </c>
      <c r="F129" s="425" t="n">
        <f aca="false">F81</f>
        <v>21</v>
      </c>
      <c r="G129" s="433" t="n">
        <f aca="false">C129-F129</f>
        <v>10</v>
      </c>
      <c r="H129" s="433"/>
      <c r="I129" s="433"/>
      <c r="J129" s="59" t="n">
        <f aca="false">K130-K129</f>
        <v>31</v>
      </c>
      <c r="K129" s="478" t="n">
        <v>40238</v>
      </c>
      <c r="L129" s="490" t="n">
        <v>0.074415953179869</v>
      </c>
      <c r="M129" s="491" t="n">
        <v>0.063606092618865</v>
      </c>
      <c r="N129" s="480" t="n">
        <f aca="false">(1+L129/2)^(-2*((K129+$T$1)-$K$1)/365.25)</f>
        <v>0.477710222864911</v>
      </c>
      <c r="O129" s="127" t="n">
        <f aca="false">VLOOKUP(K129,Inflation!$B$8:$C$266,2)</f>
        <v>1.31400508799971</v>
      </c>
      <c r="P129" s="480"/>
      <c r="Q129" s="481" t="n">
        <f aca="false">VLOOKUP(K129,'Fuel Curve'!$B$11:$F$268,5)</f>
        <v>4.59396551724138</v>
      </c>
      <c r="R129" s="482" t="n">
        <f aca="false">VLOOKUP(K129,'Fuel Curve Simulation'!$B$12:$J$258,9)</f>
        <v>4.59396551724138</v>
      </c>
      <c r="S129" s="481" t="n">
        <f aca="false">(R129*$S$2)/1000</f>
        <v>44.0055956896552</v>
      </c>
      <c r="T129" s="483"/>
      <c r="V129" s="128" t="n">
        <f aca="false">VLOOKUP(K129,PJM_01212000!$A$7:$C$259,3)</f>
        <v>29.5500007629395</v>
      </c>
      <c r="W129" s="128"/>
      <c r="X129" s="484" t="n">
        <f aca="false">'PJM Curve Simulation'!J129</f>
        <v>29.5500007629395</v>
      </c>
      <c r="Y129" s="489"/>
      <c r="Z129" s="483"/>
      <c r="AA129" s="59" t="n">
        <f aca="false">AA128</f>
        <v>315</v>
      </c>
      <c r="AB129" s="425" t="n">
        <f aca="false">AA129*F129*16</f>
        <v>105840</v>
      </c>
      <c r="AC129" s="425" t="n">
        <f aca="false">VLOOKUP(K129,'Company Volumes'!$B$20:$C$259,2)</f>
        <v>688.891853844444</v>
      </c>
      <c r="AD129" s="485" t="n">
        <f aca="false">IF(V129&gt;S129+($AM$5*1000*O129),AA129*F129*16,0)</f>
        <v>0</v>
      </c>
      <c r="AE129" s="425"/>
      <c r="AF129" s="425" t="n">
        <v>0</v>
      </c>
      <c r="AG129" s="425" t="n">
        <v>0</v>
      </c>
      <c r="AH129" s="425" t="n">
        <f aca="false">X129*AD129</f>
        <v>0</v>
      </c>
      <c r="AI129" s="425" t="n">
        <f aca="false">SUM(AF129:AH129)</f>
        <v>0</v>
      </c>
      <c r="AJ129" s="425" t="n">
        <f aca="false">(AD129*1000*$S$2)/1000000*R129</f>
        <v>0</v>
      </c>
      <c r="AK129" s="425" t="n">
        <f aca="false">($AK$5*O129)/12</f>
        <v>65700.2543999853</v>
      </c>
      <c r="AL129" s="425" t="n">
        <f aca="false">($AL$5*O129)/12</f>
        <v>167535.648719962</v>
      </c>
      <c r="AM129" s="425" t="n">
        <f aca="false">AD129*$AM$5*1000*O129</f>
        <v>0</v>
      </c>
      <c r="AN129" s="425" t="n">
        <f aca="false">(($AN$5*O129)/12)*$S$4</f>
        <v>150234.581727966</v>
      </c>
      <c r="AO129" s="425" t="n">
        <f aca="false">($AO$5*O129)/12</f>
        <v>32850.1271999926</v>
      </c>
      <c r="AP129" s="425" t="n">
        <f aca="false">AP128</f>
        <v>46500.5582152336</v>
      </c>
      <c r="AQ129" s="433" t="n">
        <f aca="false">SUM(AK129:AP129)</f>
        <v>462821.17026314</v>
      </c>
      <c r="AR129" s="425" t="n">
        <f aca="false">($AR$5*O129)/12</f>
        <v>16425.0635999963</v>
      </c>
      <c r="AS129" s="433" t="n">
        <f aca="false">AS128</f>
        <v>30387.755</v>
      </c>
      <c r="AT129" s="425" t="n">
        <f aca="false">(AI129/100)*$AT$6*O129</f>
        <v>0</v>
      </c>
      <c r="AU129" s="433" t="n">
        <f aca="false">SUM(AJ129:AT129)-AQ129</f>
        <v>509633.988863137</v>
      </c>
      <c r="AV129" s="433" t="n">
        <f aca="false">AI129-AU129</f>
        <v>-509633.988863137</v>
      </c>
      <c r="AW129" s="493"/>
      <c r="AX129" s="423" t="n">
        <f aca="false">K129</f>
        <v>40238</v>
      </c>
      <c r="BA129" s="126"/>
      <c r="BB129" s="481" t="n">
        <f aca="false">X129</f>
        <v>29.5500007629395</v>
      </c>
      <c r="BC129" s="481" t="n">
        <f aca="false">'Curve Analysis - Base Case'!D121</f>
        <v>46.6336058656546</v>
      </c>
      <c r="BD129" s="479" t="n">
        <f aca="false">L129</f>
        <v>0.074415953179869</v>
      </c>
      <c r="BE129" s="479" t="n">
        <f aca="false">L129</f>
        <v>0.074415953179869</v>
      </c>
      <c r="BF129" s="489" t="n">
        <f aca="false">PJM_01212000!X129</f>
        <v>0.116549503854576</v>
      </c>
      <c r="BG129" s="425" t="n">
        <f aca="false">(AX129+15)-$K$1</f>
        <v>3664</v>
      </c>
      <c r="BH129" s="433" t="n">
        <f aca="false">AD129</f>
        <v>0</v>
      </c>
      <c r="BJ129" s="486" t="e">
        <f aca="false">EURO(BB129,BC129,BD129,BE129,BF129,BG129,1,0)*BH129</f>
        <v>#NAME?</v>
      </c>
      <c r="BK129" s="433" t="n">
        <f aca="false">(AI129-AJ129)*N129</f>
        <v>0</v>
      </c>
      <c r="BM129" s="433" t="e">
        <f aca="false">BJ129-BK129</f>
        <v>#NAME?</v>
      </c>
    </row>
    <row r="130" customFormat="false" ht="16.5" hidden="false" customHeight="false" outlineLevel="0" collapsed="false">
      <c r="A130" s="59" t="n">
        <f aca="false">A129+1</f>
        <v>124</v>
      </c>
      <c r="C130" s="59" t="n">
        <v>30</v>
      </c>
      <c r="D130" s="59" t="s">
        <v>167</v>
      </c>
      <c r="E130" s="125" t="n">
        <f aca="false">E129+C129</f>
        <v>40269</v>
      </c>
      <c r="F130" s="425" t="n">
        <f aca="false">F82</f>
        <v>22</v>
      </c>
      <c r="G130" s="433" t="n">
        <f aca="false">C130-F130</f>
        <v>8</v>
      </c>
      <c r="H130" s="433"/>
      <c r="I130" s="433"/>
      <c r="J130" s="59" t="n">
        <f aca="false">K131-K130</f>
        <v>30</v>
      </c>
      <c r="K130" s="478" t="n">
        <v>40269</v>
      </c>
      <c r="L130" s="490" t="n">
        <v>0.074415331083391</v>
      </c>
      <c r="M130" s="491" t="n">
        <v>0.06361770478462</v>
      </c>
      <c r="N130" s="480" t="n">
        <f aca="false">(1+L130/2)^(-2*((K130+$T$1)-$K$1)/365.25)</f>
        <v>0.474759883769681</v>
      </c>
      <c r="O130" s="127" t="n">
        <f aca="false">VLOOKUP(K130,Inflation!$B$8:$C$266,2)</f>
        <v>1.31692563157322</v>
      </c>
      <c r="P130" s="480"/>
      <c r="Q130" s="481" t="n">
        <f aca="false">VLOOKUP(K130,'Fuel Curve'!$B$11:$F$268,5)</f>
        <v>4.49396551724138</v>
      </c>
      <c r="R130" s="482" t="n">
        <f aca="false">VLOOKUP(K130,'Fuel Curve Simulation'!$B$12:$J$258,9)</f>
        <v>4.49396551724138</v>
      </c>
      <c r="S130" s="481" t="n">
        <f aca="false">(R130*$S$2)/1000</f>
        <v>43.0476956896552</v>
      </c>
      <c r="T130" s="483"/>
      <c r="V130" s="128" t="n">
        <f aca="false">VLOOKUP(K130,PJM_01212000!$A$7:$C$259,3)</f>
        <v>29.3250007629395</v>
      </c>
      <c r="W130" s="128"/>
      <c r="X130" s="484" t="n">
        <f aca="false">'PJM Curve Simulation'!J130</f>
        <v>29.3250007629395</v>
      </c>
      <c r="Y130" s="489"/>
      <c r="Z130" s="483"/>
      <c r="AA130" s="59" t="n">
        <f aca="false">AA129</f>
        <v>315</v>
      </c>
      <c r="AB130" s="425" t="n">
        <f aca="false">AA130*F130*16</f>
        <v>110880</v>
      </c>
      <c r="AC130" s="425" t="n">
        <f aca="false">VLOOKUP(K130,'Company Volumes'!$B$20:$C$259,2)</f>
        <v>9049.50449365511</v>
      </c>
      <c r="AD130" s="485" t="n">
        <f aca="false">IF(V130&gt;S130+($AM$5*1000*O130),AA130*F130*16,0)</f>
        <v>0</v>
      </c>
      <c r="AE130" s="425"/>
      <c r="AF130" s="425" t="n">
        <v>0</v>
      </c>
      <c r="AG130" s="425" t="n">
        <v>0</v>
      </c>
      <c r="AH130" s="425" t="n">
        <f aca="false">X130*AD130</f>
        <v>0</v>
      </c>
      <c r="AI130" s="425" t="n">
        <f aca="false">SUM(AF130:AH130)</f>
        <v>0</v>
      </c>
      <c r="AJ130" s="425" t="n">
        <f aca="false">(AD130*1000*$S$2)/1000000*R130</f>
        <v>0</v>
      </c>
      <c r="AK130" s="425" t="n">
        <f aca="false">($AK$5*O130)/12</f>
        <v>65846.2815786609</v>
      </c>
      <c r="AL130" s="425" t="n">
        <f aca="false">($AL$5*O130)/12</f>
        <v>167908.018025585</v>
      </c>
      <c r="AM130" s="425" t="n">
        <f aca="false">AD130*$AM$5*1000*O130</f>
        <v>0</v>
      </c>
      <c r="AN130" s="425" t="n">
        <f aca="false">(($AN$5*O130)/12)*$S$4</f>
        <v>150568.497209871</v>
      </c>
      <c r="AO130" s="425" t="n">
        <f aca="false">($AO$5*O130)/12</f>
        <v>32923.1407893304</v>
      </c>
      <c r="AP130" s="425" t="n">
        <f aca="false">AP129</f>
        <v>46500.5582152336</v>
      </c>
      <c r="AQ130" s="433" t="n">
        <f aca="false">SUM(AK130:AP130)</f>
        <v>463746.495818681</v>
      </c>
      <c r="AR130" s="425" t="n">
        <f aca="false">($AR$5*O130)/12</f>
        <v>16461.5703946652</v>
      </c>
      <c r="AS130" s="433" t="n">
        <f aca="false">AS129</f>
        <v>30387.755</v>
      </c>
      <c r="AT130" s="425" t="n">
        <f aca="false">(AI130/100)*$AT$6*O130</f>
        <v>0</v>
      </c>
      <c r="AU130" s="433" t="n">
        <f aca="false">SUM(AJ130:AT130)-AQ130</f>
        <v>510595.821213346</v>
      </c>
      <c r="AV130" s="433" t="n">
        <f aca="false">AI130-AU130</f>
        <v>-510595.821213346</v>
      </c>
      <c r="AW130" s="493"/>
      <c r="AX130" s="423" t="n">
        <f aca="false">K130</f>
        <v>40269</v>
      </c>
      <c r="BA130" s="126"/>
      <c r="BB130" s="481" t="n">
        <f aca="false">X130</f>
        <v>29.3250007629395</v>
      </c>
      <c r="BC130" s="481" t="n">
        <f aca="false">'Curve Analysis - Base Case'!D122</f>
        <v>45.6815469528016</v>
      </c>
      <c r="BD130" s="479" t="n">
        <f aca="false">L130</f>
        <v>0.074415331083391</v>
      </c>
      <c r="BE130" s="479" t="n">
        <f aca="false">L130</f>
        <v>0.074415331083391</v>
      </c>
      <c r="BF130" s="489" t="n">
        <f aca="false">PJM_01212000!X130</f>
        <v>0.110722028661847</v>
      </c>
      <c r="BG130" s="425" t="n">
        <f aca="false">(AX130+15)-$K$1</f>
        <v>3695</v>
      </c>
      <c r="BH130" s="433" t="n">
        <f aca="false">AD130</f>
        <v>0</v>
      </c>
      <c r="BJ130" s="486" t="e">
        <f aca="false">EURO(BB130,BC130,BD130,BE130,BF130,BG130,1,0)*BH130</f>
        <v>#NAME?</v>
      </c>
      <c r="BK130" s="433" t="n">
        <f aca="false">(AI130-AJ130)*N130</f>
        <v>0</v>
      </c>
      <c r="BM130" s="433" t="e">
        <f aca="false">BJ130-BK130</f>
        <v>#NAME?</v>
      </c>
    </row>
    <row r="131" customFormat="false" ht="16.5" hidden="false" customHeight="false" outlineLevel="0" collapsed="false">
      <c r="A131" s="59" t="n">
        <f aca="false">A130+1</f>
        <v>125</v>
      </c>
      <c r="C131" s="59" t="n">
        <v>31</v>
      </c>
      <c r="D131" s="59" t="s">
        <v>29</v>
      </c>
      <c r="E131" s="125" t="n">
        <f aca="false">E130+C130</f>
        <v>40299</v>
      </c>
      <c r="F131" s="425" t="n">
        <f aca="false">F83</f>
        <v>23</v>
      </c>
      <c r="G131" s="433" t="n">
        <f aca="false">C131-F131</f>
        <v>8</v>
      </c>
      <c r="H131" s="433"/>
      <c r="I131" s="433"/>
      <c r="J131" s="59" t="n">
        <f aca="false">K132-K131</f>
        <v>31</v>
      </c>
      <c r="K131" s="478" t="n">
        <v>40299</v>
      </c>
      <c r="L131" s="490" t="n">
        <v>0.074410324519944</v>
      </c>
      <c r="M131" s="491" t="n">
        <v>0.063628942365278</v>
      </c>
      <c r="N131" s="480" t="n">
        <f aca="false">(1+L131/2)^(-2*((K131+$T$1)-$K$1)/365.25)</f>
        <v>0.471942710609303</v>
      </c>
      <c r="O131" s="127" t="n">
        <f aca="false">VLOOKUP(K131,Inflation!$B$8:$C$266,2)</f>
        <v>1.31985266642659</v>
      </c>
      <c r="P131" s="480"/>
      <c r="Q131" s="481" t="n">
        <f aca="false">VLOOKUP(K131,'Fuel Curve'!$B$11:$F$268,5)</f>
        <v>4.42672413793104</v>
      </c>
      <c r="R131" s="482" t="n">
        <f aca="false">VLOOKUP(K131,'Fuel Curve Simulation'!$B$12:$J$258,9)</f>
        <v>4.42672413793104</v>
      </c>
      <c r="S131" s="481" t="n">
        <f aca="false">(R131*$S$2)/1000</f>
        <v>42.4035905172414</v>
      </c>
      <c r="T131" s="483"/>
      <c r="V131" s="128" t="n">
        <f aca="false">VLOOKUP(K131,PJM_01212000!$A$7:$C$259,3)</f>
        <v>37.325</v>
      </c>
      <c r="W131" s="128"/>
      <c r="X131" s="484" t="n">
        <f aca="false">'PJM Curve Simulation'!J131</f>
        <v>37.325</v>
      </c>
      <c r="Y131" s="489"/>
      <c r="Z131" s="483"/>
      <c r="AA131" s="59" t="n">
        <f aca="false">AA130</f>
        <v>315</v>
      </c>
      <c r="AB131" s="425" t="n">
        <f aca="false">AA131*F131*16</f>
        <v>115920</v>
      </c>
      <c r="AC131" s="425" t="n">
        <f aca="false">VLOOKUP(K131,'Company Volumes'!$B$20:$C$259,2)</f>
        <v>16716.8020650649</v>
      </c>
      <c r="AD131" s="485" t="n">
        <f aca="false">IF(V131&gt;S131+($AM$5*1000*O131),AA131*F131*16,0)</f>
        <v>0</v>
      </c>
      <c r="AE131" s="425"/>
      <c r="AF131" s="425" t="n">
        <v>0</v>
      </c>
      <c r="AG131" s="425" t="n">
        <v>0</v>
      </c>
      <c r="AH131" s="425" t="n">
        <f aca="false">X131*AD131</f>
        <v>0</v>
      </c>
      <c r="AI131" s="425" t="n">
        <f aca="false">SUM(AF131:AH131)</f>
        <v>0</v>
      </c>
      <c r="AJ131" s="425" t="n">
        <f aca="false">(AD131*1000*$S$2)/1000000*R131</f>
        <v>0</v>
      </c>
      <c r="AK131" s="425" t="n">
        <f aca="false">($AK$5*O131)/12</f>
        <v>65992.6333213295</v>
      </c>
      <c r="AL131" s="425" t="n">
        <f aca="false">($AL$5*O131)/12</f>
        <v>168281.21496939</v>
      </c>
      <c r="AM131" s="425" t="n">
        <f aca="false">AD131*$AM$5*1000*O131</f>
        <v>0</v>
      </c>
      <c r="AN131" s="425" t="n">
        <f aca="false">(($AN$5*O131)/12)*$S$4</f>
        <v>150903.15486144</v>
      </c>
      <c r="AO131" s="425" t="n">
        <f aca="false">($AO$5*O131)/12</f>
        <v>32996.3166606648</v>
      </c>
      <c r="AP131" s="425" t="n">
        <f aca="false">AP130</f>
        <v>46500.5582152336</v>
      </c>
      <c r="AQ131" s="433" t="n">
        <f aca="false">SUM(AK131:AP131)</f>
        <v>464673.878028058</v>
      </c>
      <c r="AR131" s="425" t="n">
        <f aca="false">($AR$5*O131)/12</f>
        <v>16498.1583303324</v>
      </c>
      <c r="AS131" s="433" t="n">
        <f aca="false">AS130</f>
        <v>30387.755</v>
      </c>
      <c r="AT131" s="425" t="n">
        <f aca="false">(AI131/100)*$AT$6*O131</f>
        <v>0</v>
      </c>
      <c r="AU131" s="433" t="n">
        <f aca="false">SUM(AJ131:AT131)-AQ131</f>
        <v>511559.791358391</v>
      </c>
      <c r="AV131" s="433" t="n">
        <f aca="false">AI131-AU131</f>
        <v>-511559.791358391</v>
      </c>
      <c r="AW131" s="493"/>
      <c r="AX131" s="423" t="n">
        <f aca="false">K131</f>
        <v>40299</v>
      </c>
      <c r="BA131" s="126"/>
      <c r="BB131" s="481" t="n">
        <f aca="false">X131</f>
        <v>37.325</v>
      </c>
      <c r="BC131" s="481" t="n">
        <f aca="false">'Curve Analysis - Base Case'!D123</f>
        <v>45.0432958500946</v>
      </c>
      <c r="BD131" s="479" t="n">
        <f aca="false">L131</f>
        <v>0.074410324519944</v>
      </c>
      <c r="BE131" s="479" t="n">
        <f aca="false">L131</f>
        <v>0.074410324519944</v>
      </c>
      <c r="BF131" s="489" t="n">
        <f aca="false">PJM_01212000!X131</f>
        <v>0.122376979047304</v>
      </c>
      <c r="BG131" s="425" t="n">
        <f aca="false">(AX131+15)-$K$1</f>
        <v>3725</v>
      </c>
      <c r="BH131" s="433" t="n">
        <f aca="false">AD131</f>
        <v>0</v>
      </c>
      <c r="BJ131" s="486" t="e">
        <f aca="false">EURO(BB131,BC131,BD131,BE131,BF131,BG131,1,0)*BH131</f>
        <v>#NAME?</v>
      </c>
      <c r="BK131" s="433" t="n">
        <f aca="false">(AI131-AJ131)*N131</f>
        <v>0</v>
      </c>
      <c r="BM131" s="433" t="e">
        <f aca="false">BJ131-BK131</f>
        <v>#NAME?</v>
      </c>
    </row>
    <row r="132" customFormat="false" ht="16.5" hidden="false" customHeight="false" outlineLevel="0" collapsed="false">
      <c r="A132" s="59" t="n">
        <f aca="false">A131+1</f>
        <v>126</v>
      </c>
      <c r="C132" s="59" t="n">
        <v>30</v>
      </c>
      <c r="D132" s="59" t="s">
        <v>168</v>
      </c>
      <c r="E132" s="125" t="n">
        <f aca="false">E131+C131</f>
        <v>40330</v>
      </c>
      <c r="F132" s="425" t="n">
        <f aca="false">F84</f>
        <v>20</v>
      </c>
      <c r="G132" s="433" t="n">
        <f aca="false">C132-F132</f>
        <v>10</v>
      </c>
      <c r="H132" s="433"/>
      <c r="I132" s="433"/>
      <c r="J132" s="59" t="n">
        <f aca="false">K133-K132</f>
        <v>30</v>
      </c>
      <c r="K132" s="478" t="n">
        <v>40330</v>
      </c>
      <c r="L132" s="490" t="n">
        <v>0.074405151071058</v>
      </c>
      <c r="M132" s="491" t="n">
        <v>0.063640554532881</v>
      </c>
      <c r="N132" s="480" t="n">
        <f aca="false">(1+L132/2)^(-2*((K132+$T$1)-$K$1)/365.25)</f>
        <v>0.469049583227549</v>
      </c>
      <c r="O132" s="127" t="n">
        <f aca="false">VLOOKUP(K132,Inflation!$B$8:$C$266,2)</f>
        <v>1.32278620698752</v>
      </c>
      <c r="P132" s="480"/>
      <c r="Q132" s="481" t="n">
        <f aca="false">VLOOKUP(K132,'Fuel Curve'!$B$11:$F$268,5)</f>
        <v>4.42017241379311</v>
      </c>
      <c r="R132" s="482" t="n">
        <f aca="false">VLOOKUP(K132,'Fuel Curve Simulation'!$B$12:$J$258,9)</f>
        <v>4.42017241379311</v>
      </c>
      <c r="S132" s="481" t="n">
        <f aca="false">(R132*$S$2)/1000</f>
        <v>42.3408315517242</v>
      </c>
      <c r="T132" s="483"/>
      <c r="V132" s="128" t="n">
        <f aca="false">VLOOKUP(K132,PJM_01212000!$A$7:$C$259,3)</f>
        <v>62.3499984741211</v>
      </c>
      <c r="W132" s="128"/>
      <c r="X132" s="484" t="n">
        <f aca="false">'PJM Curve Simulation'!J132</f>
        <v>62.3499984741211</v>
      </c>
      <c r="Y132" s="489"/>
      <c r="Z132" s="483"/>
      <c r="AA132" s="59" t="n">
        <f aca="false">AA131</f>
        <v>315</v>
      </c>
      <c r="AB132" s="425" t="n">
        <f aca="false">AA132*F132*16</f>
        <v>100800</v>
      </c>
      <c r="AC132" s="425" t="n">
        <f aca="false">VLOOKUP(K132,'Company Volumes'!$B$20:$C$259,2)</f>
        <v>32682.8763411827</v>
      </c>
      <c r="AD132" s="485" t="n">
        <f aca="false">IF(V132&gt;S132+($AM$5*1000*O132),AA132*F132*16,0)</f>
        <v>100800</v>
      </c>
      <c r="AE132" s="425"/>
      <c r="AF132" s="425" t="n">
        <v>0</v>
      </c>
      <c r="AG132" s="425" t="n">
        <v>0</v>
      </c>
      <c r="AH132" s="425" t="n">
        <f aca="false">X132*AD132</f>
        <v>6284879.84619141</v>
      </c>
      <c r="AI132" s="425" t="n">
        <f aca="false">SUM(AF132:AH132)</f>
        <v>6284879.84619141</v>
      </c>
      <c r="AJ132" s="425" t="n">
        <f aca="false">(AD132*1000*$S$2)/1000000*R132</f>
        <v>4267955.82041379</v>
      </c>
      <c r="AK132" s="425" t="n">
        <f aca="false">($AK$5*O132)/12</f>
        <v>66139.310349376</v>
      </c>
      <c r="AL132" s="425" t="n">
        <f aca="false">($AL$5*O132)/12</f>
        <v>168655.241390909</v>
      </c>
      <c r="AM132" s="425" t="n">
        <f aca="false">AD132*$AM$5*1000*O132</f>
        <v>266673.699328684</v>
      </c>
      <c r="AN132" s="425" t="n">
        <f aca="false">(($AN$5*O132)/12)*$S$4</f>
        <v>151238.55633224</v>
      </c>
      <c r="AO132" s="425" t="n">
        <f aca="false">($AO$5*O132)/12</f>
        <v>33069.655174688</v>
      </c>
      <c r="AP132" s="425" t="n">
        <f aca="false">AP131</f>
        <v>46500.5582152336</v>
      </c>
      <c r="AQ132" s="433" t="n">
        <f aca="false">SUM(AK132:AP132)</f>
        <v>732277.02079113</v>
      </c>
      <c r="AR132" s="425" t="n">
        <f aca="false">($AR$5*O132)/12</f>
        <v>16534.827587344</v>
      </c>
      <c r="AS132" s="433" t="n">
        <f aca="false">AS131</f>
        <v>30387.755</v>
      </c>
      <c r="AT132" s="425" t="n">
        <f aca="false">(AI132/100)*$AT$6*O132</f>
        <v>49881.314238695</v>
      </c>
      <c r="AU132" s="433" t="n">
        <f aca="false">SUM(AJ132:AT132)-AQ132</f>
        <v>5097036.73803096</v>
      </c>
      <c r="AV132" s="433" t="n">
        <f aca="false">AI132-AU132</f>
        <v>1187843.10816044</v>
      </c>
      <c r="AW132" s="493"/>
      <c r="AX132" s="423" t="n">
        <f aca="false">K132</f>
        <v>40330</v>
      </c>
      <c r="BA132" s="126"/>
      <c r="BB132" s="481" t="n">
        <f aca="false">X132</f>
        <v>62.3499984741211</v>
      </c>
      <c r="BC132" s="481" t="n">
        <f aca="false">'Curve Analysis - Base Case'!D124</f>
        <v>44.9864039656992</v>
      </c>
      <c r="BD132" s="479" t="n">
        <f aca="false">L132</f>
        <v>0.074405151071058</v>
      </c>
      <c r="BE132" s="479" t="n">
        <f aca="false">L132</f>
        <v>0.074405151071058</v>
      </c>
      <c r="BF132" s="489" t="n">
        <f aca="false">PJM_01212000!X132</f>
        <v>0.157341830203677</v>
      </c>
      <c r="BG132" s="425" t="n">
        <f aca="false">(AX132+15)-$K$1</f>
        <v>3756</v>
      </c>
      <c r="BH132" s="433" t="n">
        <f aca="false">AD132</f>
        <v>100800</v>
      </c>
      <c r="BJ132" s="486" t="e">
        <f aca="false">EURO(BB132,BC132,BD132,BE132,BF132,BG132,1,0)*BH132</f>
        <v>#NAME?</v>
      </c>
      <c r="BK132" s="433" t="n">
        <f aca="false">(AI132-AJ132)*N132</f>
        <v>946037.37369262</v>
      </c>
      <c r="BM132" s="433" t="e">
        <f aca="false">BJ132-BK132</f>
        <v>#NAME?</v>
      </c>
    </row>
    <row r="133" customFormat="false" ht="16.5" hidden="false" customHeight="false" outlineLevel="0" collapsed="false">
      <c r="A133" s="59" t="n">
        <f aca="false">A132+1</f>
        <v>127</v>
      </c>
      <c r="C133" s="59" t="n">
        <v>31</v>
      </c>
      <c r="D133" s="59" t="s">
        <v>169</v>
      </c>
      <c r="E133" s="125" t="n">
        <f aca="false">E132+C132</f>
        <v>40360</v>
      </c>
      <c r="F133" s="425" t="n">
        <f aca="false">F85</f>
        <v>23</v>
      </c>
      <c r="G133" s="433" t="n">
        <f aca="false">C133-F133</f>
        <v>8</v>
      </c>
      <c r="H133" s="433"/>
      <c r="I133" s="433"/>
      <c r="J133" s="59" t="n">
        <f aca="false">K134-K133</f>
        <v>31</v>
      </c>
      <c r="K133" s="478" t="n">
        <v>40360</v>
      </c>
      <c r="L133" s="490" t="n">
        <v>0.074400144507628</v>
      </c>
      <c r="M133" s="491" t="n">
        <v>0.063651792115327</v>
      </c>
      <c r="N133" s="480" t="n">
        <f aca="false">(1+L133/2)^(-2*((K133+$T$1)-$K$1)/365.25)</f>
        <v>0.466267046239798</v>
      </c>
      <c r="O133" s="127" t="n">
        <f aca="false">VLOOKUP(K133,Inflation!$B$8:$C$266,2)</f>
        <v>1.32572626771577</v>
      </c>
      <c r="P133" s="480"/>
      <c r="Q133" s="481" t="n">
        <f aca="false">VLOOKUP(K133,'Fuel Curve'!$B$11:$F$268,5)</f>
        <v>4.47741379310345</v>
      </c>
      <c r="R133" s="482" t="n">
        <f aca="false">VLOOKUP(K133,'Fuel Curve Simulation'!$B$12:$J$258,9)</f>
        <v>4.47741379310345</v>
      </c>
      <c r="S133" s="481" t="n">
        <f aca="false">(R133*$S$2)/1000</f>
        <v>42.8891467241379</v>
      </c>
      <c r="T133" s="483"/>
      <c r="V133" s="128" t="n">
        <f aca="false">VLOOKUP(K133,PJM_01212000!$A$7:$C$259,3)</f>
        <v>106.949996948242</v>
      </c>
      <c r="W133" s="128"/>
      <c r="X133" s="484" t="n">
        <f aca="false">'PJM Curve Simulation'!J133</f>
        <v>106.949996948242</v>
      </c>
      <c r="Y133" s="489"/>
      <c r="Z133" s="483"/>
      <c r="AA133" s="59" t="n">
        <f aca="false">AA132</f>
        <v>315</v>
      </c>
      <c r="AB133" s="425" t="n">
        <f aca="false">AA133*F133*16</f>
        <v>115920</v>
      </c>
      <c r="AC133" s="425" t="n">
        <f aca="false">VLOOKUP(K133,'Company Volumes'!$B$20:$C$259,2)</f>
        <v>51393.1508481658</v>
      </c>
      <c r="AD133" s="485" t="n">
        <f aca="false">IF(V133&gt;S133+($AM$5*1000*O133),AA133*F133*16,0)</f>
        <v>115920</v>
      </c>
      <c r="AE133" s="425"/>
      <c r="AF133" s="425" t="n">
        <v>0</v>
      </c>
      <c r="AG133" s="425" t="n">
        <v>0</v>
      </c>
      <c r="AH133" s="425" t="n">
        <f aca="false">X133*AD133</f>
        <v>12397643.6462402</v>
      </c>
      <c r="AI133" s="425" t="n">
        <f aca="false">SUM(AF133:AH133)</f>
        <v>12397643.6462402</v>
      </c>
      <c r="AJ133" s="425" t="n">
        <f aca="false">(AD133*1000*$S$2)/1000000*R133</f>
        <v>4971709.88826207</v>
      </c>
      <c r="AK133" s="425" t="n">
        <f aca="false">($AK$5*O133)/12</f>
        <v>66286.3133857885</v>
      </c>
      <c r="AL133" s="425" t="n">
        <f aca="false">($AL$5*O133)/12</f>
        <v>169030.099133761</v>
      </c>
      <c r="AM133" s="425" t="n">
        <f aca="false">AD133*$AM$5*1000*O133</f>
        <v>307356.377907224</v>
      </c>
      <c r="AN133" s="425" t="n">
        <f aca="false">(($AN$5*O133)/12)*$S$4</f>
        <v>151574.703275503</v>
      </c>
      <c r="AO133" s="425" t="n">
        <f aca="false">($AO$5*O133)/12</f>
        <v>33143.1566928942</v>
      </c>
      <c r="AP133" s="425" t="n">
        <f aca="false">AP132</f>
        <v>46500.5582152336</v>
      </c>
      <c r="AQ133" s="433" t="n">
        <f aca="false">SUM(AK133:AP133)</f>
        <v>773891.208610404</v>
      </c>
      <c r="AR133" s="425" t="n">
        <f aca="false">($AR$5*O133)/12</f>
        <v>16571.5783464471</v>
      </c>
      <c r="AS133" s="433" t="n">
        <f aca="false">AS132</f>
        <v>30387.755</v>
      </c>
      <c r="AT133" s="425" t="n">
        <f aca="false">(AI133/100)*$AT$6*O133</f>
        <v>98615.2910376012</v>
      </c>
      <c r="AU133" s="433" t="n">
        <f aca="false">SUM(AJ133:AT133)-AQ133</f>
        <v>5891175.72125652</v>
      </c>
      <c r="AV133" s="433" t="n">
        <f aca="false">AI133-AU133</f>
        <v>6506467.92498371</v>
      </c>
      <c r="AW133" s="493"/>
      <c r="AX133" s="423" t="n">
        <f aca="false">K133</f>
        <v>40360</v>
      </c>
      <c r="BA133" s="126"/>
      <c r="BB133" s="481" t="n">
        <f aca="false">X133</f>
        <v>106.949996948242</v>
      </c>
      <c r="BC133" s="481" t="n">
        <f aca="false">'Curve Analysis - Base Case'!D125</f>
        <v>45.5405992595695</v>
      </c>
      <c r="BD133" s="479" t="n">
        <f aca="false">L133</f>
        <v>0.074400144507628</v>
      </c>
      <c r="BE133" s="479" t="n">
        <f aca="false">L133</f>
        <v>0.074400144507628</v>
      </c>
      <c r="BF133" s="489" t="n">
        <f aca="false">PJM_01212000!X133</f>
        <v>0.19230668136005</v>
      </c>
      <c r="BG133" s="425" t="n">
        <f aca="false">(AX133+15)-$K$1</f>
        <v>3786</v>
      </c>
      <c r="BH133" s="433" t="n">
        <f aca="false">AD133</f>
        <v>115920</v>
      </c>
      <c r="BJ133" s="486" t="e">
        <f aca="false">EURO(BB133,BC133,BD133,BE133,BF133,BG133,1,0)*BH133</f>
        <v>#NAME?</v>
      </c>
      <c r="BK133" s="433" t="n">
        <f aca="false">(AI133-AJ133)*N133</f>
        <v>3462468.19890488</v>
      </c>
      <c r="BM133" s="433" t="e">
        <f aca="false">BJ133-BK133</f>
        <v>#NAME?</v>
      </c>
    </row>
    <row r="134" customFormat="false" ht="16.5" hidden="false" customHeight="false" outlineLevel="0" collapsed="false">
      <c r="A134" s="59" t="n">
        <f aca="false">A133+1</f>
        <v>128</v>
      </c>
      <c r="C134" s="59" t="n">
        <v>31</v>
      </c>
      <c r="D134" s="59" t="s">
        <v>170</v>
      </c>
      <c r="E134" s="125" t="n">
        <f aca="false">E133+C133</f>
        <v>40391</v>
      </c>
      <c r="F134" s="425" t="n">
        <f aca="false">F86</f>
        <v>22</v>
      </c>
      <c r="G134" s="433" t="n">
        <f aca="false">C134-F134</f>
        <v>9</v>
      </c>
      <c r="H134" s="433"/>
      <c r="I134" s="433"/>
      <c r="J134" s="59" t="n">
        <f aca="false">K135-K134</f>
        <v>31</v>
      </c>
      <c r="K134" s="478" t="n">
        <v>40391</v>
      </c>
      <c r="L134" s="490" t="n">
        <v>0.07439497105876</v>
      </c>
      <c r="M134" s="491" t="n">
        <v>0.063663404284779</v>
      </c>
      <c r="N134" s="480" t="n">
        <f aca="false">(1+L134/2)^(-2*((K134+$T$1)-$K$1)/365.25)</f>
        <v>0.463409484284822</v>
      </c>
      <c r="O134" s="127" t="n">
        <f aca="false">VLOOKUP(K134,Inflation!$B$8:$C$266,2)</f>
        <v>1.32867286310324</v>
      </c>
      <c r="P134" s="480"/>
      <c r="Q134" s="481" t="n">
        <f aca="false">VLOOKUP(K134,'Fuel Curve'!$B$11:$F$268,5)</f>
        <v>4.56793103448276</v>
      </c>
      <c r="R134" s="482" t="n">
        <f aca="false">VLOOKUP(K134,'Fuel Curve Simulation'!$B$12:$J$258,9)</f>
        <v>4.56793103448276</v>
      </c>
      <c r="S134" s="481" t="n">
        <f aca="false">(R134*$S$2)/1000</f>
        <v>43.7562113793104</v>
      </c>
      <c r="T134" s="483"/>
      <c r="V134" s="128" t="n">
        <f aca="false">VLOOKUP(K134,PJM_01212000!$A$7:$C$259,3)</f>
        <v>93.9499969482422</v>
      </c>
      <c r="W134" s="128"/>
      <c r="X134" s="484" t="n">
        <f aca="false">'PJM Curve Simulation'!J134</f>
        <v>93.9499969482422</v>
      </c>
      <c r="Y134" s="489"/>
      <c r="Z134" s="483"/>
      <c r="AA134" s="59" t="n">
        <f aca="false">AA133</f>
        <v>315</v>
      </c>
      <c r="AB134" s="425" t="n">
        <f aca="false">AA134*F134*16</f>
        <v>110880</v>
      </c>
      <c r="AC134" s="425" t="n">
        <f aca="false">VLOOKUP(K134,'Company Volumes'!$B$20:$C$259,2)</f>
        <v>34262.1005651151</v>
      </c>
      <c r="AD134" s="485" t="n">
        <f aca="false">IF(V134&gt;S134+($AM$5*1000*O134),AA134*F134*16,0)</f>
        <v>110880</v>
      </c>
      <c r="AE134" s="425"/>
      <c r="AF134" s="425" t="n">
        <v>0</v>
      </c>
      <c r="AG134" s="425" t="n">
        <v>0</v>
      </c>
      <c r="AH134" s="425" t="n">
        <f aca="false">X134*AD134</f>
        <v>10417175.6616211</v>
      </c>
      <c r="AI134" s="425" t="n">
        <f aca="false">SUM(AF134:AH134)</f>
        <v>10417175.6616211</v>
      </c>
      <c r="AJ134" s="425" t="n">
        <f aca="false">(AD134*1000*$S$2)/1000000*R134</f>
        <v>4851688.71773793</v>
      </c>
      <c r="AK134" s="425" t="n">
        <f aca="false">($AK$5*O134)/12</f>
        <v>66433.6431551621</v>
      </c>
      <c r="AL134" s="425" t="n">
        <f aca="false">($AL$5*O134)/12</f>
        <v>169405.790045663</v>
      </c>
      <c r="AM134" s="425" t="n">
        <f aca="false">AD134*$AM$5*1000*O134</f>
        <v>294646.494121775</v>
      </c>
      <c r="AN134" s="425" t="n">
        <f aca="false">(($AN$5*O134)/12)*$S$4</f>
        <v>151911.597348137</v>
      </c>
      <c r="AO134" s="425" t="n">
        <f aca="false">($AO$5*O134)/12</f>
        <v>33216.821577581</v>
      </c>
      <c r="AP134" s="425" t="n">
        <f aca="false">AP133</f>
        <v>46500.5582152336</v>
      </c>
      <c r="AQ134" s="433" t="n">
        <f aca="false">SUM(AK134:AP134)</f>
        <v>762114.904463552</v>
      </c>
      <c r="AR134" s="425" t="n">
        <f aca="false">($AR$5*O134)/12</f>
        <v>16608.4107887905</v>
      </c>
      <c r="AS134" s="433" t="n">
        <f aca="false">AS133</f>
        <v>30387.755</v>
      </c>
      <c r="AT134" s="425" t="n">
        <f aca="false">(AI134/100)*$AT$6*O134</f>
        <v>83046.111670653</v>
      </c>
      <c r="AU134" s="433" t="n">
        <f aca="false">SUM(AJ134:AT134)-AQ134</f>
        <v>5743845.89966093</v>
      </c>
      <c r="AV134" s="433" t="n">
        <f aca="false">AI134-AU134</f>
        <v>4673329.76196017</v>
      </c>
      <c r="AW134" s="493"/>
      <c r="AX134" s="423" t="n">
        <f aca="false">K134</f>
        <v>40391</v>
      </c>
      <c r="BA134" s="126"/>
      <c r="BB134" s="481" t="n">
        <f aca="false">X134</f>
        <v>93.9499969482422</v>
      </c>
      <c r="BC134" s="481" t="n">
        <f aca="false">'Curve Analysis - Base Case'!D126</f>
        <v>46.4135571055168</v>
      </c>
      <c r="BD134" s="479" t="n">
        <f aca="false">L134</f>
        <v>0.07439497105876</v>
      </c>
      <c r="BE134" s="479" t="n">
        <f aca="false">L134</f>
        <v>0.07439497105876</v>
      </c>
      <c r="BF134" s="489" t="n">
        <f aca="false">PJM_01212000!X134</f>
        <v>0.19230668136005</v>
      </c>
      <c r="BG134" s="425" t="n">
        <f aca="false">(AX134+15)-$K$1</f>
        <v>3817</v>
      </c>
      <c r="BH134" s="433" t="n">
        <f aca="false">AD134</f>
        <v>110880</v>
      </c>
      <c r="BJ134" s="486" t="e">
        <f aca="false">EURO(BB134,BC134,BD134,BE134,BF134,BG134,1,0)*BH134</f>
        <v>#NAME?</v>
      </c>
      <c r="BK134" s="433" t="n">
        <f aca="false">(AI134-AJ134)*N134</f>
        <v>2579099.4344588</v>
      </c>
      <c r="BM134" s="433" t="e">
        <f aca="false">BJ134-BK134</f>
        <v>#NAME?</v>
      </c>
    </row>
    <row r="135" customFormat="false" ht="16.5" hidden="false" customHeight="false" outlineLevel="0" collapsed="false">
      <c r="A135" s="59" t="n">
        <f aca="false">A134+1</f>
        <v>129</v>
      </c>
      <c r="C135" s="59" t="n">
        <v>30</v>
      </c>
      <c r="D135" s="59" t="s">
        <v>171</v>
      </c>
      <c r="E135" s="125" t="n">
        <f aca="false">E134+C134</f>
        <v>40422</v>
      </c>
      <c r="F135" s="425" t="n">
        <f aca="false">F87</f>
        <v>21</v>
      </c>
      <c r="G135" s="433" t="n">
        <f aca="false">C135-F135</f>
        <v>9</v>
      </c>
      <c r="H135" s="433"/>
      <c r="I135" s="433"/>
      <c r="J135" s="59" t="n">
        <f aca="false">K136-K135</f>
        <v>30</v>
      </c>
      <c r="K135" s="478" t="n">
        <v>40422</v>
      </c>
      <c r="L135" s="490" t="n">
        <v>0.0743897976099</v>
      </c>
      <c r="M135" s="491" t="n">
        <v>0.06367501645517</v>
      </c>
      <c r="N135" s="480" t="n">
        <f aca="false">(1+L135/2)^(-2*((K135+$T$1)-$K$1)/365.25)</f>
        <v>0.46056982518633</v>
      </c>
      <c r="O135" s="127" t="n">
        <f aca="false">VLOOKUP(K135,Inflation!$B$8:$C$266,2)</f>
        <v>1.33162600767405</v>
      </c>
      <c r="P135" s="480"/>
      <c r="Q135" s="481" t="n">
        <f aca="false">VLOOKUP(K135,'Fuel Curve'!$B$11:$F$268,5)</f>
        <v>4.66275862068966</v>
      </c>
      <c r="R135" s="482" t="n">
        <f aca="false">VLOOKUP(K135,'Fuel Curve Simulation'!$B$12:$J$258,9)</f>
        <v>4.66275862068966</v>
      </c>
      <c r="S135" s="481" t="n">
        <f aca="false">(R135*$S$2)/1000</f>
        <v>44.6645648275862</v>
      </c>
      <c r="T135" s="483"/>
      <c r="V135" s="128" t="n">
        <f aca="false">VLOOKUP(K135,PJM_01212000!$A$7:$C$259,3)</f>
        <v>36.4249984741211</v>
      </c>
      <c r="W135" s="128"/>
      <c r="X135" s="484" t="n">
        <f aca="false">'PJM Curve Simulation'!J135</f>
        <v>36.4249984741211</v>
      </c>
      <c r="Y135" s="489"/>
      <c r="Z135" s="483"/>
      <c r="AA135" s="59" t="n">
        <f aca="false">AA134</f>
        <v>315</v>
      </c>
      <c r="AB135" s="425" t="n">
        <f aca="false">AA135*F135*16</f>
        <v>105840</v>
      </c>
      <c r="AC135" s="425" t="n">
        <f aca="false">VLOOKUP(K135,'Company Volumes'!$B$20:$C$259,2)</f>
        <v>20431.6469685222</v>
      </c>
      <c r="AD135" s="485" t="n">
        <f aca="false">IF(V135&gt;S135+($AM$5*1000*O135),AA135*F135*16,0)</f>
        <v>0</v>
      </c>
      <c r="AE135" s="425"/>
      <c r="AF135" s="425" t="n">
        <v>0</v>
      </c>
      <c r="AG135" s="425" t="n">
        <v>0</v>
      </c>
      <c r="AH135" s="425" t="n">
        <f aca="false">X135*AD135</f>
        <v>0</v>
      </c>
      <c r="AI135" s="425" t="n">
        <f aca="false">SUM(AF135:AH135)</f>
        <v>0</v>
      </c>
      <c r="AJ135" s="425" t="n">
        <f aca="false">(AD135*1000*$S$2)/1000000*R135</f>
        <v>0</v>
      </c>
      <c r="AK135" s="425" t="n">
        <f aca="false">($AK$5*O135)/12</f>
        <v>66581.3003837023</v>
      </c>
      <c r="AL135" s="425" t="n">
        <f aca="false">($AL$5*O135)/12</f>
        <v>169782.315978441</v>
      </c>
      <c r="AM135" s="425" t="n">
        <f aca="false">AD135*$AM$5*1000*O135</f>
        <v>0</v>
      </c>
      <c r="AN135" s="425" t="n">
        <f aca="false">(($AN$5*O135)/12)*$S$4</f>
        <v>152249.240210733</v>
      </c>
      <c r="AO135" s="425" t="n">
        <f aca="false">($AO$5*O135)/12</f>
        <v>33290.6501918511</v>
      </c>
      <c r="AP135" s="425" t="n">
        <f aca="false">AP134</f>
        <v>46500.5582152336</v>
      </c>
      <c r="AQ135" s="433" t="n">
        <f aca="false">SUM(AK135:AP135)</f>
        <v>468404.06497996</v>
      </c>
      <c r="AR135" s="425" t="n">
        <f aca="false">($AR$5*O135)/12</f>
        <v>16645.3250959256</v>
      </c>
      <c r="AS135" s="433" t="n">
        <f aca="false">AS134</f>
        <v>30387.755</v>
      </c>
      <c r="AT135" s="425" t="n">
        <f aca="false">(AI135/100)*$AT$6*O135</f>
        <v>0</v>
      </c>
      <c r="AU135" s="433" t="n">
        <f aca="false">SUM(AJ135:AT135)-AQ135</f>
        <v>515437.145075886</v>
      </c>
      <c r="AV135" s="433" t="n">
        <f aca="false">AI135-AU135</f>
        <v>-515437.145075886</v>
      </c>
      <c r="AW135" s="493"/>
      <c r="AX135" s="423" t="n">
        <f aca="false">K135</f>
        <v>40422</v>
      </c>
      <c r="BA135" s="126"/>
      <c r="BB135" s="481" t="n">
        <f aca="false">X135</f>
        <v>36.4249984741211</v>
      </c>
      <c r="BC135" s="481" t="n">
        <f aca="false">'Curve Analysis - Base Case'!D127</f>
        <v>47.3278168429343</v>
      </c>
      <c r="BD135" s="479" t="n">
        <f aca="false">L135</f>
        <v>0.0743897976099</v>
      </c>
      <c r="BE135" s="479" t="n">
        <f aca="false">L135</f>
        <v>0.0743897976099</v>
      </c>
      <c r="BF135" s="489" t="n">
        <f aca="false">PJM_01212000!X135</f>
        <v>0.123613110148792</v>
      </c>
      <c r="BG135" s="425" t="n">
        <f aca="false">(AX135+15)-$K$1</f>
        <v>3848</v>
      </c>
      <c r="BH135" s="433" t="n">
        <f aca="false">AD135</f>
        <v>0</v>
      </c>
      <c r="BJ135" s="486" t="e">
        <f aca="false">EURO(BB135,BC135,BD135,BE135,BF135,BG135,1,0)*BH135</f>
        <v>#NAME?</v>
      </c>
      <c r="BK135" s="433" t="n">
        <f aca="false">(AI135-AJ135)*N135</f>
        <v>0</v>
      </c>
      <c r="BM135" s="433" t="e">
        <f aca="false">BJ135-BK135</f>
        <v>#NAME?</v>
      </c>
    </row>
    <row r="136" customFormat="false" ht="16.5" hidden="false" customHeight="false" outlineLevel="0" collapsed="false">
      <c r="A136" s="59" t="n">
        <f aca="false">A135+1</f>
        <v>130</v>
      </c>
      <c r="C136" s="59" t="n">
        <v>31</v>
      </c>
      <c r="D136" s="59" t="s">
        <v>172</v>
      </c>
      <c r="E136" s="125" t="n">
        <f aca="false">E135+C135</f>
        <v>40452</v>
      </c>
      <c r="F136" s="425" t="n">
        <f aca="false">F88</f>
        <v>23</v>
      </c>
      <c r="G136" s="433" t="n">
        <f aca="false">C136-F136</f>
        <v>8</v>
      </c>
      <c r="H136" s="433"/>
      <c r="I136" s="433"/>
      <c r="J136" s="59" t="n">
        <f aca="false">K137-K136</f>
        <v>31</v>
      </c>
      <c r="K136" s="478" t="n">
        <v>40452</v>
      </c>
      <c r="L136" s="490" t="n">
        <v>0.074384791046497</v>
      </c>
      <c r="M136" s="491" t="n">
        <v>0.063686254040313</v>
      </c>
      <c r="N136" s="480" t="n">
        <f aca="false">(1+L136/2)^(-2*((K136+$T$1)-$K$1)/365.25)</f>
        <v>0.45783870604791</v>
      </c>
      <c r="O136" s="127" t="n">
        <f aca="false">VLOOKUP(K136,Inflation!$B$8:$C$266,2)</f>
        <v>1.33458571598458</v>
      </c>
      <c r="P136" s="480"/>
      <c r="Q136" s="481" t="n">
        <f aca="false">VLOOKUP(K136,'Fuel Curve'!$B$11:$F$268,5)</f>
        <v>4.75534482758621</v>
      </c>
      <c r="R136" s="482" t="n">
        <f aca="false">VLOOKUP(K136,'Fuel Curve Simulation'!$B$12:$J$258,9)</f>
        <v>4.75534482758621</v>
      </c>
      <c r="S136" s="481" t="n">
        <f aca="false">(R136*$S$2)/1000</f>
        <v>45.5514481034483</v>
      </c>
      <c r="T136" s="483"/>
      <c r="V136" s="128" t="n">
        <f aca="false">VLOOKUP(K136,PJM_01212000!$A$7:$C$259,3)</f>
        <v>30.0750003814697</v>
      </c>
      <c r="W136" s="128"/>
      <c r="X136" s="484" t="n">
        <f aca="false">'PJM Curve Simulation'!J136</f>
        <v>30.0750003814697</v>
      </c>
      <c r="Y136" s="489"/>
      <c r="Z136" s="483"/>
      <c r="AA136" s="59" t="n">
        <f aca="false">AA135</f>
        <v>315</v>
      </c>
      <c r="AB136" s="425" t="n">
        <f aca="false">AA136*F136*16</f>
        <v>115920</v>
      </c>
      <c r="AC136" s="425" t="n">
        <f aca="false">VLOOKUP(K136,'Company Volumes'!$B$20:$C$259,2)</f>
        <v>3440.11503923111</v>
      </c>
      <c r="AD136" s="485" t="n">
        <f aca="false">IF(V136&gt;S136+($AM$5*1000*O136),AA136*F136*16,0)</f>
        <v>0</v>
      </c>
      <c r="AE136" s="425"/>
      <c r="AF136" s="425" t="n">
        <v>0</v>
      </c>
      <c r="AG136" s="425" t="n">
        <v>0</v>
      </c>
      <c r="AH136" s="425" t="n">
        <f aca="false">X136*AD136</f>
        <v>0</v>
      </c>
      <c r="AI136" s="425" t="n">
        <f aca="false">SUM(AF136:AH136)</f>
        <v>0</v>
      </c>
      <c r="AJ136" s="425" t="n">
        <f aca="false">(AD136*1000*$S$2)/1000000*R136</f>
        <v>0</v>
      </c>
      <c r="AK136" s="425" t="n">
        <f aca="false">($AK$5*O136)/12</f>
        <v>66729.2857992289</v>
      </c>
      <c r="AL136" s="425" t="n">
        <f aca="false">($AL$5*O136)/12</f>
        <v>170159.678788034</v>
      </c>
      <c r="AM136" s="425" t="n">
        <f aca="false">AD136*$AM$5*1000*O136</f>
        <v>0</v>
      </c>
      <c r="AN136" s="425" t="n">
        <f aca="false">(($AN$5*O136)/12)*$S$4</f>
        <v>152587.63352757</v>
      </c>
      <c r="AO136" s="425" t="n">
        <f aca="false">($AO$5*O136)/12</f>
        <v>33364.6428996145</v>
      </c>
      <c r="AP136" s="425" t="n">
        <f aca="false">AP135</f>
        <v>46500.5582152336</v>
      </c>
      <c r="AQ136" s="433" t="n">
        <f aca="false">SUM(AK136:AP136)</f>
        <v>469341.799229681</v>
      </c>
      <c r="AR136" s="425" t="n">
        <f aca="false">($AR$5*O136)/12</f>
        <v>16682.3214498072</v>
      </c>
      <c r="AS136" s="433" t="n">
        <f aca="false">AS135</f>
        <v>30387.755</v>
      </c>
      <c r="AT136" s="425" t="n">
        <f aca="false">(AI136/100)*$AT$6*O136</f>
        <v>0</v>
      </c>
      <c r="AU136" s="433" t="n">
        <f aca="false">SUM(AJ136:AT136)-AQ136</f>
        <v>516411.875679488</v>
      </c>
      <c r="AV136" s="433" t="n">
        <f aca="false">AI136-AU136</f>
        <v>-516411.875679488</v>
      </c>
      <c r="AW136" s="493"/>
      <c r="AX136" s="423" t="n">
        <f aca="false">K136</f>
        <v>40452</v>
      </c>
      <c r="BA136" s="126"/>
      <c r="BB136" s="481" t="n">
        <f aca="false">X136</f>
        <v>30.0750003814697</v>
      </c>
      <c r="BC136" s="481" t="n">
        <f aca="false">'Curve Analysis - Base Case'!D128</f>
        <v>48.2206195354174</v>
      </c>
      <c r="BD136" s="479" t="n">
        <f aca="false">L136</f>
        <v>0.074384791046497</v>
      </c>
      <c r="BE136" s="479" t="n">
        <f aca="false">L136</f>
        <v>0.074384791046497</v>
      </c>
      <c r="BF136" s="489" t="n">
        <f aca="false">PJM_01212000!X136</f>
        <v>0.0874121278909317</v>
      </c>
      <c r="BG136" s="425" t="n">
        <f aca="false">(AX136+15)-$K$1</f>
        <v>3878</v>
      </c>
      <c r="BH136" s="433" t="n">
        <f aca="false">AD136</f>
        <v>0</v>
      </c>
      <c r="BJ136" s="486" t="e">
        <f aca="false">EURO(BB136,BC136,BD136,BE136,BF136,BG136,1,0)*BH136</f>
        <v>#NAME?</v>
      </c>
      <c r="BK136" s="433" t="n">
        <f aca="false">(AI136-AJ136)*N136</f>
        <v>0</v>
      </c>
      <c r="BM136" s="433" t="e">
        <f aca="false">BJ136-BK136</f>
        <v>#NAME?</v>
      </c>
    </row>
    <row r="137" customFormat="false" ht="16.5" hidden="false" customHeight="false" outlineLevel="0" collapsed="false">
      <c r="A137" s="59" t="n">
        <f aca="false">A136+1</f>
        <v>131</v>
      </c>
      <c r="C137" s="59" t="n">
        <v>30</v>
      </c>
      <c r="D137" s="59" t="s">
        <v>173</v>
      </c>
      <c r="E137" s="125" t="n">
        <f aca="false">E136+C136</f>
        <v>40483</v>
      </c>
      <c r="F137" s="425" t="n">
        <f aca="false">F89</f>
        <v>21</v>
      </c>
      <c r="G137" s="433" t="n">
        <f aca="false">C137-F137</f>
        <v>9</v>
      </c>
      <c r="H137" s="433"/>
      <c r="I137" s="433"/>
      <c r="J137" s="59" t="n">
        <f aca="false">K138-K137</f>
        <v>30</v>
      </c>
      <c r="K137" s="478" t="n">
        <v>40483</v>
      </c>
      <c r="L137" s="490" t="n">
        <v>0.074379617597654</v>
      </c>
      <c r="M137" s="491" t="n">
        <v>0.063697866212553</v>
      </c>
      <c r="N137" s="480" t="n">
        <f aca="false">(1+L137/2)^(-2*((K137+$T$1)-$K$1)/365.25)</f>
        <v>0.455033941535936</v>
      </c>
      <c r="O137" s="127" t="n">
        <f aca="false">VLOOKUP(K137,Inflation!$B$8:$C$266,2)</f>
        <v>1.33755200262358</v>
      </c>
      <c r="P137" s="480"/>
      <c r="Q137" s="481" t="n">
        <f aca="false">VLOOKUP(K137,'Fuel Curve'!$B$11:$F$268,5)</f>
        <v>4.80465517241379</v>
      </c>
      <c r="R137" s="482" t="n">
        <f aca="false">VLOOKUP(K137,'Fuel Curve Simulation'!$B$12:$J$258,9)</f>
        <v>4.80465517241379</v>
      </c>
      <c r="S137" s="481" t="n">
        <f aca="false">(R137*$S$2)/1000</f>
        <v>46.0237918965517</v>
      </c>
      <c r="T137" s="483"/>
      <c r="V137" s="128" t="n">
        <f aca="false">VLOOKUP(K137,PJM_01212000!$A$7:$C$259,3)</f>
        <v>29.7474990844727</v>
      </c>
      <c r="W137" s="128"/>
      <c r="X137" s="484" t="n">
        <f aca="false">'PJM Curve Simulation'!J137</f>
        <v>29.7474990844727</v>
      </c>
      <c r="Y137" s="489"/>
      <c r="Z137" s="483"/>
      <c r="AA137" s="59" t="n">
        <f aca="false">AA136</f>
        <v>315</v>
      </c>
      <c r="AB137" s="425" t="n">
        <f aca="false">AA137*F137*16</f>
        <v>105840</v>
      </c>
      <c r="AC137" s="425" t="n">
        <f aca="false">VLOOKUP(K137,'Company Volumes'!$B$20:$C$259,2)</f>
        <v>8417.26740124044</v>
      </c>
      <c r="AD137" s="485" t="n">
        <f aca="false">IF(V137&gt;S137+($AM$5*1000*O137),AA137*F137*16,0)</f>
        <v>0</v>
      </c>
      <c r="AE137" s="425"/>
      <c r="AF137" s="425" t="n">
        <v>0</v>
      </c>
      <c r="AG137" s="425" t="n">
        <v>0</v>
      </c>
      <c r="AH137" s="425" t="n">
        <f aca="false">X137*AD137</f>
        <v>0</v>
      </c>
      <c r="AI137" s="425" t="n">
        <f aca="false">SUM(AF137:AH137)</f>
        <v>0</v>
      </c>
      <c r="AJ137" s="425" t="n">
        <f aca="false">(AD137*1000*$S$2)/1000000*R137</f>
        <v>0</v>
      </c>
      <c r="AK137" s="425" t="n">
        <f aca="false">($AK$5*O137)/12</f>
        <v>66877.6001311792</v>
      </c>
      <c r="AL137" s="425" t="n">
        <f aca="false">($AL$5*O137)/12</f>
        <v>170537.880334507</v>
      </c>
      <c r="AM137" s="425" t="n">
        <f aca="false">AD137*$AM$5*1000*O137</f>
        <v>0</v>
      </c>
      <c r="AN137" s="425" t="n">
        <f aca="false">(($AN$5*O137)/12)*$S$4</f>
        <v>152926.77896663</v>
      </c>
      <c r="AO137" s="425" t="n">
        <f aca="false">($AO$5*O137)/12</f>
        <v>33438.8000655896</v>
      </c>
      <c r="AP137" s="425" t="n">
        <f aca="false">AP136</f>
        <v>46500.5582152336</v>
      </c>
      <c r="AQ137" s="433" t="n">
        <f aca="false">SUM(AK137:AP137)</f>
        <v>470281.617713139</v>
      </c>
      <c r="AR137" s="425" t="n">
        <f aca="false">($AR$5*O137)/12</f>
        <v>16719.4000327948</v>
      </c>
      <c r="AS137" s="433" t="n">
        <f aca="false">AS136</f>
        <v>30387.755</v>
      </c>
      <c r="AT137" s="425" t="n">
        <f aca="false">(AI137/100)*$AT$6*O137</f>
        <v>0</v>
      </c>
      <c r="AU137" s="433" t="n">
        <f aca="false">SUM(AJ137:AT137)-AQ137</f>
        <v>517388.772745934</v>
      </c>
      <c r="AV137" s="433" t="n">
        <f aca="false">AI137-AU137</f>
        <v>-517388.772745934</v>
      </c>
      <c r="AW137" s="493"/>
      <c r="AX137" s="423" t="n">
        <f aca="false">K137</f>
        <v>40483</v>
      </c>
      <c r="BA137" s="126"/>
      <c r="BB137" s="481" t="n">
        <f aca="false">X137</f>
        <v>29.7474990844727</v>
      </c>
      <c r="BC137" s="481" t="n">
        <f aca="false">'Curve Analysis - Base Case'!D129</f>
        <v>48.6988959017989</v>
      </c>
      <c r="BD137" s="479" t="n">
        <f aca="false">L137</f>
        <v>0.074379617597654</v>
      </c>
      <c r="BE137" s="479" t="n">
        <f aca="false">L137</f>
        <v>0.074379617597654</v>
      </c>
      <c r="BF137" s="489" t="n">
        <f aca="false">PJM_01212000!X137</f>
        <v>0.0874121278909317</v>
      </c>
      <c r="BG137" s="425" t="n">
        <f aca="false">(AX137+15)-$K$1</f>
        <v>3909</v>
      </c>
      <c r="BH137" s="433" t="n">
        <f aca="false">AD137</f>
        <v>0</v>
      </c>
      <c r="BJ137" s="486" t="e">
        <f aca="false">EURO(BB137,BC137,BD137,BE137,BF137,BG137,1,0)*BH137</f>
        <v>#NAME?</v>
      </c>
      <c r="BK137" s="433" t="n">
        <f aca="false">(AI137-AJ137)*N137</f>
        <v>0</v>
      </c>
      <c r="BM137" s="433" t="e">
        <f aca="false">BJ137-BK137</f>
        <v>#NAME?</v>
      </c>
    </row>
    <row r="138" customFormat="false" ht="16.5" hidden="false" customHeight="false" outlineLevel="0" collapsed="false">
      <c r="A138" s="59" t="n">
        <f aca="false">A137+1</f>
        <v>132</v>
      </c>
      <c r="C138" s="59" t="n">
        <v>31</v>
      </c>
      <c r="D138" s="59" t="s">
        <v>174</v>
      </c>
      <c r="E138" s="125" t="n">
        <f aca="false">E137+C137</f>
        <v>40513</v>
      </c>
      <c r="F138" s="425" t="n">
        <f aca="false">F90</f>
        <v>22</v>
      </c>
      <c r="G138" s="433" t="n">
        <f aca="false">C138-F138</f>
        <v>9</v>
      </c>
      <c r="H138" s="433" t="n">
        <f aca="false">SUM(F127:G138)</f>
        <v>365</v>
      </c>
      <c r="I138" s="433"/>
      <c r="J138" s="59" t="n">
        <f aca="false">K139-K138</f>
        <v>31</v>
      </c>
      <c r="K138" s="478" t="n">
        <v>40513</v>
      </c>
      <c r="L138" s="490" t="n">
        <v>0.074374611034267</v>
      </c>
      <c r="M138" s="491" t="n">
        <v>0.063709103799484</v>
      </c>
      <c r="N138" s="480" t="n">
        <f aca="false">(1+L138/2)^(-2*((K138+$T$1)-$K$1)/365.25)</f>
        <v>0.452336378891516</v>
      </c>
      <c r="O138" s="127" t="n">
        <f aca="false">VLOOKUP(K138,Inflation!$B$8:$C$266,2)</f>
        <v>1.34052488221224</v>
      </c>
      <c r="P138" s="480"/>
      <c r="Q138" s="481" t="n">
        <f aca="false">VLOOKUP(K138,'Fuel Curve'!$B$11:$F$268,5)</f>
        <v>4.84741379310345</v>
      </c>
      <c r="R138" s="482" t="n">
        <f aca="false">VLOOKUP(K138,'Fuel Curve Simulation'!$B$12:$J$258,9)</f>
        <v>4.84741379310345</v>
      </c>
      <c r="S138" s="481" t="n">
        <f aca="false">(R138*$S$2)/1000</f>
        <v>46.4333767241379</v>
      </c>
      <c r="T138" s="483"/>
      <c r="V138" s="128" t="n">
        <f aca="false">VLOOKUP(K138,PJM_01212000!$A$7:$C$259,3)</f>
        <v>31.4999996185303</v>
      </c>
      <c r="W138" s="128"/>
      <c r="X138" s="484" t="n">
        <f aca="false">'PJM Curve Simulation'!J138</f>
        <v>31.4999996185303</v>
      </c>
      <c r="Y138" s="489"/>
      <c r="Z138" s="483"/>
      <c r="AA138" s="59" t="n">
        <f aca="false">AA137</f>
        <v>315</v>
      </c>
      <c r="AB138" s="425" t="n">
        <f aca="false">AA138*F138*16</f>
        <v>110880</v>
      </c>
      <c r="AC138" s="425" t="n">
        <f aca="false">VLOOKUP(K138,'Company Volumes'!$B$20:$C$259,2)</f>
        <v>8417.26740124044</v>
      </c>
      <c r="AD138" s="485" t="n">
        <f aca="false">IF(V138&gt;S138+($AM$5*1000*O138),AA138*F138*16,0)</f>
        <v>0</v>
      </c>
      <c r="AE138" s="425"/>
      <c r="AF138" s="425" t="n">
        <v>0</v>
      </c>
      <c r="AG138" s="425" t="n">
        <v>0</v>
      </c>
      <c r="AH138" s="425" t="n">
        <f aca="false">X138*AD138</f>
        <v>0</v>
      </c>
      <c r="AI138" s="425" t="n">
        <f aca="false">SUM(AF138:AH138)</f>
        <v>0</v>
      </c>
      <c r="AJ138" s="425" t="n">
        <f aca="false">(AD138*1000*$S$2)/1000000*R138</f>
        <v>0</v>
      </c>
      <c r="AK138" s="425" t="n">
        <f aca="false">($AK$5*O138)/12</f>
        <v>67026.2441106119</v>
      </c>
      <c r="AL138" s="425" t="n">
        <f aca="false">($AL$5*O138)/12</f>
        <v>170916.92248206</v>
      </c>
      <c r="AM138" s="425" t="n">
        <f aca="false">AD138*$AM$5*1000*O138</f>
        <v>0</v>
      </c>
      <c r="AN138" s="425" t="n">
        <f aca="false">(($AN$5*O138)/12)*$S$4</f>
        <v>153266.678199599</v>
      </c>
      <c r="AO138" s="425" t="n">
        <f aca="false">($AO$5*O138)/12</f>
        <v>33513.122055306</v>
      </c>
      <c r="AP138" s="425" t="n">
        <f aca="false">AP137</f>
        <v>46500.5582152336</v>
      </c>
      <c r="AQ138" s="433" t="n">
        <f aca="false">SUM(AK138:AP138)</f>
        <v>471223.525062811</v>
      </c>
      <c r="AR138" s="425" t="n">
        <f aca="false">($AR$5*O138)/12</f>
        <v>16756.561027653</v>
      </c>
      <c r="AS138" s="433" t="n">
        <f aca="false">AS137</f>
        <v>30387.755</v>
      </c>
      <c r="AT138" s="425" t="n">
        <f aca="false">(AI138/100)*$AT$6*O138</f>
        <v>0</v>
      </c>
      <c r="AU138" s="433" t="n">
        <f aca="false">SUM(AJ138:AT138)-AQ138</f>
        <v>518367.841090464</v>
      </c>
      <c r="AV138" s="433" t="n">
        <f aca="false">AI138-AU138</f>
        <v>-518367.841090464</v>
      </c>
      <c r="AW138" s="493"/>
      <c r="AX138" s="423" t="n">
        <f aca="false">K138</f>
        <v>40513</v>
      </c>
      <c r="AY138" s="425" t="n">
        <f aca="false">'Debt Amortization'!R8</f>
        <v>5051845.03066609</v>
      </c>
      <c r="AZ138" s="425" t="n">
        <f aca="false">AY138*N138</f>
        <v>2285133.2878926</v>
      </c>
      <c r="BA138" s="126"/>
      <c r="BB138" s="481" t="n">
        <f aca="false">X138</f>
        <v>31.4999996185303</v>
      </c>
      <c r="BC138" s="481" t="n">
        <f aca="false">'Curve Analysis - Base Case'!D130</f>
        <v>49.1144264885624</v>
      </c>
      <c r="BD138" s="479" t="n">
        <f aca="false">L138</f>
        <v>0.074374611034267</v>
      </c>
      <c r="BE138" s="479" t="n">
        <f aca="false">L138</f>
        <v>0.074374611034267</v>
      </c>
      <c r="BF138" s="489" t="n">
        <f aca="false">PJM_01212000!X138</f>
        <v>0.0874121278909317</v>
      </c>
      <c r="BG138" s="425" t="n">
        <f aca="false">(AX138+15)-$K$1</f>
        <v>3939</v>
      </c>
      <c r="BH138" s="433" t="n">
        <f aca="false">AD138</f>
        <v>0</v>
      </c>
      <c r="BJ138" s="486" t="e">
        <f aca="false">EURO(BB138,BC138,BD138,BE138,BF138,BG138,1,0)*BH138</f>
        <v>#NAME?</v>
      </c>
      <c r="BK138" s="433" t="n">
        <f aca="false">(AI138-AJ138)*N138</f>
        <v>0</v>
      </c>
      <c r="BM138" s="433" t="e">
        <f aca="false">BJ138-BK138</f>
        <v>#NAME?</v>
      </c>
    </row>
    <row r="139" customFormat="false" ht="16.5" hidden="false" customHeight="false" outlineLevel="0" collapsed="false">
      <c r="A139" s="59" t="n">
        <f aca="false">A138+1</f>
        <v>133</v>
      </c>
      <c r="C139" s="59" t="n">
        <v>31</v>
      </c>
      <c r="D139" s="59" t="s">
        <v>164</v>
      </c>
      <c r="E139" s="125" t="n">
        <f aca="false">E138+C138</f>
        <v>40544</v>
      </c>
      <c r="F139" s="425" t="n">
        <f aca="false">F91</f>
        <v>23</v>
      </c>
      <c r="G139" s="433" t="n">
        <f aca="false">C139-F139</f>
        <v>8</v>
      </c>
      <c r="H139" s="433"/>
      <c r="I139" s="433"/>
      <c r="J139" s="59" t="n">
        <f aca="false">K140-K139</f>
        <v>31</v>
      </c>
      <c r="K139" s="478" t="n">
        <v>40544</v>
      </c>
      <c r="L139" s="490" t="n">
        <v>0.074369437585442</v>
      </c>
      <c r="M139" s="491" t="n">
        <v>0.063720715973571</v>
      </c>
      <c r="N139" s="480" t="n">
        <f aca="false">(1+L139/2)^(-2*((K139+$T$1)-$K$1)/365.25)</f>
        <v>0.449566071296563</v>
      </c>
      <c r="O139" s="127" t="n">
        <f aca="false">VLOOKUP(K139,Inflation!$B$8:$C$266,2)</f>
        <v>1.34350436940421</v>
      </c>
      <c r="P139" s="480"/>
      <c r="Q139" s="481" t="n">
        <f aca="false">VLOOKUP(K139,'Fuel Curve'!$B$11:$F$268,5)</f>
        <v>4.79017241379311</v>
      </c>
      <c r="R139" s="482" t="n">
        <f aca="false">VLOOKUP(K139,'Fuel Curve Simulation'!$B$12:$J$258,9)</f>
        <v>4.79017241379311</v>
      </c>
      <c r="S139" s="481" t="n">
        <f aca="false">(R139*$S$2)/1000</f>
        <v>45.8850615517242</v>
      </c>
      <c r="T139" s="483"/>
      <c r="V139" s="128" t="n">
        <f aca="false">VLOOKUP(K139,PJM_01212000!$A$7:$C$259,3)</f>
        <v>40.0749984741211</v>
      </c>
      <c r="W139" s="128"/>
      <c r="X139" s="484" t="n">
        <f aca="false">'PJM Curve Simulation'!J139</f>
        <v>40.0749984741211</v>
      </c>
      <c r="Y139" s="489"/>
      <c r="Z139" s="483"/>
      <c r="AA139" s="59" t="n">
        <f aca="false">AA138</f>
        <v>315</v>
      </c>
      <c r="AB139" s="425" t="n">
        <f aca="false">AA139*F139*16</f>
        <v>115920</v>
      </c>
      <c r="AC139" s="425" t="n">
        <f aca="false">VLOOKUP(K139,'Company Volumes'!$B$20:$C$259,2)</f>
        <v>16126.6492199058</v>
      </c>
      <c r="AD139" s="485" t="n">
        <f aca="false">IF(V139&gt;S139+($AM$5*1000*O139),AA139*F139*16,0)</f>
        <v>0</v>
      </c>
      <c r="AE139" s="425"/>
      <c r="AF139" s="425" t="n">
        <v>0</v>
      </c>
      <c r="AG139" s="425" t="n">
        <v>0</v>
      </c>
      <c r="AH139" s="425" t="n">
        <f aca="false">X139*AD139</f>
        <v>0</v>
      </c>
      <c r="AI139" s="425" t="n">
        <f aca="false">SUM(AF139:AH139)</f>
        <v>0</v>
      </c>
      <c r="AJ139" s="425" t="n">
        <f aca="false">(AD139*1000*$S$2)/1000000*R139</f>
        <v>0</v>
      </c>
      <c r="AK139" s="425" t="n">
        <f aca="false">($AK$5*O139)/12</f>
        <v>67175.2184702104</v>
      </c>
      <c r="AL139" s="425" t="n">
        <f aca="false">($AL$5*O139)/12</f>
        <v>171296.807099037</v>
      </c>
      <c r="AM139" s="425" t="n">
        <f aca="false">AD139*$AM$5*1000*O139</f>
        <v>0</v>
      </c>
      <c r="AN139" s="425" t="n">
        <f aca="false">(($AN$5*O139)/12)*$S$4</f>
        <v>153607.332901881</v>
      </c>
      <c r="AO139" s="425" t="n">
        <f aca="false">($AO$5*O139)/12</f>
        <v>33587.6092351052</v>
      </c>
      <c r="AP139" s="425" t="n">
        <f aca="false">AP138</f>
        <v>46500.5582152336</v>
      </c>
      <c r="AQ139" s="433" t="n">
        <f aca="false">SUM(AK139:AP139)</f>
        <v>472167.525921467</v>
      </c>
      <c r="AR139" s="425" t="n">
        <f aca="false">($AR$5*O139)/12</f>
        <v>16793.8046175526</v>
      </c>
      <c r="AS139" s="433" t="n">
        <f aca="false">AS138</f>
        <v>30387.755</v>
      </c>
      <c r="AT139" s="425" t="n">
        <f aca="false">(AI139/100)*$AT$6*O139</f>
        <v>0</v>
      </c>
      <c r="AU139" s="433" t="n">
        <f aca="false">SUM(AJ139:AT139)-AQ139</f>
        <v>519349.085539019</v>
      </c>
      <c r="AV139" s="433" t="n">
        <f aca="false">AI139-AU139</f>
        <v>-519349.085539019</v>
      </c>
      <c r="AW139" s="493"/>
      <c r="AX139" s="423" t="n">
        <f aca="false">K139</f>
        <v>40544</v>
      </c>
      <c r="BA139" s="126"/>
      <c r="BB139" s="481" t="n">
        <f aca="false">X139</f>
        <v>40.0749984741211</v>
      </c>
      <c r="BC139" s="481" t="n">
        <f aca="false">'Curve Analysis - Base Case'!D131</f>
        <v>48.5720702905326</v>
      </c>
      <c r="BD139" s="479" t="n">
        <f aca="false">L139</f>
        <v>0.074369437585442</v>
      </c>
      <c r="BE139" s="479" t="n">
        <f aca="false">L139</f>
        <v>0.074369437585442</v>
      </c>
      <c r="BF139" s="489" t="n">
        <f aca="false">PJM_01212000!X139</f>
        <v>0.134265028440471</v>
      </c>
      <c r="BG139" s="425" t="n">
        <f aca="false">(AX139+15)-$K$1</f>
        <v>3970</v>
      </c>
      <c r="BH139" s="433" t="n">
        <f aca="false">AD139</f>
        <v>0</v>
      </c>
      <c r="BJ139" s="486" t="e">
        <f aca="false">EURO(BB139,BC139,BD139,BE139,BF139,BG139,1,0)*BH139</f>
        <v>#NAME?</v>
      </c>
      <c r="BK139" s="433" t="n">
        <f aca="false">(AI139-AJ139)*N139</f>
        <v>0</v>
      </c>
      <c r="BM139" s="433" t="e">
        <f aca="false">BJ139-BK139</f>
        <v>#NAME?</v>
      </c>
    </row>
    <row r="140" customFormat="false" ht="16.5" hidden="false" customHeight="false" outlineLevel="0" collapsed="false">
      <c r="A140" s="59" t="n">
        <f aca="false">A139+1</f>
        <v>134</v>
      </c>
      <c r="C140" s="59" t="n">
        <v>28</v>
      </c>
      <c r="D140" s="59" t="s">
        <v>165</v>
      </c>
      <c r="E140" s="125" t="n">
        <f aca="false">E139+C139</f>
        <v>40575</v>
      </c>
      <c r="F140" s="425" t="n">
        <f aca="false">F92</f>
        <v>20</v>
      </c>
      <c r="G140" s="433" t="n">
        <f aca="false">C140-F140</f>
        <v>8</v>
      </c>
      <c r="H140" s="433"/>
      <c r="I140" s="433"/>
      <c r="J140" s="59" t="n">
        <f aca="false">K141-K140</f>
        <v>28</v>
      </c>
      <c r="K140" s="478" t="n">
        <v>40575</v>
      </c>
      <c r="L140" s="490" t="n">
        <v>0.074364264136626</v>
      </c>
      <c r="M140" s="491" t="n">
        <v>0.063732328148597</v>
      </c>
      <c r="N140" s="480" t="n">
        <f aca="false">(1+L140/2)^(-2*((K140+$T$1)-$K$1)/365.25)</f>
        <v>0.446813108661613</v>
      </c>
      <c r="O140" s="127" t="n">
        <f aca="false">VLOOKUP(K140,Inflation!$B$8:$C$266,2)</f>
        <v>1.34649047888573</v>
      </c>
      <c r="P140" s="480"/>
      <c r="Q140" s="481" t="n">
        <f aca="false">VLOOKUP(K140,'Fuel Curve'!$B$11:$F$268,5)</f>
        <v>4.69103448275862</v>
      </c>
      <c r="R140" s="482" t="n">
        <f aca="false">VLOOKUP(K140,'Fuel Curve Simulation'!$B$12:$J$258,9)</f>
        <v>4.69103448275862</v>
      </c>
      <c r="S140" s="481" t="n">
        <f aca="false">(R140*$S$2)/1000</f>
        <v>44.9354193103448</v>
      </c>
      <c r="T140" s="483"/>
      <c r="V140" s="128" t="n">
        <f aca="false">VLOOKUP(K140,PJM_01212000!$A$7:$C$259,3)</f>
        <v>40.0749984741211</v>
      </c>
      <c r="W140" s="128"/>
      <c r="X140" s="484" t="n">
        <f aca="false">'PJM Curve Simulation'!J140</f>
        <v>40.0749984741211</v>
      </c>
      <c r="Y140" s="489"/>
      <c r="Z140" s="483"/>
      <c r="AA140" s="59" t="n">
        <f aca="false">AA139</f>
        <v>315</v>
      </c>
      <c r="AB140" s="425" t="n">
        <f aca="false">AA140*F140*16</f>
        <v>100800</v>
      </c>
      <c r="AC140" s="425" t="n">
        <f aca="false">VLOOKUP(K140,'Company Volumes'!$B$20:$C$259,2)</f>
        <v>670.643735741778</v>
      </c>
      <c r="AD140" s="485" t="n">
        <f aca="false">IF(V140&gt;S140+($AM$5*1000*O140),AA140*F140*16,0)</f>
        <v>0</v>
      </c>
      <c r="AE140" s="425"/>
      <c r="AF140" s="425" t="n">
        <v>0</v>
      </c>
      <c r="AG140" s="425" t="n">
        <v>0</v>
      </c>
      <c r="AH140" s="425" t="n">
        <f aca="false">X140*AD140</f>
        <v>0</v>
      </c>
      <c r="AI140" s="425" t="n">
        <f aca="false">SUM(AF140:AH140)</f>
        <v>0</v>
      </c>
      <c r="AJ140" s="425" t="n">
        <f aca="false">(AD140*1000*$S$2)/1000000*R140</f>
        <v>0</v>
      </c>
      <c r="AK140" s="425" t="n">
        <f aca="false">($AK$5*O140)/12</f>
        <v>67324.5239442867</v>
      </c>
      <c r="AL140" s="425" t="n">
        <f aca="false">($AL$5*O140)/12</f>
        <v>171677.536057931</v>
      </c>
      <c r="AM140" s="425" t="n">
        <f aca="false">AD140*$AM$5*1000*O140</f>
        <v>0</v>
      </c>
      <c r="AN140" s="425" t="n">
        <f aca="false">(($AN$5*O140)/12)*$S$4</f>
        <v>153948.744752602</v>
      </c>
      <c r="AO140" s="425" t="n">
        <f aca="false">($AO$5*O140)/12</f>
        <v>33662.2619721433</v>
      </c>
      <c r="AP140" s="425" t="n">
        <f aca="false">AP139</f>
        <v>46500.5582152336</v>
      </c>
      <c r="AQ140" s="433" t="n">
        <f aca="false">SUM(AK140:AP140)</f>
        <v>473113.624942197</v>
      </c>
      <c r="AR140" s="425" t="n">
        <f aca="false">($AR$5*O140)/12</f>
        <v>16831.1309860717</v>
      </c>
      <c r="AS140" s="433" t="n">
        <f aca="false">AS139</f>
        <v>30387.755</v>
      </c>
      <c r="AT140" s="425" t="n">
        <f aca="false">(AI140/100)*$AT$6*O140</f>
        <v>0</v>
      </c>
      <c r="AU140" s="433" t="n">
        <f aca="false">SUM(AJ140:AT140)-AQ140</f>
        <v>520332.510928269</v>
      </c>
      <c r="AV140" s="433" t="n">
        <f aca="false">AI140-AU140</f>
        <v>-520332.510928269</v>
      </c>
      <c r="AW140" s="493"/>
      <c r="AX140" s="423" t="n">
        <f aca="false">K140</f>
        <v>40575</v>
      </c>
      <c r="BA140" s="126"/>
      <c r="BB140" s="481" t="n">
        <f aca="false">X140</f>
        <v>40.0749984741211</v>
      </c>
      <c r="BC140" s="481" t="n">
        <f aca="false">'Curve Analysis - Base Case'!D132</f>
        <v>47.6284002681163</v>
      </c>
      <c r="BD140" s="479" t="n">
        <f aca="false">L140</f>
        <v>0.074364264136626</v>
      </c>
      <c r="BE140" s="479" t="n">
        <f aca="false">L140</f>
        <v>0.074364264136626</v>
      </c>
      <c r="BF140" s="489" t="n">
        <f aca="false">PJM_01212000!X140</f>
        <v>0.134265028440471</v>
      </c>
      <c r="BG140" s="425" t="n">
        <f aca="false">(AX140+15)-$K$1</f>
        <v>4001</v>
      </c>
      <c r="BH140" s="433" t="n">
        <f aca="false">AD140</f>
        <v>0</v>
      </c>
      <c r="BJ140" s="486" t="e">
        <f aca="false">EURO(BB140,BC140,BD140,BE140,BF140,BG140,1,0)*BH140</f>
        <v>#NAME?</v>
      </c>
      <c r="BK140" s="433" t="n">
        <f aca="false">(AI140-AJ140)*N140</f>
        <v>0</v>
      </c>
      <c r="BM140" s="433" t="e">
        <f aca="false">BJ140-BK140</f>
        <v>#NAME?</v>
      </c>
    </row>
    <row r="141" customFormat="false" ht="16.5" hidden="false" customHeight="false" outlineLevel="0" collapsed="false">
      <c r="A141" s="59" t="n">
        <f aca="false">A140+1</f>
        <v>135</v>
      </c>
      <c r="C141" s="59" t="n">
        <v>31</v>
      </c>
      <c r="D141" s="59" t="s">
        <v>166</v>
      </c>
      <c r="E141" s="125" t="n">
        <f aca="false">E140+C140</f>
        <v>40603</v>
      </c>
      <c r="F141" s="425" t="n">
        <f aca="false">F93</f>
        <v>21</v>
      </c>
      <c r="G141" s="433" t="n">
        <f aca="false">C141-F141</f>
        <v>10</v>
      </c>
      <c r="H141" s="433"/>
      <c r="I141" s="433"/>
      <c r="J141" s="59" t="n">
        <f aca="false">K142-K141</f>
        <v>31</v>
      </c>
      <c r="K141" s="478" t="n">
        <v>40603</v>
      </c>
      <c r="L141" s="490" t="n">
        <v>0.074359591344155</v>
      </c>
      <c r="M141" s="491" t="n">
        <v>0.063742816565557</v>
      </c>
      <c r="N141" s="480" t="n">
        <f aca="false">(1+L141/2)^(-2*((K141+$T$1)-$K$1)/365.25)</f>
        <v>0.444341377900915</v>
      </c>
      <c r="O141" s="127" t="n">
        <f aca="false">VLOOKUP(K141,Inflation!$B$8:$C$266,2)</f>
        <v>1.3494832253757</v>
      </c>
      <c r="P141" s="480"/>
      <c r="Q141" s="481" t="n">
        <f aca="false">VLOOKUP(K141,'Fuel Curve'!$B$11:$F$268,5)</f>
        <v>4.59396551724138</v>
      </c>
      <c r="R141" s="482" t="n">
        <f aca="false">VLOOKUP(K141,'Fuel Curve Simulation'!$B$12:$J$258,9)</f>
        <v>4.59396551724138</v>
      </c>
      <c r="S141" s="481" t="n">
        <f aca="false">(R141*$S$2)/1000</f>
        <v>44.0055956896552</v>
      </c>
      <c r="T141" s="483"/>
      <c r="V141" s="128" t="n">
        <f aca="false">VLOOKUP(K141,PJM_01212000!$A$7:$C$259,3)</f>
        <v>29.8000007629395</v>
      </c>
      <c r="W141" s="128"/>
      <c r="X141" s="484" t="n">
        <f aca="false">'PJM Curve Simulation'!J141</f>
        <v>29.8000007629395</v>
      </c>
      <c r="Y141" s="489"/>
      <c r="Z141" s="483"/>
      <c r="AA141" s="59" t="n">
        <f aca="false">AA140</f>
        <v>315</v>
      </c>
      <c r="AB141" s="425" t="n">
        <f aca="false">AA141*F141*16</f>
        <v>105840</v>
      </c>
      <c r="AC141" s="425" t="n">
        <f aca="false">VLOOKUP(K141,'Company Volumes'!$B$20:$C$259,2)</f>
        <v>670.643735741778</v>
      </c>
      <c r="AD141" s="485" t="n">
        <f aca="false">IF(V141&gt;S141+($AM$5*1000*O141),AA141*F141*16,0)</f>
        <v>0</v>
      </c>
      <c r="AE141" s="425"/>
      <c r="AF141" s="425" t="n">
        <v>0</v>
      </c>
      <c r="AG141" s="425" t="n">
        <v>0</v>
      </c>
      <c r="AH141" s="425" t="n">
        <f aca="false">X141*AD141</f>
        <v>0</v>
      </c>
      <c r="AI141" s="425" t="n">
        <f aca="false">SUM(AF141:AH141)</f>
        <v>0</v>
      </c>
      <c r="AJ141" s="425" t="n">
        <f aca="false">(AD141*1000*$S$2)/1000000*R141</f>
        <v>0</v>
      </c>
      <c r="AK141" s="425" t="n">
        <f aca="false">($AK$5*O141)/12</f>
        <v>67474.1612687848</v>
      </c>
      <c r="AL141" s="425" t="n">
        <f aca="false">($AL$5*O141)/12</f>
        <v>172059.111235401</v>
      </c>
      <c r="AM141" s="425" t="n">
        <f aca="false">AD141*$AM$5*1000*O141</f>
        <v>0</v>
      </c>
      <c r="AN141" s="425" t="n">
        <f aca="false">(($AN$5*O141)/12)*$S$4</f>
        <v>154290.915434621</v>
      </c>
      <c r="AO141" s="425" t="n">
        <f aca="false">($AO$5*O141)/12</f>
        <v>33737.0806343924</v>
      </c>
      <c r="AP141" s="425" t="n">
        <f aca="false">AP140</f>
        <v>46500.5582152336</v>
      </c>
      <c r="AQ141" s="433" t="n">
        <f aca="false">SUM(AK141:AP141)</f>
        <v>474061.826788434</v>
      </c>
      <c r="AR141" s="425" t="n">
        <f aca="false">($AR$5*O141)/12</f>
        <v>16868.5403171962</v>
      </c>
      <c r="AS141" s="433" t="n">
        <f aca="false">AS140</f>
        <v>30387.755</v>
      </c>
      <c r="AT141" s="425" t="n">
        <f aca="false">(AI141/100)*$AT$6*O141</f>
        <v>0</v>
      </c>
      <c r="AU141" s="433" t="n">
        <f aca="false">SUM(AJ141:AT141)-AQ141</f>
        <v>521318.12210563</v>
      </c>
      <c r="AV141" s="433" t="n">
        <f aca="false">AI141-AU141</f>
        <v>-521318.12210563</v>
      </c>
      <c r="AW141" s="493"/>
      <c r="AX141" s="423" t="n">
        <f aca="false">K141</f>
        <v>40603</v>
      </c>
      <c r="BA141" s="126"/>
      <c r="BB141" s="481" t="n">
        <f aca="false">X141</f>
        <v>29.8000007629395</v>
      </c>
      <c r="BC141" s="481" t="n">
        <f aca="false">'Curve Analysis - Base Case'!D133</f>
        <v>46.7045621404066</v>
      </c>
      <c r="BD141" s="479" t="n">
        <f aca="false">L141</f>
        <v>0.074359591344155</v>
      </c>
      <c r="BE141" s="479" t="n">
        <f aca="false">L141</f>
        <v>0.074359591344155</v>
      </c>
      <c r="BF141" s="489" t="n">
        <f aca="false">PJM_01212000!X141</f>
        <v>0.111887523700393</v>
      </c>
      <c r="BG141" s="425" t="n">
        <f aca="false">(AX141+15)-$K$1</f>
        <v>4029</v>
      </c>
      <c r="BH141" s="433" t="n">
        <f aca="false">AD141</f>
        <v>0</v>
      </c>
      <c r="BJ141" s="486" t="e">
        <f aca="false">EURO(BB141,BC141,BD141,BE141,BF141,BG141,1,0)*BH141</f>
        <v>#NAME?</v>
      </c>
      <c r="BK141" s="433" t="n">
        <f aca="false">(AI141-AJ141)*N141</f>
        <v>0</v>
      </c>
      <c r="BM141" s="433" t="e">
        <f aca="false">BJ141-BK141</f>
        <v>#NAME?</v>
      </c>
    </row>
    <row r="142" customFormat="false" ht="16.5" hidden="false" customHeight="false" outlineLevel="0" collapsed="false">
      <c r="A142" s="59" t="n">
        <f aca="false">A141+1</f>
        <v>136</v>
      </c>
      <c r="C142" s="59" t="n">
        <v>30</v>
      </c>
      <c r="D142" s="59" t="s">
        <v>167</v>
      </c>
      <c r="E142" s="125" t="n">
        <f aca="false">E141+C141</f>
        <v>40634</v>
      </c>
      <c r="F142" s="425" t="n">
        <f aca="false">F94</f>
        <v>22</v>
      </c>
      <c r="G142" s="433" t="n">
        <f aca="false">C142-F142</f>
        <v>8</v>
      </c>
      <c r="H142" s="433"/>
      <c r="I142" s="433"/>
      <c r="J142" s="59" t="n">
        <f aca="false">K143-K142</f>
        <v>30</v>
      </c>
      <c r="K142" s="478" t="n">
        <v>40634</v>
      </c>
      <c r="L142" s="490" t="n">
        <v>0.074354417895356</v>
      </c>
      <c r="M142" s="491" t="n">
        <v>0.063754428742371</v>
      </c>
      <c r="N142" s="480" t="n">
        <f aca="false">(1+L142/2)^(-2*((K142+$T$1)-$K$1)/365.25)</f>
        <v>0.441621120962987</v>
      </c>
      <c r="O142" s="127" t="n">
        <f aca="false">VLOOKUP(K142,Inflation!$B$8:$C$266,2)</f>
        <v>1.35248262362569</v>
      </c>
      <c r="P142" s="480"/>
      <c r="Q142" s="481" t="n">
        <f aca="false">VLOOKUP(K142,'Fuel Curve'!$B$11:$F$268,5)</f>
        <v>4.49396551724138</v>
      </c>
      <c r="R142" s="482" t="n">
        <f aca="false">VLOOKUP(K142,'Fuel Curve Simulation'!$B$12:$J$258,9)</f>
        <v>4.49396551724138</v>
      </c>
      <c r="S142" s="481" t="n">
        <f aca="false">(R142*$S$2)/1000</f>
        <v>43.0476956896552</v>
      </c>
      <c r="T142" s="483"/>
      <c r="V142" s="128" t="n">
        <f aca="false">VLOOKUP(K142,PJM_01212000!$A$7:$C$259,3)</f>
        <v>29.5750007629395</v>
      </c>
      <c r="W142" s="128"/>
      <c r="X142" s="484" t="n">
        <f aca="false">'PJM Curve Simulation'!J142</f>
        <v>29.5750007629395</v>
      </c>
      <c r="Y142" s="489"/>
      <c r="Z142" s="483"/>
      <c r="AA142" s="59" t="n">
        <f aca="false">AA141</f>
        <v>315</v>
      </c>
      <c r="AB142" s="425" t="n">
        <f aca="false">AA142*F142*16</f>
        <v>110880</v>
      </c>
      <c r="AC142" s="425" t="n">
        <f aca="false">VLOOKUP(K142,'Company Volumes'!$B$20:$C$259,2)</f>
        <v>8508.936632532</v>
      </c>
      <c r="AD142" s="485" t="n">
        <f aca="false">IF(V142&gt;S142+($AM$5*1000*O142),AA142*F142*16,0)</f>
        <v>0</v>
      </c>
      <c r="AE142" s="425"/>
      <c r="AF142" s="425" t="n">
        <v>0</v>
      </c>
      <c r="AG142" s="425" t="n">
        <v>0</v>
      </c>
      <c r="AH142" s="425" t="n">
        <f aca="false">X142*AD142</f>
        <v>0</v>
      </c>
      <c r="AI142" s="425" t="n">
        <f aca="false">SUM(AF142:AH142)</f>
        <v>0</v>
      </c>
      <c r="AJ142" s="425" t="n">
        <f aca="false">(AD142*1000*$S$2)/1000000*R142</f>
        <v>0</v>
      </c>
      <c r="AK142" s="425" t="n">
        <f aca="false">($AK$5*O142)/12</f>
        <v>67624.1311812847</v>
      </c>
      <c r="AL142" s="425" t="n">
        <f aca="false">($AL$5*O142)/12</f>
        <v>172441.534512276</v>
      </c>
      <c r="AM142" s="425" t="n">
        <f aca="false">AD142*$AM$5*1000*O142</f>
        <v>0</v>
      </c>
      <c r="AN142" s="425" t="n">
        <f aca="false">(($AN$5*O142)/12)*$S$4</f>
        <v>154633.846634538</v>
      </c>
      <c r="AO142" s="425" t="n">
        <f aca="false">($AO$5*O142)/12</f>
        <v>33812.0655906424</v>
      </c>
      <c r="AP142" s="425" t="n">
        <f aca="false">AP141</f>
        <v>46500.5582152336</v>
      </c>
      <c r="AQ142" s="433" t="n">
        <f aca="false">SUM(AK142:AP142)</f>
        <v>475012.136133974</v>
      </c>
      <c r="AR142" s="425" t="n">
        <f aca="false">($AR$5*O142)/12</f>
        <v>16906.0327953212</v>
      </c>
      <c r="AS142" s="433" t="n">
        <f aca="false">AS141</f>
        <v>30387.755</v>
      </c>
      <c r="AT142" s="425" t="n">
        <f aca="false">(AI142/100)*$AT$6*O142</f>
        <v>0</v>
      </c>
      <c r="AU142" s="433" t="n">
        <f aca="false">SUM(AJ142:AT142)-AQ142</f>
        <v>522305.923929296</v>
      </c>
      <c r="AV142" s="433" t="n">
        <f aca="false">AI142-AU142</f>
        <v>-522305.923929296</v>
      </c>
      <c r="AW142" s="493"/>
      <c r="AX142" s="423" t="n">
        <f aca="false">K142</f>
        <v>40634</v>
      </c>
      <c r="BA142" s="126"/>
      <c r="BB142" s="481" t="n">
        <f aca="false">X142</f>
        <v>29.5750007629395</v>
      </c>
      <c r="BC142" s="481" t="n">
        <f aca="false">'Curve Analysis - Base Case'!D134</f>
        <v>45.7526609369066</v>
      </c>
      <c r="BD142" s="479" t="n">
        <f aca="false">L142</f>
        <v>0.074354417895356</v>
      </c>
      <c r="BE142" s="479" t="n">
        <f aca="false">L142</f>
        <v>0.074354417895356</v>
      </c>
      <c r="BF142" s="489" t="n">
        <f aca="false">PJM_01212000!X142</f>
        <v>0.106293147515373</v>
      </c>
      <c r="BG142" s="425" t="n">
        <f aca="false">(AX142+15)-$K$1</f>
        <v>4060</v>
      </c>
      <c r="BH142" s="433" t="n">
        <f aca="false">AD142</f>
        <v>0</v>
      </c>
      <c r="BJ142" s="486" t="e">
        <f aca="false">EURO(BB142,BC142,BD142,BE142,BF142,BG142,1,0)*BH142</f>
        <v>#NAME?</v>
      </c>
      <c r="BK142" s="433" t="n">
        <f aca="false">(AI142-AJ142)*N142</f>
        <v>0</v>
      </c>
      <c r="BM142" s="433" t="e">
        <f aca="false">BJ142-BK142</f>
        <v>#NAME?</v>
      </c>
    </row>
    <row r="143" customFormat="false" ht="16.5" hidden="false" customHeight="false" outlineLevel="0" collapsed="false">
      <c r="A143" s="59" t="n">
        <f aca="false">A142+1</f>
        <v>137</v>
      </c>
      <c r="C143" s="59" t="n">
        <v>31</v>
      </c>
      <c r="D143" s="59" t="s">
        <v>29</v>
      </c>
      <c r="E143" s="125" t="n">
        <f aca="false">E142+C142</f>
        <v>40664</v>
      </c>
      <c r="F143" s="425" t="n">
        <f aca="false">F95</f>
        <v>22</v>
      </c>
      <c r="G143" s="433" t="n">
        <f aca="false">C143-F143</f>
        <v>9</v>
      </c>
      <c r="H143" s="433"/>
      <c r="I143" s="433"/>
      <c r="J143" s="59" t="n">
        <f aca="false">K144-K143</f>
        <v>31</v>
      </c>
      <c r="K143" s="478" t="n">
        <v>40664</v>
      </c>
      <c r="L143" s="490" t="n">
        <v>0.074349411332009</v>
      </c>
      <c r="M143" s="491" t="n">
        <v>0.06376566633373</v>
      </c>
      <c r="N143" s="480" t="n">
        <f aca="false">(1+L143/2)^(-2*((K143+$T$1)-$K$1)/365.25)</f>
        <v>0.439004825526222</v>
      </c>
      <c r="O143" s="127" t="n">
        <f aca="false">VLOOKUP(K143,Inflation!$B$8:$C$266,2)</f>
        <v>1.35548868842011</v>
      </c>
      <c r="P143" s="480"/>
      <c r="Q143" s="481" t="n">
        <f aca="false">VLOOKUP(K143,'Fuel Curve'!$B$11:$F$268,5)</f>
        <v>4.42672413793104</v>
      </c>
      <c r="R143" s="482" t="n">
        <f aca="false">VLOOKUP(K143,'Fuel Curve Simulation'!$B$12:$J$258,9)</f>
        <v>4.42672413793104</v>
      </c>
      <c r="S143" s="481" t="n">
        <f aca="false">(R143*$S$2)/1000</f>
        <v>42.4035905172414</v>
      </c>
      <c r="T143" s="483"/>
      <c r="V143" s="128" t="n">
        <f aca="false">VLOOKUP(K143,PJM_01212000!$A$7:$C$259,3)</f>
        <v>37.575</v>
      </c>
      <c r="W143" s="128"/>
      <c r="X143" s="484" t="n">
        <f aca="false">'PJM Curve Simulation'!J143</f>
        <v>37.575</v>
      </c>
      <c r="Y143" s="489"/>
      <c r="Z143" s="483"/>
      <c r="AA143" s="59" t="n">
        <f aca="false">AA142</f>
        <v>315</v>
      </c>
      <c r="AB143" s="425" t="n">
        <f aca="false">AA143*F143*16</f>
        <v>110880</v>
      </c>
      <c r="AC143" s="425" t="n">
        <f aca="false">VLOOKUP(K143,'Company Volumes'!$B$20:$C$259,2)</f>
        <v>16689.445243884</v>
      </c>
      <c r="AD143" s="485" t="n">
        <f aca="false">IF(V143&gt;S143+($AM$5*1000*O143),AA143*F143*16,0)</f>
        <v>0</v>
      </c>
      <c r="AE143" s="425"/>
      <c r="AF143" s="425" t="n">
        <v>0</v>
      </c>
      <c r="AG143" s="425" t="n">
        <v>0</v>
      </c>
      <c r="AH143" s="425" t="n">
        <f aca="false">X143*AD143</f>
        <v>0</v>
      </c>
      <c r="AI143" s="425" t="n">
        <f aca="false">SUM(AF143:AH143)</f>
        <v>0</v>
      </c>
      <c r="AJ143" s="425" t="n">
        <f aca="false">(AD143*1000*$S$2)/1000000*R143</f>
        <v>0</v>
      </c>
      <c r="AK143" s="425" t="n">
        <f aca="false">($AK$5*O143)/12</f>
        <v>67774.4344210054</v>
      </c>
      <c r="AL143" s="425" t="n">
        <f aca="false">($AL$5*O143)/12</f>
        <v>172824.807773564</v>
      </c>
      <c r="AM143" s="425" t="n">
        <f aca="false">AD143*$AM$5*1000*O143</f>
        <v>0</v>
      </c>
      <c r="AN143" s="425" t="n">
        <f aca="false">(($AN$5*O143)/12)*$S$4</f>
        <v>154977.540042699</v>
      </c>
      <c r="AO143" s="425" t="n">
        <f aca="false">($AO$5*O143)/12</f>
        <v>33887.2172105027</v>
      </c>
      <c r="AP143" s="425" t="n">
        <f aca="false">AP142</f>
        <v>46500.5582152336</v>
      </c>
      <c r="AQ143" s="433" t="n">
        <f aca="false">SUM(AK143:AP143)</f>
        <v>475964.557663005</v>
      </c>
      <c r="AR143" s="425" t="n">
        <f aca="false">($AR$5*O143)/12</f>
        <v>16943.6086052514</v>
      </c>
      <c r="AS143" s="433" t="n">
        <f aca="false">AS142</f>
        <v>30387.755</v>
      </c>
      <c r="AT143" s="425" t="n">
        <f aca="false">(AI143/100)*$AT$6*O143</f>
        <v>0</v>
      </c>
      <c r="AU143" s="433" t="n">
        <f aca="false">SUM(AJ143:AT143)-AQ143</f>
        <v>523295.921268256</v>
      </c>
      <c r="AV143" s="433" t="n">
        <f aca="false">AI143-AU143</f>
        <v>-523295.921268256</v>
      </c>
      <c r="AW143" s="493"/>
      <c r="AX143" s="423" t="n">
        <f aca="false">K143</f>
        <v>40664</v>
      </c>
      <c r="BA143" s="126"/>
      <c r="BB143" s="481" t="n">
        <f aca="false">X143</f>
        <v>37.575</v>
      </c>
      <c r="BC143" s="481" t="n">
        <f aca="false">'Curve Analysis - Base Case'!D135</f>
        <v>45.1145678940816</v>
      </c>
      <c r="BD143" s="479" t="n">
        <f aca="false">L143</f>
        <v>0.074349411332009</v>
      </c>
      <c r="BE143" s="479" t="n">
        <f aca="false">L143</f>
        <v>0.074349411332009</v>
      </c>
      <c r="BF143" s="489" t="n">
        <f aca="false">PJM_01212000!X143</f>
        <v>0.117481899885412</v>
      </c>
      <c r="BG143" s="425" t="n">
        <f aca="false">(AX143+15)-$K$1</f>
        <v>4090</v>
      </c>
      <c r="BH143" s="433" t="n">
        <f aca="false">AD143</f>
        <v>0</v>
      </c>
      <c r="BJ143" s="486" t="e">
        <f aca="false">EURO(BB143,BC143,BD143,BE143,BF143,BG143,1,0)*BH143</f>
        <v>#NAME?</v>
      </c>
      <c r="BK143" s="433" t="n">
        <f aca="false">(AI143-AJ143)*N143</f>
        <v>0</v>
      </c>
      <c r="BM143" s="433" t="e">
        <f aca="false">BJ143-BK143</f>
        <v>#NAME?</v>
      </c>
    </row>
    <row r="144" customFormat="false" ht="16.5" hidden="false" customHeight="false" outlineLevel="0" collapsed="false">
      <c r="A144" s="59" t="n">
        <f aca="false">A143+1</f>
        <v>138</v>
      </c>
      <c r="C144" s="59" t="n">
        <v>30</v>
      </c>
      <c r="D144" s="59" t="s">
        <v>168</v>
      </c>
      <c r="E144" s="125" t="n">
        <f aca="false">E143+C143</f>
        <v>40695</v>
      </c>
      <c r="F144" s="425" t="n">
        <f aca="false">F96</f>
        <v>21</v>
      </c>
      <c r="G144" s="433" t="n">
        <f aca="false">C144-F144</f>
        <v>9</v>
      </c>
      <c r="H144" s="433"/>
      <c r="I144" s="433"/>
      <c r="J144" s="59" t="n">
        <f aca="false">K145-K144</f>
        <v>30</v>
      </c>
      <c r="K144" s="478" t="n">
        <v>40695</v>
      </c>
      <c r="L144" s="490" t="n">
        <v>0.074344237883228</v>
      </c>
      <c r="M144" s="491" t="n">
        <v>0.063777278512391</v>
      </c>
      <c r="N144" s="480" t="n">
        <f aca="false">(1+L144/2)^(-2*((K144+$T$1)-$K$1)/365.25)</f>
        <v>0.436317966012606</v>
      </c>
      <c r="O144" s="127" t="n">
        <f aca="false">VLOOKUP(K144,Inflation!$B$8:$C$266,2)</f>
        <v>1.35850143457618</v>
      </c>
      <c r="P144" s="480"/>
      <c r="Q144" s="481" t="n">
        <f aca="false">VLOOKUP(K144,'Fuel Curve'!$B$11:$F$268,5)</f>
        <v>4.42017241379311</v>
      </c>
      <c r="R144" s="482" t="n">
        <f aca="false">VLOOKUP(K144,'Fuel Curve Simulation'!$B$12:$J$258,9)</f>
        <v>4.42017241379311</v>
      </c>
      <c r="S144" s="481" t="n">
        <f aca="false">(R144*$S$2)/1000</f>
        <v>42.3408315517242</v>
      </c>
      <c r="T144" s="483"/>
      <c r="V144" s="128" t="n">
        <f aca="false">VLOOKUP(K144,PJM_01212000!$A$7:$C$259,3)</f>
        <v>63.0999984741211</v>
      </c>
      <c r="W144" s="128"/>
      <c r="X144" s="484" t="n">
        <f aca="false">'PJM Curve Simulation'!J144</f>
        <v>63.0999984741211</v>
      </c>
      <c r="Y144" s="489"/>
      <c r="Z144" s="483"/>
      <c r="AA144" s="59" t="n">
        <f aca="false">AA143</f>
        <v>315</v>
      </c>
      <c r="AB144" s="425" t="n">
        <f aca="false">AA144*F144*16</f>
        <v>105840</v>
      </c>
      <c r="AC144" s="425" t="n">
        <f aca="false">VLOOKUP(K144,'Company Volumes'!$B$20:$C$259,2)</f>
        <v>31891.2339763702</v>
      </c>
      <c r="AD144" s="485" t="n">
        <f aca="false">IF(V144&gt;S144+($AM$5*1000*O144),AA144*F144*16,0)</f>
        <v>105840</v>
      </c>
      <c r="AE144" s="425"/>
      <c r="AF144" s="425" t="n">
        <v>0</v>
      </c>
      <c r="AG144" s="425" t="n">
        <v>0</v>
      </c>
      <c r="AH144" s="425" t="n">
        <f aca="false">X144*AD144</f>
        <v>6678503.83850098</v>
      </c>
      <c r="AI144" s="425" t="n">
        <f aca="false">SUM(AF144:AH144)</f>
        <v>6678503.83850098</v>
      </c>
      <c r="AJ144" s="425" t="n">
        <f aca="false">(AD144*1000*$S$2)/1000000*R144</f>
        <v>4481353.61143448</v>
      </c>
      <c r="AK144" s="425" t="n">
        <f aca="false">($AK$5*O144)/12</f>
        <v>67925.0717288092</v>
      </c>
      <c r="AL144" s="425" t="n">
        <f aca="false">($AL$5*O144)/12</f>
        <v>173208.932908463</v>
      </c>
      <c r="AM144" s="425" t="n">
        <f aca="false">AD144*$AM$5*1000*O144</f>
        <v>287567.583671086</v>
      </c>
      <c r="AN144" s="425" t="n">
        <f aca="false">(($AN$5*O144)/12)*$S$4</f>
        <v>155321.99735321</v>
      </c>
      <c r="AO144" s="425" t="n">
        <f aca="false">($AO$5*O144)/12</f>
        <v>33962.5358644046</v>
      </c>
      <c r="AP144" s="425" t="n">
        <f aca="false">AP143</f>
        <v>46500.5582152336</v>
      </c>
      <c r="AQ144" s="433" t="n">
        <f aca="false">SUM(AK144:AP144)</f>
        <v>764486.679741207</v>
      </c>
      <c r="AR144" s="425" t="n">
        <f aca="false">($AR$5*O144)/12</f>
        <v>16981.2679322023</v>
      </c>
      <c r="AS144" s="433" t="n">
        <f aca="false">AS143</f>
        <v>30387.755</v>
      </c>
      <c r="AT144" s="425" t="n">
        <f aca="false">(AI144/100)*$AT$6*O144</f>
        <v>54436.5422725567</v>
      </c>
      <c r="AU144" s="433" t="n">
        <f aca="false">SUM(AJ144:AT144)-AQ144</f>
        <v>5347645.85638045</v>
      </c>
      <c r="AV144" s="433" t="n">
        <f aca="false">AI144-AU144</f>
        <v>1330857.98212053</v>
      </c>
      <c r="AW144" s="493"/>
      <c r="AX144" s="423" t="n">
        <f aca="false">K144</f>
        <v>40695</v>
      </c>
      <c r="BA144" s="126"/>
      <c r="BB144" s="481" t="n">
        <f aca="false">X144</f>
        <v>63.0999984741211</v>
      </c>
      <c r="BC144" s="481" t="n">
        <f aca="false">'Curve Analysis - Base Case'!D136</f>
        <v>45.0578344208765</v>
      </c>
      <c r="BD144" s="479" t="n">
        <f aca="false">L144</f>
        <v>0.074344237883228</v>
      </c>
      <c r="BE144" s="479" t="n">
        <f aca="false">L144</f>
        <v>0.074344237883228</v>
      </c>
      <c r="BF144" s="489" t="n">
        <f aca="false">PJM_01212000!X144</f>
        <v>0.15104815699553</v>
      </c>
      <c r="BG144" s="425" t="n">
        <f aca="false">(AX144+15)-$K$1</f>
        <v>4121</v>
      </c>
      <c r="BH144" s="433" t="n">
        <f aca="false">AD144</f>
        <v>105840</v>
      </c>
      <c r="BJ144" s="486" t="e">
        <f aca="false">EURO(BB144,BC144,BD144,BE144,BF144,BG144,1,0)*BH144</f>
        <v>#NAME?</v>
      </c>
      <c r="BK144" s="433" t="n">
        <f aca="false">(AI144-AJ144)*N144</f>
        <v>958656.118097787</v>
      </c>
      <c r="BM144" s="433" t="e">
        <f aca="false">BJ144-BK144</f>
        <v>#NAME?</v>
      </c>
    </row>
    <row r="145" customFormat="false" ht="16.5" hidden="false" customHeight="false" outlineLevel="0" collapsed="false">
      <c r="A145" s="59" t="n">
        <f aca="false">A144+1</f>
        <v>139</v>
      </c>
      <c r="C145" s="59" t="n">
        <v>31</v>
      </c>
      <c r="D145" s="59" t="s">
        <v>169</v>
      </c>
      <c r="E145" s="125" t="n">
        <f aca="false">E144+C144</f>
        <v>40725</v>
      </c>
      <c r="F145" s="425" t="n">
        <f aca="false">F97</f>
        <v>23</v>
      </c>
      <c r="G145" s="433" t="n">
        <f aca="false">C145-F145</f>
        <v>8</v>
      </c>
      <c r="H145" s="433"/>
      <c r="I145" s="433"/>
      <c r="J145" s="59" t="n">
        <f aca="false">K146-K145</f>
        <v>31</v>
      </c>
      <c r="K145" s="478" t="n">
        <v>40725</v>
      </c>
      <c r="L145" s="490" t="n">
        <v>0.074339231319899</v>
      </c>
      <c r="M145" s="491" t="n">
        <v>0.063788516105539</v>
      </c>
      <c r="N145" s="480" t="n">
        <f aca="false">(1+L145/2)^(-2*((K145+$T$1)-$K$1)/365.25)</f>
        <v>0.433733787493984</v>
      </c>
      <c r="O145" s="127" t="n">
        <f aca="false">VLOOKUP(K145,Inflation!$B$8:$C$266,2)</f>
        <v>1.3615208769441</v>
      </c>
      <c r="P145" s="480"/>
      <c r="Q145" s="481" t="n">
        <f aca="false">VLOOKUP(K145,'Fuel Curve'!$B$11:$F$268,5)</f>
        <v>4.47741379310345</v>
      </c>
      <c r="R145" s="482" t="n">
        <f aca="false">VLOOKUP(K145,'Fuel Curve Simulation'!$B$12:$J$258,9)</f>
        <v>4.47741379310345</v>
      </c>
      <c r="S145" s="481" t="n">
        <f aca="false">(R145*$S$2)/1000</f>
        <v>42.8891467241379</v>
      </c>
      <c r="T145" s="483"/>
      <c r="V145" s="128" t="n">
        <f aca="false">VLOOKUP(K145,PJM_01212000!$A$7:$C$259,3)</f>
        <v>109.199996948242</v>
      </c>
      <c r="W145" s="128"/>
      <c r="X145" s="484" t="n">
        <f aca="false">'PJM Curve Simulation'!J145</f>
        <v>109.199996948242</v>
      </c>
      <c r="Y145" s="489"/>
      <c r="Z145" s="483"/>
      <c r="AA145" s="59" t="n">
        <f aca="false">AA144</f>
        <v>315</v>
      </c>
      <c r="AB145" s="425" t="n">
        <f aca="false">AA145*F145*16</f>
        <v>115920</v>
      </c>
      <c r="AC145" s="425" t="n">
        <f aca="false">VLOOKUP(K145,'Company Volumes'!$B$20:$C$259,2)</f>
        <v>50841.0314006716</v>
      </c>
      <c r="AD145" s="485" t="n">
        <f aca="false">IF(V145&gt;S145+($AM$5*1000*O145),AA145*F145*16,0)</f>
        <v>115920</v>
      </c>
      <c r="AE145" s="425"/>
      <c r="AF145" s="425" t="n">
        <v>0</v>
      </c>
      <c r="AG145" s="425" t="n">
        <v>0</v>
      </c>
      <c r="AH145" s="425" t="n">
        <f aca="false">X145*AD145</f>
        <v>12658463.6462402</v>
      </c>
      <c r="AI145" s="425" t="n">
        <f aca="false">SUM(AF145:AH145)</f>
        <v>12658463.6462402</v>
      </c>
      <c r="AJ145" s="425" t="n">
        <f aca="false">(AD145*1000*$S$2)/1000000*R145</f>
        <v>4971709.88826207</v>
      </c>
      <c r="AK145" s="425" t="n">
        <f aca="false">($AK$5*O145)/12</f>
        <v>68076.0438472048</v>
      </c>
      <c r="AL145" s="425" t="n">
        <f aca="false">($AL$5*O145)/12</f>
        <v>173593.911810372</v>
      </c>
      <c r="AM145" s="425" t="n">
        <f aca="false">AD145*$AM$5*1000*O145</f>
        <v>315655.000110719</v>
      </c>
      <c r="AN145" s="425" t="n">
        <f aca="false">(($AN$5*O145)/12)*$S$4</f>
        <v>155667.220263942</v>
      </c>
      <c r="AO145" s="425" t="n">
        <f aca="false">($AO$5*O145)/12</f>
        <v>34038.0219236024</v>
      </c>
      <c r="AP145" s="425" t="n">
        <f aca="false">AP144</f>
        <v>46500.5582152336</v>
      </c>
      <c r="AQ145" s="433" t="n">
        <f aca="false">SUM(AK145:AP145)</f>
        <v>793530.756171074</v>
      </c>
      <c r="AR145" s="425" t="n">
        <f aca="false">($AR$5*O145)/12</f>
        <v>17019.0109618012</v>
      </c>
      <c r="AS145" s="433" t="n">
        <f aca="false">AS144</f>
        <v>30387.755</v>
      </c>
      <c r="AT145" s="425" t="n">
        <f aca="false">(AI145/100)*$AT$6*O145</f>
        <v>103408.575146364</v>
      </c>
      <c r="AU145" s="433" t="n">
        <f aca="false">SUM(AJ145:AT145)-AQ145</f>
        <v>5916055.98554131</v>
      </c>
      <c r="AV145" s="433" t="n">
        <f aca="false">AI145-AU145</f>
        <v>6742407.66069893</v>
      </c>
      <c r="AW145" s="493"/>
      <c r="AX145" s="423" t="n">
        <f aca="false">K145</f>
        <v>40725</v>
      </c>
      <c r="BA145" s="126"/>
      <c r="BB145" s="481" t="n">
        <f aca="false">X145</f>
        <v>109.199996948242</v>
      </c>
      <c r="BC145" s="481" t="n">
        <f aca="false">'Curve Analysis - Base Case'!D137</f>
        <v>45.6121884780261</v>
      </c>
      <c r="BD145" s="479" t="n">
        <f aca="false">L145</f>
        <v>0.074339231319899</v>
      </c>
      <c r="BE145" s="479" t="n">
        <f aca="false">L145</f>
        <v>0.074339231319899</v>
      </c>
      <c r="BF145" s="489" t="n">
        <f aca="false">PJM_01212000!X145</f>
        <v>0.184614414105648</v>
      </c>
      <c r="BG145" s="425" t="n">
        <f aca="false">(AX145+15)-$K$1</f>
        <v>4151</v>
      </c>
      <c r="BH145" s="433" t="n">
        <f aca="false">AD145</f>
        <v>115920</v>
      </c>
      <c r="BJ145" s="486" t="e">
        <f aca="false">EURO(BB145,BC145,BD145,BE145,BF145,BG145,1,0)*BH145</f>
        <v>#NAME?</v>
      </c>
      <c r="BK145" s="433" t="n">
        <f aca="false">(AI145-AJ145)*N145</f>
        <v>3334004.82098148</v>
      </c>
      <c r="BM145" s="433" t="e">
        <f aca="false">BJ145-BK145</f>
        <v>#NAME?</v>
      </c>
    </row>
    <row r="146" customFormat="false" ht="16.5" hidden="false" customHeight="false" outlineLevel="0" collapsed="false">
      <c r="A146" s="59" t="n">
        <f aca="false">A145+1</f>
        <v>140</v>
      </c>
      <c r="C146" s="59" t="n">
        <v>31</v>
      </c>
      <c r="D146" s="59" t="s">
        <v>170</v>
      </c>
      <c r="E146" s="125" t="n">
        <f aca="false">E145+C145</f>
        <v>40756</v>
      </c>
      <c r="F146" s="425" t="n">
        <f aca="false">F98</f>
        <v>21</v>
      </c>
      <c r="G146" s="433" t="n">
        <f aca="false">C146-F146</f>
        <v>10</v>
      </c>
      <c r="H146" s="433"/>
      <c r="I146" s="433"/>
      <c r="J146" s="59" t="n">
        <f aca="false">K147-K146</f>
        <v>31</v>
      </c>
      <c r="K146" s="478" t="n">
        <v>40756</v>
      </c>
      <c r="L146" s="490" t="n">
        <v>0.074334057871135</v>
      </c>
      <c r="M146" s="491" t="n">
        <v>0.063800128286049</v>
      </c>
      <c r="N146" s="480" t="n">
        <f aca="false">(1+L146/2)^(-2*((K146+$T$1)-$K$1)/365.25)</f>
        <v>0.431079906873135</v>
      </c>
      <c r="O146" s="127" t="n">
        <f aca="false">VLOOKUP(K146,Inflation!$B$8:$C$266,2)</f>
        <v>1.36454703040703</v>
      </c>
      <c r="P146" s="480"/>
      <c r="Q146" s="481" t="n">
        <f aca="false">VLOOKUP(K146,'Fuel Curve'!$B$11:$F$268,5)</f>
        <v>4.56793103448276</v>
      </c>
      <c r="R146" s="482" t="n">
        <f aca="false">VLOOKUP(K146,'Fuel Curve Simulation'!$B$12:$J$258,9)</f>
        <v>4.56793103448276</v>
      </c>
      <c r="S146" s="481" t="n">
        <f aca="false">(R146*$S$2)/1000</f>
        <v>43.7562113793104</v>
      </c>
      <c r="T146" s="483"/>
      <c r="V146" s="128" t="n">
        <f aca="false">VLOOKUP(K146,PJM_01212000!$A$7:$C$259,3)</f>
        <v>96.1999969482422</v>
      </c>
      <c r="W146" s="128"/>
      <c r="X146" s="484" t="n">
        <f aca="false">'PJM Curve Simulation'!J146</f>
        <v>96.1999969482422</v>
      </c>
      <c r="Y146" s="489"/>
      <c r="Z146" s="483"/>
      <c r="AA146" s="59" t="n">
        <f aca="false">AA145</f>
        <v>315</v>
      </c>
      <c r="AB146" s="425" t="n">
        <f aca="false">AA146*F146*16</f>
        <v>105840</v>
      </c>
      <c r="AC146" s="425" t="n">
        <f aca="false">VLOOKUP(K146,'Company Volumes'!$B$20:$C$259,2)</f>
        <v>33894.0209341098</v>
      </c>
      <c r="AD146" s="485" t="n">
        <f aca="false">IF(V146&gt;S146+($AM$5*1000*O146),AA146*F146*16,0)</f>
        <v>105840</v>
      </c>
      <c r="AE146" s="425"/>
      <c r="AF146" s="425" t="n">
        <v>0</v>
      </c>
      <c r="AG146" s="425" t="n">
        <v>0</v>
      </c>
      <c r="AH146" s="425" t="n">
        <f aca="false">X146*AD146</f>
        <v>10181807.677002</v>
      </c>
      <c r="AI146" s="425" t="n">
        <f aca="false">SUM(AF146:AH146)</f>
        <v>10181807.677002</v>
      </c>
      <c r="AJ146" s="425" t="n">
        <f aca="false">(AD146*1000*$S$2)/1000000*R146</f>
        <v>4631157.41238621</v>
      </c>
      <c r="AK146" s="425" t="n">
        <f aca="false">($AK$5*O146)/12</f>
        <v>68227.3515203514</v>
      </c>
      <c r="AL146" s="425" t="n">
        <f aca="false">($AL$5*O146)/12</f>
        <v>173979.746376896</v>
      </c>
      <c r="AM146" s="425" t="n">
        <f aca="false">AD146*$AM$5*1000*O146</f>
        <v>288847.31539656</v>
      </c>
      <c r="AN146" s="425" t="n">
        <f aca="false">(($AN$5*O146)/12)*$S$4</f>
        <v>156013.210476537</v>
      </c>
      <c r="AO146" s="425" t="n">
        <f aca="false">($AO$5*O146)/12</f>
        <v>34113.6757601757</v>
      </c>
      <c r="AP146" s="425" t="n">
        <f aca="false">AP145</f>
        <v>46500.5582152336</v>
      </c>
      <c r="AQ146" s="433" t="n">
        <f aca="false">SUM(AK146:AP146)</f>
        <v>767681.857745754</v>
      </c>
      <c r="AR146" s="425" t="n">
        <f aca="false">($AR$5*O146)/12</f>
        <v>17056.8378800879</v>
      </c>
      <c r="AS146" s="433" t="n">
        <f aca="false">AS145</f>
        <v>30387.755</v>
      </c>
      <c r="AT146" s="425" t="n">
        <f aca="false">(AI146/100)*$AT$6*O146</f>
        <v>83361.332578971</v>
      </c>
      <c r="AU146" s="433" t="n">
        <f aca="false">SUM(AJ146:AT146)-AQ146</f>
        <v>5529645.19559102</v>
      </c>
      <c r="AV146" s="433" t="n">
        <f aca="false">AI146-AU146</f>
        <v>4652162.48141093</v>
      </c>
      <c r="AW146" s="493"/>
      <c r="AX146" s="423" t="n">
        <f aca="false">K146</f>
        <v>40756</v>
      </c>
      <c r="BA146" s="126"/>
      <c r="BB146" s="481" t="n">
        <f aca="false">X146</f>
        <v>96.1999969482422</v>
      </c>
      <c r="BC146" s="481" t="n">
        <f aca="false">'Curve Analysis - Base Case'!D138</f>
        <v>46.4853054401244</v>
      </c>
      <c r="BD146" s="479" t="n">
        <f aca="false">L146</f>
        <v>0.074334057871135</v>
      </c>
      <c r="BE146" s="479" t="n">
        <f aca="false">L146</f>
        <v>0.074334057871135</v>
      </c>
      <c r="BF146" s="489" t="n">
        <f aca="false">PJM_01212000!X146</f>
        <v>0.184614414105648</v>
      </c>
      <c r="BG146" s="425" t="n">
        <f aca="false">(AX146+15)-$K$1</f>
        <v>4182</v>
      </c>
      <c r="BH146" s="433" t="n">
        <f aca="false">AD146</f>
        <v>105840</v>
      </c>
      <c r="BJ146" s="486" t="e">
        <f aca="false">EURO(BB146,BC146,BD146,BE146,BF146,BG146,1,0)*BH146</f>
        <v>#NAME?</v>
      </c>
      <c r="BK146" s="433" t="n">
        <f aca="false">(AI146-AJ146)*N146</f>
        <v>2392773.7991559</v>
      </c>
      <c r="BM146" s="433" t="e">
        <f aca="false">BJ146-BK146</f>
        <v>#NAME?</v>
      </c>
    </row>
    <row r="147" customFormat="false" ht="16.5" hidden="false" customHeight="false" outlineLevel="0" collapsed="false">
      <c r="A147" s="59" t="n">
        <f aca="false">A146+1</f>
        <v>141</v>
      </c>
      <c r="C147" s="59" t="n">
        <v>30</v>
      </c>
      <c r="D147" s="59" t="s">
        <v>171</v>
      </c>
      <c r="E147" s="125" t="n">
        <f aca="false">E146+C146</f>
        <v>40787</v>
      </c>
      <c r="F147" s="425" t="n">
        <f aca="false">F99</f>
        <v>22</v>
      </c>
      <c r="G147" s="433" t="n">
        <f aca="false">C147-F147</f>
        <v>8</v>
      </c>
      <c r="H147" s="433"/>
      <c r="I147" s="433"/>
      <c r="J147" s="59" t="n">
        <f aca="false">K148-K147</f>
        <v>30</v>
      </c>
      <c r="K147" s="478" t="n">
        <v>40787</v>
      </c>
      <c r="L147" s="490" t="n">
        <v>0.074328884422379</v>
      </c>
      <c r="M147" s="491" t="n">
        <v>0.063811740467497</v>
      </c>
      <c r="N147" s="480" t="n">
        <f aca="false">(1+L147/2)^(-2*((K147+$T$1)-$K$1)/365.25)</f>
        <v>0.428442627339498</v>
      </c>
      <c r="O147" s="127" t="n">
        <f aca="false">VLOOKUP(K147,Inflation!$B$8:$C$266,2)</f>
        <v>1.36757990988125</v>
      </c>
      <c r="P147" s="480"/>
      <c r="Q147" s="481" t="n">
        <f aca="false">VLOOKUP(K147,'Fuel Curve'!$B$11:$F$268,5)</f>
        <v>4.66275862068966</v>
      </c>
      <c r="R147" s="482" t="n">
        <f aca="false">VLOOKUP(K147,'Fuel Curve Simulation'!$B$12:$J$258,9)</f>
        <v>4.66275862068966</v>
      </c>
      <c r="S147" s="481" t="n">
        <f aca="false">(R147*$S$2)/1000</f>
        <v>44.6645648275862</v>
      </c>
      <c r="T147" s="483"/>
      <c r="V147" s="128" t="n">
        <f aca="false">VLOOKUP(K147,PJM_01212000!$A$7:$C$259,3)</f>
        <v>36.9249984741211</v>
      </c>
      <c r="W147" s="128"/>
      <c r="X147" s="484" t="n">
        <f aca="false">'PJM Curve Simulation'!J147</f>
        <v>36.9249984741211</v>
      </c>
      <c r="Y147" s="489"/>
      <c r="Z147" s="483"/>
      <c r="AA147" s="59" t="n">
        <f aca="false">AA146</f>
        <v>315</v>
      </c>
      <c r="AB147" s="425" t="n">
        <f aca="false">AA147*F147*16</f>
        <v>110880</v>
      </c>
      <c r="AC147" s="425" t="n">
        <f aca="false">VLOOKUP(K147,'Company Volumes'!$B$20:$C$259,2)</f>
        <v>20398.210853636</v>
      </c>
      <c r="AD147" s="485" t="n">
        <f aca="false">IF(V147&gt;S147+($AM$5*1000*O147),AA147*F147*16,0)</f>
        <v>0</v>
      </c>
      <c r="AE147" s="425"/>
      <c r="AF147" s="425" t="n">
        <v>0</v>
      </c>
      <c r="AG147" s="425" t="n">
        <v>0</v>
      </c>
      <c r="AH147" s="425" t="n">
        <f aca="false">X147*AD147</f>
        <v>0</v>
      </c>
      <c r="AI147" s="425" t="n">
        <f aca="false">SUM(AF147:AH147)</f>
        <v>0</v>
      </c>
      <c r="AJ147" s="425" t="n">
        <f aca="false">(AD147*1000*$S$2)/1000000*R147</f>
        <v>0</v>
      </c>
      <c r="AK147" s="425" t="n">
        <f aca="false">($AK$5*O147)/12</f>
        <v>68378.9954940623</v>
      </c>
      <c r="AL147" s="425" t="n">
        <f aca="false">($AL$5*O147)/12</f>
        <v>174366.438509859</v>
      </c>
      <c r="AM147" s="425" t="n">
        <f aca="false">AD147*$AM$5*1000*O147</f>
        <v>0</v>
      </c>
      <c r="AN147" s="425" t="n">
        <f aca="false">(($AN$5*O147)/12)*$S$4</f>
        <v>156359.969696422</v>
      </c>
      <c r="AO147" s="425" t="n">
        <f aca="false">($AO$5*O147)/12</f>
        <v>34189.4977470311</v>
      </c>
      <c r="AP147" s="425" t="n">
        <f aca="false">AP146</f>
        <v>46500.5582152336</v>
      </c>
      <c r="AQ147" s="433" t="n">
        <f aca="false">SUM(AK147:AP147)</f>
        <v>479795.459662608</v>
      </c>
      <c r="AR147" s="425" t="n">
        <f aca="false">($AR$5*O147)/12</f>
        <v>17094.7488735156</v>
      </c>
      <c r="AS147" s="433" t="n">
        <f aca="false">AS146</f>
        <v>30387.755</v>
      </c>
      <c r="AT147" s="425" t="n">
        <f aca="false">(AI147/100)*$AT$6*O147</f>
        <v>0</v>
      </c>
      <c r="AU147" s="433" t="n">
        <f aca="false">SUM(AJ147:AT147)-AQ147</f>
        <v>527277.963536124</v>
      </c>
      <c r="AV147" s="433" t="n">
        <f aca="false">AI147-AU147</f>
        <v>-527277.963536124</v>
      </c>
      <c r="AW147" s="493"/>
      <c r="AX147" s="423" t="n">
        <f aca="false">K147</f>
        <v>40787</v>
      </c>
      <c r="BA147" s="126"/>
      <c r="BB147" s="481" t="n">
        <f aca="false">X147</f>
        <v>36.9249984741211</v>
      </c>
      <c r="BC147" s="481" t="n">
        <f aca="false">'Curve Analysis - Base Case'!D139</f>
        <v>47.3997246473487</v>
      </c>
      <c r="BD147" s="479" t="n">
        <f aca="false">L147</f>
        <v>0.074328884422379</v>
      </c>
      <c r="BE147" s="479" t="n">
        <f aca="false">L147</f>
        <v>0.074328884422379</v>
      </c>
      <c r="BF147" s="489" t="n">
        <f aca="false">PJM_01212000!X147</f>
        <v>0.118668585742841</v>
      </c>
      <c r="BG147" s="425" t="n">
        <f aca="false">(AX147+15)-$K$1</f>
        <v>4213</v>
      </c>
      <c r="BH147" s="433" t="n">
        <f aca="false">AD147</f>
        <v>0</v>
      </c>
      <c r="BJ147" s="486" t="e">
        <f aca="false">EURO(BB147,BC147,BD147,BE147,BF147,BG147,1,0)*BH147</f>
        <v>#NAME?</v>
      </c>
      <c r="BK147" s="433" t="n">
        <f aca="false">(AI147-AJ147)*N147</f>
        <v>0</v>
      </c>
      <c r="BM147" s="433" t="e">
        <f aca="false">BJ147-BK147</f>
        <v>#NAME?</v>
      </c>
    </row>
    <row r="148" customFormat="false" ht="16.5" hidden="false" customHeight="false" outlineLevel="0" collapsed="false">
      <c r="A148" s="59" t="n">
        <f aca="false">A147+1</f>
        <v>142</v>
      </c>
      <c r="C148" s="59" t="n">
        <v>31</v>
      </c>
      <c r="D148" s="59" t="s">
        <v>172</v>
      </c>
      <c r="E148" s="125" t="n">
        <f aca="false">E147+C147</f>
        <v>40817</v>
      </c>
      <c r="F148" s="425" t="n">
        <f aca="false">F100</f>
        <v>23</v>
      </c>
      <c r="G148" s="433" t="n">
        <f aca="false">C148-F148</f>
        <v>8</v>
      </c>
      <c r="H148" s="433"/>
      <c r="I148" s="433"/>
      <c r="J148" s="59" t="n">
        <f aca="false">K149-K148</f>
        <v>31</v>
      </c>
      <c r="K148" s="478" t="n">
        <v>40817</v>
      </c>
      <c r="L148" s="490" t="n">
        <v>0.074323877859076</v>
      </c>
      <c r="M148" s="491" t="n">
        <v>0.063822978063342</v>
      </c>
      <c r="N148" s="480" t="n">
        <f aca="false">(1+L148/2)^(-2*((K148+$T$1)-$K$1)/365.25)</f>
        <v>0.425906127925494</v>
      </c>
      <c r="O148" s="127" t="n">
        <f aca="false">VLOOKUP(K148,Inflation!$B$8:$C$266,2)</f>
        <v>1.37061953031616</v>
      </c>
      <c r="P148" s="480"/>
      <c r="Q148" s="481" t="n">
        <f aca="false">VLOOKUP(K148,'Fuel Curve'!$B$11:$F$268,5)</f>
        <v>4.75534482758621</v>
      </c>
      <c r="R148" s="482" t="n">
        <f aca="false">VLOOKUP(K148,'Fuel Curve Simulation'!$B$12:$J$258,9)</f>
        <v>4.75534482758621</v>
      </c>
      <c r="S148" s="481" t="n">
        <f aca="false">(R148*$S$2)/1000</f>
        <v>45.5514481034483</v>
      </c>
      <c r="T148" s="483"/>
      <c r="V148" s="128" t="n">
        <f aca="false">VLOOKUP(K148,PJM_01212000!$A$7:$C$259,3)</f>
        <v>30.3250003814697</v>
      </c>
      <c r="W148" s="128"/>
      <c r="X148" s="484" t="n">
        <f aca="false">'PJM Curve Simulation'!J148</f>
        <v>30.3250003814697</v>
      </c>
      <c r="Y148" s="489"/>
      <c r="Z148" s="483"/>
      <c r="AA148" s="59" t="n">
        <f aca="false">AA147</f>
        <v>315</v>
      </c>
      <c r="AB148" s="425" t="n">
        <f aca="false">AA148*F148*16</f>
        <v>115920</v>
      </c>
      <c r="AC148" s="425" t="n">
        <f aca="false">VLOOKUP(K148,'Company Volumes'!$B$20:$C$259,2)</f>
        <v>3391.09689036222</v>
      </c>
      <c r="AD148" s="485" t="n">
        <f aca="false">IF(V148&gt;S148+($AM$5*1000*O148),AA148*F148*16,0)</f>
        <v>0</v>
      </c>
      <c r="AE148" s="425"/>
      <c r="AF148" s="425" t="n">
        <v>0</v>
      </c>
      <c r="AG148" s="425" t="n">
        <v>0</v>
      </c>
      <c r="AH148" s="425" t="n">
        <f aca="false">X148*AD148</f>
        <v>0</v>
      </c>
      <c r="AI148" s="425" t="n">
        <f aca="false">SUM(AF148:AH148)</f>
        <v>0</v>
      </c>
      <c r="AJ148" s="425" t="n">
        <f aca="false">(AD148*1000*$S$2)/1000000*R148</f>
        <v>0</v>
      </c>
      <c r="AK148" s="425" t="n">
        <f aca="false">($AK$5*O148)/12</f>
        <v>68530.9765158081</v>
      </c>
      <c r="AL148" s="425" t="n">
        <f aca="false">($AL$5*O148)/12</f>
        <v>174753.990115311</v>
      </c>
      <c r="AM148" s="425" t="n">
        <f aca="false">AD148*$AM$5*1000*O148</f>
        <v>0</v>
      </c>
      <c r="AN148" s="425" t="n">
        <f aca="false">(($AN$5*O148)/12)*$S$4</f>
        <v>156707.499632814</v>
      </c>
      <c r="AO148" s="425" t="n">
        <f aca="false">($AO$5*O148)/12</f>
        <v>34265.488257904</v>
      </c>
      <c r="AP148" s="425" t="n">
        <f aca="false">AP147</f>
        <v>46500.5582152336</v>
      </c>
      <c r="AQ148" s="433" t="n">
        <f aca="false">SUM(AK148:AP148)</f>
        <v>480758.512737071</v>
      </c>
      <c r="AR148" s="425" t="n">
        <f aca="false">($AR$5*O148)/12</f>
        <v>17132.744128952</v>
      </c>
      <c r="AS148" s="433" t="n">
        <f aca="false">AS147</f>
        <v>30387.755</v>
      </c>
      <c r="AT148" s="425" t="n">
        <f aca="false">(AI148/100)*$AT$6*O148</f>
        <v>0</v>
      </c>
      <c r="AU148" s="433" t="n">
        <f aca="false">SUM(AJ148:AT148)-AQ148</f>
        <v>528279.011866023</v>
      </c>
      <c r="AV148" s="433" t="n">
        <f aca="false">AI148-AU148</f>
        <v>-528279.011866023</v>
      </c>
      <c r="AW148" s="493"/>
      <c r="AX148" s="423" t="n">
        <f aca="false">K148</f>
        <v>40817</v>
      </c>
      <c r="BA148" s="126"/>
      <c r="BB148" s="481" t="n">
        <f aca="false">X148</f>
        <v>30.3250003814697</v>
      </c>
      <c r="BC148" s="481" t="n">
        <f aca="false">'Curve Analysis - Base Case'!D140</f>
        <v>48.2926871640806</v>
      </c>
      <c r="BD148" s="479" t="n">
        <f aca="false">L148</f>
        <v>0.074323877859076</v>
      </c>
      <c r="BE148" s="479" t="n">
        <f aca="false">L148</f>
        <v>0.074323877859076</v>
      </c>
      <c r="BF148" s="489" t="n">
        <f aca="false">PJM_01212000!X148</f>
        <v>0.0839156427752944</v>
      </c>
      <c r="BG148" s="425" t="n">
        <f aca="false">(AX148+15)-$K$1</f>
        <v>4243</v>
      </c>
      <c r="BH148" s="433" t="n">
        <f aca="false">AD148</f>
        <v>0</v>
      </c>
      <c r="BJ148" s="486" t="e">
        <f aca="false">EURO(BB148,BC148,BD148,BE148,BF148,BG148,1,0)*BH148</f>
        <v>#NAME?</v>
      </c>
      <c r="BK148" s="433" t="n">
        <f aca="false">(AI148-AJ148)*N148</f>
        <v>0</v>
      </c>
      <c r="BM148" s="433" t="e">
        <f aca="false">BJ148-BK148</f>
        <v>#NAME?</v>
      </c>
    </row>
    <row r="149" customFormat="false" ht="16.5" hidden="false" customHeight="false" outlineLevel="0" collapsed="false">
      <c r="A149" s="59" t="n">
        <f aca="false">A148+1</f>
        <v>143</v>
      </c>
      <c r="C149" s="59" t="n">
        <v>30</v>
      </c>
      <c r="D149" s="59" t="s">
        <v>173</v>
      </c>
      <c r="E149" s="125" t="n">
        <f aca="false">E148+C148</f>
        <v>40848</v>
      </c>
      <c r="F149" s="425" t="n">
        <f aca="false">F101</f>
        <v>20</v>
      </c>
      <c r="G149" s="433" t="n">
        <f aca="false">C149-F149</f>
        <v>10</v>
      </c>
      <c r="H149" s="433"/>
      <c r="I149" s="433"/>
      <c r="J149" s="59" t="n">
        <f aca="false">K150-K149</f>
        <v>30</v>
      </c>
      <c r="K149" s="478" t="n">
        <v>40848</v>
      </c>
      <c r="L149" s="490" t="n">
        <v>0.074318704410337</v>
      </c>
      <c r="M149" s="491" t="n">
        <v>0.063834590246639</v>
      </c>
      <c r="N149" s="480" t="n">
        <f aca="false">(1+L149/2)^(-2*((K149+$T$1)-$K$1)/365.25)</f>
        <v>0.423301206148127</v>
      </c>
      <c r="O149" s="127" t="n">
        <f aca="false">VLOOKUP(K149,Inflation!$B$8:$C$266,2)</f>
        <v>1.37366590669442</v>
      </c>
      <c r="P149" s="480"/>
      <c r="Q149" s="481" t="n">
        <f aca="false">VLOOKUP(K149,'Fuel Curve'!$B$11:$F$268,5)</f>
        <v>4.80465517241379</v>
      </c>
      <c r="R149" s="482" t="n">
        <f aca="false">VLOOKUP(K149,'Fuel Curve Simulation'!$B$12:$J$258,9)</f>
        <v>4.80465517241379</v>
      </c>
      <c r="S149" s="481" t="n">
        <f aca="false">(R149*$S$2)/1000</f>
        <v>46.0237918965517</v>
      </c>
      <c r="T149" s="483"/>
      <c r="V149" s="128" t="n">
        <f aca="false">VLOOKUP(K149,PJM_01212000!$A$7:$C$259,3)</f>
        <v>29.9974990844727</v>
      </c>
      <c r="W149" s="128"/>
      <c r="X149" s="484" t="n">
        <f aca="false">'PJM Curve Simulation'!J149</f>
        <v>29.9974990844727</v>
      </c>
      <c r="Y149" s="489"/>
      <c r="Z149" s="483"/>
      <c r="AA149" s="59" t="n">
        <f aca="false">AA148</f>
        <v>315</v>
      </c>
      <c r="AB149" s="425" t="n">
        <f aca="false">AA149*F149*16</f>
        <v>100800</v>
      </c>
      <c r="AC149" s="425" t="n">
        <f aca="false">VLOOKUP(K149,'Company Volumes'!$B$20:$C$259,2)</f>
        <v>8202.20827645644</v>
      </c>
      <c r="AD149" s="485" t="n">
        <f aca="false">IF(V149&gt;S149+($AM$5*1000*O149),AA149*F149*16,0)</f>
        <v>0</v>
      </c>
      <c r="AE149" s="425"/>
      <c r="AF149" s="425" t="n">
        <v>0</v>
      </c>
      <c r="AG149" s="425" t="n">
        <v>0</v>
      </c>
      <c r="AH149" s="425" t="n">
        <f aca="false">X149*AD149</f>
        <v>0</v>
      </c>
      <c r="AI149" s="425" t="n">
        <f aca="false">SUM(AF149:AH149)</f>
        <v>0</v>
      </c>
      <c r="AJ149" s="425" t="n">
        <f aca="false">(AD149*1000*$S$2)/1000000*R149</f>
        <v>0</v>
      </c>
      <c r="AK149" s="425" t="n">
        <f aca="false">($AK$5*O149)/12</f>
        <v>68683.2953347211</v>
      </c>
      <c r="AL149" s="425" t="n">
        <f aca="false">($AL$5*O149)/12</f>
        <v>175142.403103539</v>
      </c>
      <c r="AM149" s="425" t="n">
        <f aca="false">AD149*$AM$5*1000*O149</f>
        <v>0</v>
      </c>
      <c r="AN149" s="425" t="n">
        <f aca="false">(($AN$5*O149)/12)*$S$4</f>
        <v>157055.801998729</v>
      </c>
      <c r="AO149" s="425" t="n">
        <f aca="false">($AO$5*O149)/12</f>
        <v>34341.6476673605</v>
      </c>
      <c r="AP149" s="425" t="n">
        <f aca="false">AP148</f>
        <v>46500.5582152336</v>
      </c>
      <c r="AQ149" s="433" t="n">
        <f aca="false">SUM(AK149:AP149)</f>
        <v>481723.706319583</v>
      </c>
      <c r="AR149" s="425" t="n">
        <f aca="false">($AR$5*O149)/12</f>
        <v>17170.8238336803</v>
      </c>
      <c r="AS149" s="433" t="n">
        <f aca="false">AS148</f>
        <v>30387.755</v>
      </c>
      <c r="AT149" s="425" t="n">
        <f aca="false">(AI149/100)*$AT$6*O149</f>
        <v>0</v>
      </c>
      <c r="AU149" s="433" t="n">
        <f aca="false">SUM(AJ149:AT149)-AQ149</f>
        <v>529282.285153263</v>
      </c>
      <c r="AV149" s="433" t="n">
        <f aca="false">AI149-AU149</f>
        <v>-529282.285153263</v>
      </c>
      <c r="AW149" s="493"/>
      <c r="AX149" s="423" t="n">
        <f aca="false">K149</f>
        <v>40848</v>
      </c>
      <c r="BA149" s="126"/>
      <c r="BB149" s="481" t="n">
        <f aca="false">X149</f>
        <v>29.9974990844727</v>
      </c>
      <c r="BC149" s="481" t="n">
        <f aca="false">'Curve Analysis - Base Case'!D141</f>
        <v>48.7711237099406</v>
      </c>
      <c r="BD149" s="479" t="n">
        <f aca="false">L149</f>
        <v>0.074318704410337</v>
      </c>
      <c r="BE149" s="479" t="n">
        <f aca="false">L149</f>
        <v>0.074318704410337</v>
      </c>
      <c r="BF149" s="489" t="n">
        <f aca="false">PJM_01212000!X149</f>
        <v>0.0839156427752944</v>
      </c>
      <c r="BG149" s="425" t="n">
        <f aca="false">(AX149+15)-$K$1</f>
        <v>4274</v>
      </c>
      <c r="BH149" s="433" t="n">
        <f aca="false">AD149</f>
        <v>0</v>
      </c>
      <c r="BJ149" s="486" t="e">
        <f aca="false">EURO(BB149,BC149,BD149,BE149,BF149,BG149,1,0)*BH149</f>
        <v>#NAME?</v>
      </c>
      <c r="BK149" s="433" t="n">
        <f aca="false">(AI149-AJ149)*N149</f>
        <v>0</v>
      </c>
      <c r="BM149" s="433" t="e">
        <f aca="false">BJ149-BK149</f>
        <v>#NAME?</v>
      </c>
    </row>
    <row r="150" customFormat="false" ht="16.5" hidden="false" customHeight="false" outlineLevel="0" collapsed="false">
      <c r="A150" s="59" t="n">
        <f aca="false">A149+1</f>
        <v>144</v>
      </c>
      <c r="C150" s="59" t="n">
        <v>31</v>
      </c>
      <c r="D150" s="59" t="s">
        <v>174</v>
      </c>
      <c r="E150" s="125" t="n">
        <f aca="false">E149+C149</f>
        <v>40878</v>
      </c>
      <c r="F150" s="425" t="n">
        <f aca="false">F102</f>
        <v>23</v>
      </c>
      <c r="G150" s="433" t="n">
        <f aca="false">C150-F150</f>
        <v>8</v>
      </c>
      <c r="H150" s="433" t="n">
        <f aca="false">SUM(F139:G150)</f>
        <v>365</v>
      </c>
      <c r="I150" s="433"/>
      <c r="J150" s="59" t="n">
        <f aca="false">K151-K150</f>
        <v>31</v>
      </c>
      <c r="K150" s="478" t="n">
        <v>40878</v>
      </c>
      <c r="L150" s="490" t="n">
        <v>0.07431369784705</v>
      </c>
      <c r="M150" s="491" t="n">
        <v>0.063845827844272</v>
      </c>
      <c r="N150" s="480" t="n">
        <f aca="false">(1+L150/2)^(-2*((K150+$T$1)-$K$1)/365.25)</f>
        <v>0.420795823969066</v>
      </c>
      <c r="O150" s="127" t="n">
        <f aca="false">VLOOKUP(K150,Inflation!$B$8:$C$266,2)</f>
        <v>1.37671905403197</v>
      </c>
      <c r="P150" s="480"/>
      <c r="Q150" s="481" t="n">
        <f aca="false">VLOOKUP(K150,'Fuel Curve'!$B$11:$F$268,5)</f>
        <v>4.84741379310345</v>
      </c>
      <c r="R150" s="482" t="n">
        <f aca="false">VLOOKUP(K150,'Fuel Curve Simulation'!$B$12:$J$258,9)</f>
        <v>4.84741379310345</v>
      </c>
      <c r="S150" s="481" t="n">
        <f aca="false">(R150*$S$2)/1000</f>
        <v>46.4333767241379</v>
      </c>
      <c r="T150" s="483"/>
      <c r="V150" s="128" t="n">
        <f aca="false">VLOOKUP(K150,PJM_01212000!$A$7:$C$259,3)</f>
        <v>31.7499996185303</v>
      </c>
      <c r="W150" s="128"/>
      <c r="X150" s="484" t="n">
        <f aca="false">'PJM Curve Simulation'!J150</f>
        <v>31.7499996185303</v>
      </c>
      <c r="Y150" s="489"/>
      <c r="Z150" s="483"/>
      <c r="AA150" s="59" t="n">
        <f aca="false">AA149</f>
        <v>315</v>
      </c>
      <c r="AB150" s="425" t="n">
        <f aca="false">AA150*F150*16</f>
        <v>115920</v>
      </c>
      <c r="AC150" s="425" t="n">
        <f aca="false">VLOOKUP(K150,'Company Volumes'!$B$20:$C$259,2)</f>
        <v>8202.20827645644</v>
      </c>
      <c r="AD150" s="485" t="n">
        <f aca="false">IF(V150&gt;S150+($AM$5*1000*O150),AA150*F150*16,0)</f>
        <v>0</v>
      </c>
      <c r="AE150" s="425"/>
      <c r="AF150" s="425" t="n">
        <v>0</v>
      </c>
      <c r="AG150" s="425" t="n">
        <v>0</v>
      </c>
      <c r="AH150" s="425" t="n">
        <f aca="false">X150*AD150</f>
        <v>0</v>
      </c>
      <c r="AI150" s="425" t="n">
        <f aca="false">SUM(AF150:AH150)</f>
        <v>0</v>
      </c>
      <c r="AJ150" s="425" t="n">
        <f aca="false">(AD150*1000*$S$2)/1000000*R150</f>
        <v>0</v>
      </c>
      <c r="AK150" s="425" t="n">
        <f aca="false">($AK$5*O150)/12</f>
        <v>68835.9527015984</v>
      </c>
      <c r="AL150" s="425" t="n">
        <f aca="false">($AL$5*O150)/12</f>
        <v>175531.679389076</v>
      </c>
      <c r="AM150" s="425" t="n">
        <f aca="false">AD150*$AM$5*1000*O150</f>
        <v>0</v>
      </c>
      <c r="AN150" s="425" t="n">
        <f aca="false">(($AN$5*O150)/12)*$S$4</f>
        <v>157404.878510988</v>
      </c>
      <c r="AO150" s="425" t="n">
        <f aca="false">($AO$5*O150)/12</f>
        <v>34417.9763507992</v>
      </c>
      <c r="AP150" s="425" t="n">
        <f aca="false">AP149</f>
        <v>46500.5582152336</v>
      </c>
      <c r="AQ150" s="433" t="n">
        <f aca="false">SUM(AK150:AP150)</f>
        <v>482691.045167696</v>
      </c>
      <c r="AR150" s="425" t="n">
        <f aca="false">($AR$5*O150)/12</f>
        <v>17208.9881753996</v>
      </c>
      <c r="AS150" s="433" t="n">
        <f aca="false">AS149</f>
        <v>30387.755</v>
      </c>
      <c r="AT150" s="425" t="n">
        <f aca="false">(AI150/100)*$AT$6*O150</f>
        <v>0</v>
      </c>
      <c r="AU150" s="433" t="n">
        <f aca="false">SUM(AJ150:AT150)-AQ150</f>
        <v>530287.788343095</v>
      </c>
      <c r="AV150" s="433" t="n">
        <f aca="false">AI150-AU150</f>
        <v>-530287.788343095</v>
      </c>
      <c r="AW150" s="493"/>
      <c r="AX150" s="423" t="n">
        <f aca="false">K150</f>
        <v>40878</v>
      </c>
      <c r="AY150" s="425" t="n">
        <f aca="false">'Debt Amortization'!S8</f>
        <v>5493838.5181149</v>
      </c>
      <c r="AZ150" s="425" t="n">
        <f aca="false">AY150*N150</f>
        <v>2311784.30598315</v>
      </c>
      <c r="BA150" s="126"/>
      <c r="BB150" s="481" t="n">
        <f aca="false">X150</f>
        <v>31.7499996185303</v>
      </c>
      <c r="BC150" s="481" t="n">
        <f aca="false">'Curve Analysis - Base Case'!D142</f>
        <v>49.1868148322019</v>
      </c>
      <c r="BD150" s="479" t="n">
        <f aca="false">L150</f>
        <v>0.07431369784705</v>
      </c>
      <c r="BE150" s="479" t="n">
        <f aca="false">L150</f>
        <v>0.07431369784705</v>
      </c>
      <c r="BF150" s="489" t="n">
        <f aca="false">PJM_01212000!X150</f>
        <v>0.0839156427752944</v>
      </c>
      <c r="BG150" s="425" t="n">
        <f aca="false">(AX150+15)-$K$1</f>
        <v>4304</v>
      </c>
      <c r="BH150" s="433" t="n">
        <f aca="false">AD150</f>
        <v>0</v>
      </c>
      <c r="BJ150" s="486" t="e">
        <f aca="false">EURO(BB150,BC150,BD150,BE150,BF150,BG150,1,0)*BH150</f>
        <v>#NAME?</v>
      </c>
      <c r="BK150" s="433" t="n">
        <f aca="false">(AI150-AJ150)*N150</f>
        <v>0</v>
      </c>
      <c r="BM150" s="433" t="e">
        <f aca="false">BJ150-BK150</f>
        <v>#NAME?</v>
      </c>
    </row>
    <row r="151" customFormat="false" ht="16.5" hidden="false" customHeight="false" outlineLevel="0" collapsed="false">
      <c r="A151" s="59" t="n">
        <f aca="false">A150+1</f>
        <v>145</v>
      </c>
      <c r="C151" s="59" t="n">
        <v>31</v>
      </c>
      <c r="D151" s="59" t="s">
        <v>164</v>
      </c>
      <c r="E151" s="125" t="n">
        <f aca="false">E150+C150</f>
        <v>40909</v>
      </c>
      <c r="F151" s="425" t="n">
        <f aca="false">F103</f>
        <v>22</v>
      </c>
      <c r="G151" s="433" t="n">
        <f aca="false">C151-F151</f>
        <v>9</v>
      </c>
      <c r="H151" s="433"/>
      <c r="I151" s="433"/>
      <c r="J151" s="59" t="n">
        <f aca="false">K152-K151</f>
        <v>31</v>
      </c>
      <c r="K151" s="478" t="n">
        <v>40909</v>
      </c>
      <c r="L151" s="490" t="n">
        <v>0.07430852439833</v>
      </c>
      <c r="M151" s="491" t="n">
        <v>0.063857440029416</v>
      </c>
      <c r="N151" s="480" t="n">
        <f aca="false">(1+L151/2)^(-2*((K151+$T$1)-$K$1)/365.25)</f>
        <v>0.418222854696821</v>
      </c>
      <c r="O151" s="127" t="n">
        <f aca="false">VLOOKUP(K151,Inflation!$B$8:$C$266,2)</f>
        <v>1.37977898737812</v>
      </c>
      <c r="P151" s="480"/>
      <c r="Q151" s="481" t="n">
        <f aca="false">VLOOKUP(K151,'Fuel Curve'!$B$11:$F$268,5)</f>
        <v>4.79017241379311</v>
      </c>
      <c r="R151" s="482" t="n">
        <f aca="false">VLOOKUP(K151,'Fuel Curve Simulation'!$B$12:$J$258,9)</f>
        <v>4.79017241379311</v>
      </c>
      <c r="S151" s="481" t="n">
        <f aca="false">(R151*$S$2)/1000</f>
        <v>45.8850615517242</v>
      </c>
      <c r="T151" s="483"/>
      <c r="V151" s="128" t="n">
        <f aca="false">VLOOKUP(K151,PJM_01212000!$A$7:$C$259,3)</f>
        <v>40.3249984741211</v>
      </c>
      <c r="W151" s="128"/>
      <c r="X151" s="484" t="n">
        <f aca="false">'PJM Curve Simulation'!J151</f>
        <v>40.3249984741211</v>
      </c>
      <c r="Y151" s="489"/>
      <c r="Z151" s="483"/>
      <c r="AA151" s="59" t="n">
        <f aca="false">AA150</f>
        <v>315</v>
      </c>
      <c r="AB151" s="425" t="n">
        <f aca="false">AA151*F151*16</f>
        <v>110880</v>
      </c>
      <c r="AC151" s="425" t="n">
        <f aca="false">VLOOKUP(K151,'Company Volumes'!$B$20:$C$259,2)</f>
        <v>16838.5655785044</v>
      </c>
      <c r="AD151" s="485" t="n">
        <f aca="false">IF(V151&gt;S151+($AM$5*1000*O151),AA151*F151*16,0)</f>
        <v>0</v>
      </c>
      <c r="AE151" s="425"/>
      <c r="AF151" s="425" t="n">
        <v>0</v>
      </c>
      <c r="AG151" s="425" t="n">
        <v>0</v>
      </c>
      <c r="AH151" s="425" t="n">
        <f aca="false">X151*AD151</f>
        <v>0</v>
      </c>
      <c r="AI151" s="425" t="n">
        <f aca="false">SUM(AF151:AH151)</f>
        <v>0</v>
      </c>
      <c r="AJ151" s="425" t="n">
        <f aca="false">(AD151*1000*$S$2)/1000000*R151</f>
        <v>0</v>
      </c>
      <c r="AK151" s="425" t="n">
        <f aca="false">($AK$5*O151)/12</f>
        <v>68988.9493689061</v>
      </c>
      <c r="AL151" s="425" t="n">
        <f aca="false">($AL$5*O151)/12</f>
        <v>175921.82089071</v>
      </c>
      <c r="AM151" s="425" t="n">
        <f aca="false">AD151*$AM$5*1000*O151</f>
        <v>0</v>
      </c>
      <c r="AN151" s="425" t="n">
        <f aca="false">(($AN$5*O151)/12)*$S$4</f>
        <v>157754.730890232</v>
      </c>
      <c r="AO151" s="425" t="n">
        <f aca="false">($AO$5*O151)/12</f>
        <v>34494.474684453</v>
      </c>
      <c r="AP151" s="425" t="n">
        <f aca="false">AP150</f>
        <v>46500.5582152336</v>
      </c>
      <c r="AQ151" s="433" t="n">
        <f aca="false">SUM(AK151:AP151)</f>
        <v>483660.534049535</v>
      </c>
      <c r="AR151" s="425" t="n">
        <f aca="false">($AR$5*O151)/12</f>
        <v>17247.2373422265</v>
      </c>
      <c r="AS151" s="433" t="n">
        <f aca="false">AS150</f>
        <v>30387.755</v>
      </c>
      <c r="AT151" s="425" t="n">
        <f aca="false">(AI151/100)*$AT$6*O151</f>
        <v>0</v>
      </c>
      <c r="AU151" s="433" t="n">
        <f aca="false">SUM(AJ151:AT151)-AQ151</f>
        <v>531295.526391762</v>
      </c>
      <c r="AV151" s="433" t="n">
        <f aca="false">AI151-AU151</f>
        <v>-531295.526391762</v>
      </c>
      <c r="AW151" s="493"/>
      <c r="AX151" s="423" t="n">
        <f aca="false">K151</f>
        <v>40909</v>
      </c>
      <c r="BA151" s="126"/>
      <c r="BB151" s="481" t="n">
        <f aca="false">X151</f>
        <v>40.3249984741211</v>
      </c>
      <c r="BC151" s="481" t="n">
        <f aca="false">'Curve Analysis - Base Case'!D143</f>
        <v>48.6446195264804</v>
      </c>
      <c r="BD151" s="479" t="n">
        <f aca="false">L151</f>
        <v>0.07430852439833</v>
      </c>
      <c r="BE151" s="479" t="n">
        <f aca="false">L151</f>
        <v>0.07430852439833</v>
      </c>
      <c r="BF151" s="489" t="n">
        <f aca="false">PJM_01212000!X151</f>
        <v>0.128894427302852</v>
      </c>
      <c r="BG151" s="425" t="n">
        <f aca="false">(AX151+15)-$K$1</f>
        <v>4335</v>
      </c>
      <c r="BH151" s="433" t="n">
        <f aca="false">AD151</f>
        <v>0</v>
      </c>
      <c r="BJ151" s="486" t="e">
        <f aca="false">EURO(BB151,BC151,BD151,BE151,BF151,BG151,1,0)*BH151</f>
        <v>#NAME?</v>
      </c>
      <c r="BK151" s="433" t="n">
        <f aca="false">(AI151-AJ151)*N151</f>
        <v>0</v>
      </c>
      <c r="BM151" s="433" t="e">
        <f aca="false">BJ151-BK151</f>
        <v>#NAME?</v>
      </c>
    </row>
    <row r="152" customFormat="false" ht="16.5" hidden="false" customHeight="false" outlineLevel="0" collapsed="false">
      <c r="A152" s="59" t="n">
        <f aca="false">A151+1</f>
        <v>146</v>
      </c>
      <c r="C152" s="496" t="n">
        <v>29</v>
      </c>
      <c r="D152" s="497" t="s">
        <v>165</v>
      </c>
      <c r="E152" s="125" t="n">
        <f aca="false">E151+C151</f>
        <v>40940</v>
      </c>
      <c r="F152" s="425" t="n">
        <f aca="false">F104</f>
        <v>20</v>
      </c>
      <c r="G152" s="433" t="n">
        <f aca="false">C152-F152</f>
        <v>9</v>
      </c>
      <c r="H152" s="433"/>
      <c r="I152" s="433"/>
      <c r="J152" s="59" t="n">
        <f aca="false">K153-K152</f>
        <v>29</v>
      </c>
      <c r="K152" s="478" t="n">
        <v>40940</v>
      </c>
      <c r="L152" s="490" t="n">
        <v>0.074303350949618</v>
      </c>
      <c r="M152" s="491" t="n">
        <v>0.0638690522155</v>
      </c>
      <c r="N152" s="480" t="n">
        <f aca="false">(1+L152/2)^(-2*((K152+$T$1)-$K$1)/365.25)</f>
        <v>0.415665969938965</v>
      </c>
      <c r="O152" s="127" t="n">
        <f aca="false">VLOOKUP(K152,Inflation!$B$8:$C$266,2)</f>
        <v>1.38284572181565</v>
      </c>
      <c r="P152" s="480"/>
      <c r="Q152" s="481" t="n">
        <f aca="false">VLOOKUP(K152,'Fuel Curve'!$B$11:$F$268,5)</f>
        <v>4.69103448275862</v>
      </c>
      <c r="R152" s="482" t="n">
        <f aca="false">VLOOKUP(K152,'Fuel Curve Simulation'!$B$12:$J$258,9)</f>
        <v>4.69103448275862</v>
      </c>
      <c r="S152" s="481" t="n">
        <f aca="false">(R152*$S$2)/1000</f>
        <v>44.9354193103448</v>
      </c>
      <c r="T152" s="483"/>
      <c r="V152" s="128" t="n">
        <f aca="false">VLOOKUP(K152,PJM_01212000!$A$7:$C$259,3)</f>
        <v>40.3249984741211</v>
      </c>
      <c r="W152" s="128"/>
      <c r="X152" s="484" t="n">
        <f aca="false">'PJM Curve Simulation'!J152</f>
        <v>40.3249984741211</v>
      </c>
      <c r="Y152" s="489"/>
      <c r="Z152" s="483"/>
      <c r="AA152" s="59" t="n">
        <f aca="false">AA151</f>
        <v>315</v>
      </c>
      <c r="AB152" s="425" t="n">
        <f aca="false">AA152*F152*16</f>
        <v>100800</v>
      </c>
      <c r="AC152" s="425" t="n">
        <f aca="false">VLOOKUP(K152,'Company Volumes'!$B$20:$C$259,2)</f>
        <v>670.643735741778</v>
      </c>
      <c r="AD152" s="485" t="n">
        <f aca="false">IF(V152&gt;S152+($AM$5*1000*O152),AA152*F152*16,0)</f>
        <v>0</v>
      </c>
      <c r="AE152" s="425"/>
      <c r="AF152" s="425" t="n">
        <v>0</v>
      </c>
      <c r="AG152" s="425" t="n">
        <v>0</v>
      </c>
      <c r="AH152" s="425" t="n">
        <f aca="false">X152*AD152</f>
        <v>0</v>
      </c>
      <c r="AI152" s="425" t="n">
        <f aca="false">SUM(AF152:AH152)</f>
        <v>0</v>
      </c>
      <c r="AJ152" s="425" t="n">
        <f aca="false">(AD152*1000*$S$2)/1000000*R152</f>
        <v>0</v>
      </c>
      <c r="AK152" s="425" t="n">
        <f aca="false">($AK$5*O152)/12</f>
        <v>69142.2860907824</v>
      </c>
      <c r="AL152" s="425" t="n">
        <f aca="false">($AL$5*O152)/12</f>
        <v>176312.829531495</v>
      </c>
      <c r="AM152" s="425" t="n">
        <f aca="false">AD152*$AM$5*1000*O152</f>
        <v>0</v>
      </c>
      <c r="AN152" s="425" t="n">
        <f aca="false">(($AN$5*O152)/12)*$S$4</f>
        <v>158105.360860922</v>
      </c>
      <c r="AO152" s="425" t="n">
        <f aca="false">($AO$5*O152)/12</f>
        <v>34571.1430453912</v>
      </c>
      <c r="AP152" s="425" t="n">
        <f aca="false">AP151</f>
        <v>46500.5582152336</v>
      </c>
      <c r="AQ152" s="433" t="n">
        <f aca="false">SUM(AK152:AP152)</f>
        <v>484632.177743825</v>
      </c>
      <c r="AR152" s="425" t="n">
        <f aca="false">($AR$5*O152)/12</f>
        <v>17285.5715226956</v>
      </c>
      <c r="AS152" s="433" t="n">
        <f aca="false">AS151</f>
        <v>30387.755</v>
      </c>
      <c r="AT152" s="425" t="n">
        <f aca="false">(AI152/100)*$AT$6*O152</f>
        <v>0</v>
      </c>
      <c r="AU152" s="433" t="n">
        <f aca="false">SUM(AJ152:AT152)-AQ152</f>
        <v>532305.50426652</v>
      </c>
      <c r="AV152" s="433" t="n">
        <f aca="false">AI152-AU152</f>
        <v>-532305.50426652</v>
      </c>
      <c r="AW152" s="493"/>
      <c r="AX152" s="423" t="n">
        <f aca="false">K152</f>
        <v>40940</v>
      </c>
      <c r="BA152" s="126"/>
      <c r="BB152" s="481" t="n">
        <f aca="false">X152</f>
        <v>40.3249984741211</v>
      </c>
      <c r="BC152" s="481" t="n">
        <f aca="false">'Curve Analysis - Base Case'!D144</f>
        <v>47.7011107539761</v>
      </c>
      <c r="BD152" s="479" t="n">
        <f aca="false">L152</f>
        <v>0.074303350949618</v>
      </c>
      <c r="BE152" s="479" t="n">
        <f aca="false">L152</f>
        <v>0.074303350949618</v>
      </c>
      <c r="BF152" s="489" t="n">
        <f aca="false">PJM_01212000!X152</f>
        <v>0.128894427302852</v>
      </c>
      <c r="BG152" s="425" t="n">
        <f aca="false">(AX152+15)-$K$1</f>
        <v>4366</v>
      </c>
      <c r="BH152" s="433" t="n">
        <f aca="false">AD152</f>
        <v>0</v>
      </c>
      <c r="BJ152" s="486" t="e">
        <f aca="false">EURO(BB152,BC152,BD152,BE152,BF152,BG152,1,0)*BH152</f>
        <v>#NAME?</v>
      </c>
      <c r="BK152" s="433" t="n">
        <f aca="false">(AI152-AJ152)*N152</f>
        <v>0</v>
      </c>
      <c r="BM152" s="433" t="e">
        <f aca="false">BJ152-BK152</f>
        <v>#NAME?</v>
      </c>
    </row>
    <row r="153" customFormat="false" ht="16.5" hidden="false" customHeight="false" outlineLevel="0" collapsed="false">
      <c r="A153" s="59" t="n">
        <f aca="false">A152+1</f>
        <v>147</v>
      </c>
      <c r="C153" s="59" t="n">
        <v>31</v>
      </c>
      <c r="D153" s="59" t="s">
        <v>166</v>
      </c>
      <c r="E153" s="125" t="n">
        <f aca="false">E152+C152</f>
        <v>40969</v>
      </c>
      <c r="F153" s="425" t="n">
        <f aca="false">F105</f>
        <v>23</v>
      </c>
      <c r="G153" s="433" t="n">
        <f aca="false">C153-F153</f>
        <v>8</v>
      </c>
      <c r="H153" s="433"/>
      <c r="I153" s="433"/>
      <c r="J153" s="59" t="n">
        <f aca="false">K154-K153</f>
        <v>31</v>
      </c>
      <c r="K153" s="478" t="n">
        <v>40969</v>
      </c>
      <c r="L153" s="490" t="n">
        <v>0.074298511271798</v>
      </c>
      <c r="M153" s="491" t="n">
        <v>0.063879915229138</v>
      </c>
      <c r="N153" s="480" t="n">
        <f aca="false">(1+L153/2)^(-2*((K153+$T$1)-$K$1)/365.25)</f>
        <v>0.413288515968606</v>
      </c>
      <c r="O153" s="127" t="n">
        <f aca="false">VLOOKUP(K153,Inflation!$B$8:$C$266,2)</f>
        <v>1.38591927246084</v>
      </c>
      <c r="P153" s="480"/>
      <c r="Q153" s="481" t="n">
        <f aca="false">VLOOKUP(K153,'Fuel Curve'!$B$11:$F$268,5)</f>
        <v>4.59396551724138</v>
      </c>
      <c r="R153" s="482" t="n">
        <f aca="false">VLOOKUP(K153,'Fuel Curve Simulation'!$B$12:$J$258,9)</f>
        <v>4.59396551724138</v>
      </c>
      <c r="S153" s="481" t="n">
        <f aca="false">(R153*$S$2)/1000</f>
        <v>44.0055956896552</v>
      </c>
      <c r="T153" s="483"/>
      <c r="V153" s="128" t="n">
        <f aca="false">VLOOKUP(K153,PJM_01212000!$A$7:$C$259,3)</f>
        <v>30.0500007629395</v>
      </c>
      <c r="W153" s="128"/>
      <c r="X153" s="484" t="n">
        <f aca="false">'PJM Curve Simulation'!J153</f>
        <v>30.0500007629395</v>
      </c>
      <c r="Y153" s="489"/>
      <c r="Z153" s="483"/>
      <c r="AA153" s="59" t="n">
        <f aca="false">AA152</f>
        <v>315</v>
      </c>
      <c r="AB153" s="425" t="n">
        <f aca="false">AA153*F153*16</f>
        <v>115920</v>
      </c>
      <c r="AC153" s="425" t="n">
        <f aca="false">VLOOKUP(K153,'Company Volumes'!$B$20:$C$259,2)</f>
        <v>670.643735741778</v>
      </c>
      <c r="AD153" s="485" t="n">
        <f aca="false">IF(V153&gt;S153+($AM$5*1000*O153),AA153*F153*16,0)</f>
        <v>0</v>
      </c>
      <c r="AE153" s="425"/>
      <c r="AF153" s="425" t="n">
        <v>0</v>
      </c>
      <c r="AG153" s="425" t="n">
        <v>0</v>
      </c>
      <c r="AH153" s="425" t="n">
        <f aca="false">X153*AD153</f>
        <v>0</v>
      </c>
      <c r="AI153" s="425" t="n">
        <f aca="false">SUM(AF153:AH153)</f>
        <v>0</v>
      </c>
      <c r="AJ153" s="425" t="n">
        <f aca="false">(AD153*1000*$S$2)/1000000*R153</f>
        <v>0</v>
      </c>
      <c r="AK153" s="425" t="n">
        <f aca="false">($AK$5*O153)/12</f>
        <v>69295.963623042</v>
      </c>
      <c r="AL153" s="425" t="n">
        <f aca="false">($AL$5*O153)/12</f>
        <v>176704.707238757</v>
      </c>
      <c r="AM153" s="425" t="n">
        <f aca="false">AD153*$AM$5*1000*O153</f>
        <v>0</v>
      </c>
      <c r="AN153" s="425" t="n">
        <f aca="false">(($AN$5*O153)/12)*$S$4</f>
        <v>158456.770151356</v>
      </c>
      <c r="AO153" s="425" t="n">
        <f aca="false">($AO$5*O153)/12</f>
        <v>34647.981811521</v>
      </c>
      <c r="AP153" s="425" t="n">
        <f aca="false">AP152</f>
        <v>46500.5582152336</v>
      </c>
      <c r="AQ153" s="433" t="n">
        <f aca="false">SUM(AK153:AP153)</f>
        <v>485605.98103991</v>
      </c>
      <c r="AR153" s="425" t="n">
        <f aca="false">($AR$5*O153)/12</f>
        <v>17323.9909057605</v>
      </c>
      <c r="AS153" s="433" t="n">
        <f aca="false">AS152</f>
        <v>30387.755</v>
      </c>
      <c r="AT153" s="425" t="n">
        <f aca="false">(AI153/100)*$AT$6*O153</f>
        <v>0</v>
      </c>
      <c r="AU153" s="433" t="n">
        <f aca="false">SUM(AJ153:AT153)-AQ153</f>
        <v>533317.72694567</v>
      </c>
      <c r="AV153" s="433" t="n">
        <f aca="false">AI153-AU153</f>
        <v>-533317.72694567</v>
      </c>
      <c r="AW153" s="493"/>
      <c r="AX153" s="423" t="n">
        <f aca="false">K153</f>
        <v>40969</v>
      </c>
      <c r="BA153" s="126"/>
      <c r="BB153" s="481" t="n">
        <f aca="false">X153</f>
        <v>30.0500007629395</v>
      </c>
      <c r="BC153" s="481" t="n">
        <f aca="false">'Curve Analysis - Base Case'!D145</f>
        <v>46.7774342345769</v>
      </c>
      <c r="BD153" s="479" t="n">
        <f aca="false">L153</f>
        <v>0.074298511271798</v>
      </c>
      <c r="BE153" s="479" t="n">
        <f aca="false">L153</f>
        <v>0.074298511271798</v>
      </c>
      <c r="BF153" s="489" t="n">
        <f aca="false">PJM_01212000!X153</f>
        <v>0.107412022752377</v>
      </c>
      <c r="BG153" s="425" t="n">
        <f aca="false">(AX153+15)-$K$1</f>
        <v>4395</v>
      </c>
      <c r="BH153" s="433" t="n">
        <f aca="false">AD153</f>
        <v>0</v>
      </c>
      <c r="BJ153" s="486" t="e">
        <f aca="false">EURO(BB153,BC153,BD153,BE153,BF153,BG153,1,0)*BH153</f>
        <v>#NAME?</v>
      </c>
      <c r="BK153" s="433" t="n">
        <f aca="false">(AI153-AJ153)*N153</f>
        <v>0</v>
      </c>
      <c r="BM153" s="433" t="e">
        <f aca="false">BJ153-BK153</f>
        <v>#NAME?</v>
      </c>
    </row>
    <row r="154" customFormat="false" ht="16.5" hidden="false" customHeight="false" outlineLevel="0" collapsed="false">
      <c r="A154" s="59" t="n">
        <f aca="false">A153+1</f>
        <v>148</v>
      </c>
      <c r="C154" s="59" t="n">
        <v>30</v>
      </c>
      <c r="D154" s="59" t="s">
        <v>167</v>
      </c>
      <c r="E154" s="125" t="n">
        <f aca="false">E153+C153</f>
        <v>41000</v>
      </c>
      <c r="F154" s="425" t="n">
        <f aca="false">F106</f>
        <v>22</v>
      </c>
      <c r="G154" s="433" t="n">
        <f aca="false">C154-F154</f>
        <v>8</v>
      </c>
      <c r="H154" s="433"/>
      <c r="I154" s="433"/>
      <c r="J154" s="59" t="n">
        <f aca="false">K155-K154</f>
        <v>30</v>
      </c>
      <c r="K154" s="478" t="n">
        <v>41000</v>
      </c>
      <c r="L154" s="490" t="n">
        <v>0.074293337823104</v>
      </c>
      <c r="M154" s="491" t="n">
        <v>0.063891527417039</v>
      </c>
      <c r="N154" s="480" t="n">
        <f aca="false">(1+L154/2)^(-2*((K154+$T$1)-$K$1)/365.25)</f>
        <v>0.410762471508243</v>
      </c>
      <c r="O154" s="127" t="n">
        <f aca="false">VLOOKUP(K154,Inflation!$B$8:$C$266,2)</f>
        <v>1.38899965446359</v>
      </c>
      <c r="P154" s="480"/>
      <c r="Q154" s="481" t="n">
        <f aca="false">VLOOKUP(K154,'Fuel Curve'!$B$11:$F$268,5)</f>
        <v>4.49396551724138</v>
      </c>
      <c r="R154" s="482" t="n">
        <f aca="false">VLOOKUP(K154,'Fuel Curve Simulation'!$B$12:$J$258,9)</f>
        <v>4.49396551724138</v>
      </c>
      <c r="S154" s="481" t="n">
        <f aca="false">(R154*$S$2)/1000</f>
        <v>43.0476956896552</v>
      </c>
      <c r="T154" s="483"/>
      <c r="V154" s="128" t="n">
        <f aca="false">VLOOKUP(K154,PJM_01212000!$A$7:$C$259,3)</f>
        <v>29.8250007629395</v>
      </c>
      <c r="W154" s="128"/>
      <c r="X154" s="484" t="n">
        <f aca="false">'PJM Curve Simulation'!J154</f>
        <v>29.8250007629395</v>
      </c>
      <c r="Y154" s="489"/>
      <c r="Z154" s="483"/>
      <c r="AA154" s="59" t="n">
        <f aca="false">AA153</f>
        <v>315</v>
      </c>
      <c r="AB154" s="425" t="n">
        <f aca="false">AA154*F154*16</f>
        <v>110880</v>
      </c>
      <c r="AC154" s="425" t="n">
        <f aca="false">VLOOKUP(K154,'Company Volumes'!$B$20:$C$259,2)</f>
        <v>8401.98934264356</v>
      </c>
      <c r="AD154" s="485" t="n">
        <f aca="false">IF(V154&gt;S154+($AM$5*1000*O154),AA154*F154*16,0)</f>
        <v>0</v>
      </c>
      <c r="AE154" s="425"/>
      <c r="AF154" s="425" t="n">
        <v>0</v>
      </c>
      <c r="AG154" s="425" t="n">
        <v>0</v>
      </c>
      <c r="AH154" s="425" t="n">
        <f aca="false">X154*AD154</f>
        <v>0</v>
      </c>
      <c r="AI154" s="425" t="n">
        <f aca="false">SUM(AF154:AH154)</f>
        <v>0</v>
      </c>
      <c r="AJ154" s="425" t="n">
        <f aca="false">(AD154*1000*$S$2)/1000000*R154</f>
        <v>0</v>
      </c>
      <c r="AK154" s="425" t="n">
        <f aca="false">($AK$5*O154)/12</f>
        <v>69449.9827231794</v>
      </c>
      <c r="AL154" s="425" t="n">
        <f aca="false">($AL$5*O154)/12</f>
        <v>177097.455944107</v>
      </c>
      <c r="AM154" s="425" t="n">
        <f aca="false">AD154*$AM$5*1000*O154</f>
        <v>0</v>
      </c>
      <c r="AN154" s="425" t="n">
        <f aca="false">(($AN$5*O154)/12)*$S$4</f>
        <v>158808.96049367</v>
      </c>
      <c r="AO154" s="425" t="n">
        <f aca="false">($AO$5*O154)/12</f>
        <v>34724.9913615897</v>
      </c>
      <c r="AP154" s="425" t="n">
        <f aca="false">AP153</f>
        <v>46500.5582152336</v>
      </c>
      <c r="AQ154" s="433" t="n">
        <f aca="false">SUM(AK154:AP154)</f>
        <v>486581.94873778</v>
      </c>
      <c r="AR154" s="425" t="n">
        <f aca="false">($AR$5*O154)/12</f>
        <v>17362.4956807948</v>
      </c>
      <c r="AS154" s="433" t="n">
        <f aca="false">AS153</f>
        <v>30387.755</v>
      </c>
      <c r="AT154" s="425" t="n">
        <f aca="false">(AI154/100)*$AT$6*O154</f>
        <v>0</v>
      </c>
      <c r="AU154" s="433" t="n">
        <f aca="false">SUM(AJ154:AT154)-AQ154</f>
        <v>534332.199418575</v>
      </c>
      <c r="AV154" s="433" t="n">
        <f aca="false">AI154-AU154</f>
        <v>-534332.199418575</v>
      </c>
      <c r="AW154" s="493"/>
      <c r="AX154" s="423" t="n">
        <f aca="false">K154</f>
        <v>41000</v>
      </c>
      <c r="BA154" s="126"/>
      <c r="BB154" s="481" t="n">
        <f aca="false">X154</f>
        <v>29.8250007629395</v>
      </c>
      <c r="BC154" s="481" t="n">
        <f aca="false">'Curve Analysis - Base Case'!D146</f>
        <v>45.8256949985824</v>
      </c>
      <c r="BD154" s="479" t="n">
        <f aca="false">L154</f>
        <v>0.074293337823104</v>
      </c>
      <c r="BE154" s="479" t="n">
        <f aca="false">L154</f>
        <v>0.074293337823104</v>
      </c>
      <c r="BF154" s="489" t="n">
        <f aca="false">PJM_01212000!X154</f>
        <v>0.102041421614758</v>
      </c>
      <c r="BG154" s="425" t="n">
        <f aca="false">(AX154+15)-$K$1</f>
        <v>4426</v>
      </c>
      <c r="BH154" s="433" t="n">
        <f aca="false">AD154</f>
        <v>0</v>
      </c>
      <c r="BJ154" s="486" t="e">
        <f aca="false">EURO(BB154,BC154,BD154,BE154,BF154,BG154,1,0)*BH154</f>
        <v>#NAME?</v>
      </c>
      <c r="BK154" s="433" t="n">
        <f aca="false">(AI154-AJ154)*N154</f>
        <v>0</v>
      </c>
      <c r="BM154" s="433" t="e">
        <f aca="false">BJ154-BK154</f>
        <v>#NAME?</v>
      </c>
    </row>
    <row r="155" customFormat="false" ht="16.5" hidden="false" customHeight="false" outlineLevel="0" collapsed="false">
      <c r="A155" s="59" t="n">
        <f aca="false">A154+1</f>
        <v>149</v>
      </c>
      <c r="C155" s="59" t="n">
        <v>31</v>
      </c>
      <c r="D155" s="59" t="s">
        <v>29</v>
      </c>
      <c r="E155" s="125" t="n">
        <f aca="false">E154+C154</f>
        <v>41030</v>
      </c>
      <c r="F155" s="425" t="n">
        <f aca="false">F107</f>
        <v>21</v>
      </c>
      <c r="G155" s="433" t="n">
        <f aca="false">C155-F155</f>
        <v>10</v>
      </c>
      <c r="H155" s="433"/>
      <c r="I155" s="433"/>
      <c r="J155" s="59" t="n">
        <f aca="false">K156-K155</f>
        <v>31</v>
      </c>
      <c r="K155" s="478" t="n">
        <v>41030</v>
      </c>
      <c r="L155" s="490" t="n">
        <v>0.074288331259859</v>
      </c>
      <c r="M155" s="491" t="n">
        <v>0.063902765019129</v>
      </c>
      <c r="N155" s="480" t="n">
        <f aca="false">(1+L155/2)^(-2*((K155+$T$1)-$K$1)/365.25)</f>
        <v>0.408332942879886</v>
      </c>
      <c r="O155" s="127" t="n">
        <f aca="false">VLOOKUP(K155,Inflation!$B$8:$C$266,2)</f>
        <v>1.39208688300745</v>
      </c>
      <c r="P155" s="480"/>
      <c r="Q155" s="481" t="n">
        <f aca="false">VLOOKUP(K155,'Fuel Curve'!$B$11:$F$268,5)</f>
        <v>4.42672413793104</v>
      </c>
      <c r="R155" s="482" t="n">
        <f aca="false">VLOOKUP(K155,'Fuel Curve Simulation'!$B$12:$J$258,9)</f>
        <v>4.42672413793104</v>
      </c>
      <c r="S155" s="481" t="n">
        <f aca="false">(R155*$S$2)/1000</f>
        <v>42.4035905172414</v>
      </c>
      <c r="T155" s="483"/>
      <c r="V155" s="128" t="n">
        <f aca="false">VLOOKUP(K155,PJM_01212000!$A$7:$C$259,3)</f>
        <v>37.825</v>
      </c>
      <c r="W155" s="128"/>
      <c r="X155" s="484" t="n">
        <f aca="false">'PJM Curve Simulation'!J155</f>
        <v>37.825</v>
      </c>
      <c r="Y155" s="489"/>
      <c r="Z155" s="483"/>
      <c r="AA155" s="59" t="n">
        <f aca="false">AA154</f>
        <v>315</v>
      </c>
      <c r="AB155" s="425" t="n">
        <f aca="false">AA155*F155*16</f>
        <v>105840</v>
      </c>
      <c r="AC155" s="425" t="n">
        <f aca="false">VLOOKUP(K155,'Company Volumes'!$B$20:$C$259,2)</f>
        <v>17184.9594521111</v>
      </c>
      <c r="AD155" s="485" t="n">
        <f aca="false">IF(V155&gt;S155+($AM$5*1000*O155),AA155*F155*16,0)</f>
        <v>0</v>
      </c>
      <c r="AE155" s="425"/>
      <c r="AF155" s="425" t="n">
        <v>0</v>
      </c>
      <c r="AG155" s="425" t="n">
        <v>0</v>
      </c>
      <c r="AH155" s="425" t="n">
        <f aca="false">X155*AD155</f>
        <v>0</v>
      </c>
      <c r="AI155" s="425" t="n">
        <f aca="false">SUM(AF155:AH155)</f>
        <v>0</v>
      </c>
      <c r="AJ155" s="425" t="n">
        <f aca="false">(AD155*1000*$S$2)/1000000*R155</f>
        <v>0</v>
      </c>
      <c r="AK155" s="425" t="n">
        <f aca="false">($AK$5*O155)/12</f>
        <v>69604.3441503726</v>
      </c>
      <c r="AL155" s="425" t="n">
        <f aca="false">($AL$5*O155)/12</f>
        <v>177491.07758345</v>
      </c>
      <c r="AM155" s="425" t="n">
        <f aca="false">AD155*$AM$5*1000*O155</f>
        <v>0</v>
      </c>
      <c r="AN155" s="425" t="n">
        <f aca="false">(($AN$5*O155)/12)*$S$4</f>
        <v>159161.933623852</v>
      </c>
      <c r="AO155" s="425" t="n">
        <f aca="false">($AO$5*O155)/12</f>
        <v>34802.1720751863</v>
      </c>
      <c r="AP155" s="425" t="n">
        <f aca="false">AP154</f>
        <v>46500.5582152336</v>
      </c>
      <c r="AQ155" s="433" t="n">
        <f aca="false">SUM(AK155:AP155)</f>
        <v>487560.085648094</v>
      </c>
      <c r="AR155" s="425" t="n">
        <f aca="false">($AR$5*O155)/12</f>
        <v>17401.0860375931</v>
      </c>
      <c r="AS155" s="433" t="n">
        <f aca="false">AS154</f>
        <v>30387.755</v>
      </c>
      <c r="AT155" s="425" t="n">
        <f aca="false">(AI155/100)*$AT$6*O155</f>
        <v>0</v>
      </c>
      <c r="AU155" s="433" t="n">
        <f aca="false">SUM(AJ155:AT155)-AQ155</f>
        <v>535348.926685688</v>
      </c>
      <c r="AV155" s="433" t="n">
        <f aca="false">AI155-AU155</f>
        <v>-535348.926685688</v>
      </c>
      <c r="AW155" s="493"/>
      <c r="AX155" s="423" t="n">
        <f aca="false">K155</f>
        <v>41030</v>
      </c>
      <c r="BA155" s="126"/>
      <c r="BB155" s="481" t="n">
        <f aca="false">X155</f>
        <v>37.825</v>
      </c>
      <c r="BC155" s="481" t="n">
        <f aca="false">'Curve Analysis - Base Case'!D147</f>
        <v>45.1877642832563</v>
      </c>
      <c r="BD155" s="479" t="n">
        <f aca="false">L155</f>
        <v>0.074288331259859</v>
      </c>
      <c r="BE155" s="479" t="n">
        <f aca="false">L155</f>
        <v>0.074288331259859</v>
      </c>
      <c r="BF155" s="489" t="n">
        <f aca="false">PJM_01212000!X155</f>
        <v>0.112782623889996</v>
      </c>
      <c r="BG155" s="425" t="n">
        <f aca="false">(AX155+15)-$K$1</f>
        <v>4456</v>
      </c>
      <c r="BH155" s="433" t="n">
        <f aca="false">AD155</f>
        <v>0</v>
      </c>
      <c r="BJ155" s="486" t="e">
        <f aca="false">EURO(BB155,BC155,BD155,BE155,BF155,BG155,1,0)*BH155</f>
        <v>#NAME?</v>
      </c>
      <c r="BK155" s="433" t="n">
        <f aca="false">(AI155-AJ155)*N155</f>
        <v>0</v>
      </c>
      <c r="BM155" s="433" t="e">
        <f aca="false">BJ155-BK155</f>
        <v>#NAME?</v>
      </c>
    </row>
    <row r="156" customFormat="false" ht="16.5" hidden="false" customHeight="false" outlineLevel="0" collapsed="false">
      <c r="A156" s="59" t="n">
        <f aca="false">A155+1</f>
        <v>150</v>
      </c>
      <c r="C156" s="59" t="n">
        <v>30</v>
      </c>
      <c r="D156" s="59" t="s">
        <v>168</v>
      </c>
      <c r="E156" s="125" t="n">
        <f aca="false">E155+C155</f>
        <v>41061</v>
      </c>
      <c r="F156" s="425" t="n">
        <f aca="false">F108</f>
        <v>22</v>
      </c>
      <c r="G156" s="433" t="n">
        <f aca="false">C156-F156</f>
        <v>8</v>
      </c>
      <c r="H156" s="433"/>
      <c r="I156" s="433"/>
      <c r="J156" s="59" t="n">
        <f aca="false">K157-K156</f>
        <v>30</v>
      </c>
      <c r="K156" s="478" t="n">
        <v>41061</v>
      </c>
      <c r="L156" s="490" t="n">
        <v>0.074283157811181</v>
      </c>
      <c r="M156" s="491" t="n">
        <v>0.063914377208878</v>
      </c>
      <c r="N156" s="480" t="n">
        <f aca="false">(1+L156/2)^(-2*((K156+$T$1)-$K$1)/365.25)</f>
        <v>0.405837863484095</v>
      </c>
      <c r="O156" s="127" t="n">
        <f aca="false">VLOOKUP(K156,Inflation!$B$8:$C$266,2)</f>
        <v>1.39518097330974</v>
      </c>
      <c r="P156" s="480"/>
      <c r="Q156" s="481" t="n">
        <f aca="false">VLOOKUP(K156,'Fuel Curve'!$B$11:$F$268,5)</f>
        <v>4.42017241379311</v>
      </c>
      <c r="R156" s="482" t="n">
        <f aca="false">VLOOKUP(K156,'Fuel Curve Simulation'!$B$12:$J$258,9)</f>
        <v>4.42017241379311</v>
      </c>
      <c r="S156" s="481" t="n">
        <f aca="false">(R156*$S$2)/1000</f>
        <v>42.3408315517242</v>
      </c>
      <c r="T156" s="483"/>
      <c r="V156" s="128" t="n">
        <f aca="false">VLOOKUP(K156,PJM_01212000!$A$7:$C$259,3)</f>
        <v>63.8499984741211</v>
      </c>
      <c r="W156" s="128"/>
      <c r="X156" s="484" t="n">
        <f aca="false">'PJM Curve Simulation'!J156</f>
        <v>63.8499984741211</v>
      </c>
      <c r="Y156" s="489"/>
      <c r="Z156" s="483"/>
      <c r="AA156" s="59" t="n">
        <f aca="false">AA155</f>
        <v>315</v>
      </c>
      <c r="AB156" s="425" t="n">
        <f aca="false">AA156*F156*16</f>
        <v>110880</v>
      </c>
      <c r="AC156" s="425" t="n">
        <f aca="false">VLOOKUP(K156,'Company Volumes'!$B$20:$C$259,2)</f>
        <v>31246.8057768533</v>
      </c>
      <c r="AD156" s="485" t="n">
        <f aca="false">IF(V156&gt;S156+($AM$5*1000*O156),AA156*F156*16,0)</f>
        <v>110880</v>
      </c>
      <c r="AE156" s="425"/>
      <c r="AF156" s="425" t="n">
        <v>0</v>
      </c>
      <c r="AG156" s="425" t="n">
        <v>0</v>
      </c>
      <c r="AH156" s="425" t="n">
        <f aca="false">X156*AD156</f>
        <v>7079687.83081055</v>
      </c>
      <c r="AI156" s="425" t="n">
        <f aca="false">SUM(AF156:AH156)</f>
        <v>7079687.83081055</v>
      </c>
      <c r="AJ156" s="425" t="n">
        <f aca="false">(AD156*1000*$S$2)/1000000*R156</f>
        <v>4694751.40245517</v>
      </c>
      <c r="AK156" s="425" t="n">
        <f aca="false">($AK$5*O156)/12</f>
        <v>69759.048665487</v>
      </c>
      <c r="AL156" s="425" t="n">
        <f aca="false">($AL$5*O156)/12</f>
        <v>177885.574096992</v>
      </c>
      <c r="AM156" s="425" t="n">
        <f aca="false">AD156*$AM$5*1000*O156</f>
        <v>309395.332641168</v>
      </c>
      <c r="AN156" s="425" t="n">
        <f aca="false">(($AN$5*O156)/12)*$S$4</f>
        <v>159515.691281747</v>
      </c>
      <c r="AO156" s="425" t="n">
        <f aca="false">($AO$5*O156)/12</f>
        <v>34879.5243327435</v>
      </c>
      <c r="AP156" s="425" t="n">
        <f aca="false">AP155</f>
        <v>46500.5582152336</v>
      </c>
      <c r="AQ156" s="433" t="n">
        <f aca="false">SUM(AK156:AP156)</f>
        <v>797935.729233371</v>
      </c>
      <c r="AR156" s="425" t="n">
        <f aca="false">($AR$5*O156)/12</f>
        <v>17439.7621663718</v>
      </c>
      <c r="AS156" s="433" t="n">
        <f aca="false">AS155</f>
        <v>30387.755</v>
      </c>
      <c r="AT156" s="425" t="n">
        <f aca="false">(AI156/100)*$AT$6*O156</f>
        <v>59264.6745511163</v>
      </c>
      <c r="AU156" s="433" t="n">
        <f aca="false">SUM(AJ156:AT156)-AQ156</f>
        <v>5599779.32340603</v>
      </c>
      <c r="AV156" s="433" t="n">
        <f aca="false">AI156-AU156</f>
        <v>1479908.50740451</v>
      </c>
      <c r="AW156" s="493"/>
      <c r="AX156" s="423" t="n">
        <f aca="false">K156</f>
        <v>41061</v>
      </c>
      <c r="BA156" s="126"/>
      <c r="BB156" s="481" t="n">
        <f aca="false">X156</f>
        <v>63.8499984741211</v>
      </c>
      <c r="BC156" s="481" t="n">
        <f aca="false">'Curve Analysis - Base Case'!D148</f>
        <v>45.1311934983436</v>
      </c>
      <c r="BD156" s="479" t="n">
        <f aca="false">L156</f>
        <v>0.074283157811181</v>
      </c>
      <c r="BE156" s="479" t="n">
        <f aca="false">L156</f>
        <v>0.074283157811181</v>
      </c>
      <c r="BF156" s="489" t="n">
        <f aca="false">PJM_01212000!X156</f>
        <v>0.145006230715709</v>
      </c>
      <c r="BG156" s="425" t="n">
        <f aca="false">(AX156+15)-$K$1</f>
        <v>4487</v>
      </c>
      <c r="BH156" s="433" t="n">
        <f aca="false">AD156</f>
        <v>110880</v>
      </c>
      <c r="BJ156" s="486" t="e">
        <f aca="false">EURO(BB156,BC156,BD156,BE156,BF156,BG156,1,0)*BH156</f>
        <v>#NAME?</v>
      </c>
      <c r="BK156" s="433" t="n">
        <f aca="false">(AI156-AJ156)*N156</f>
        <v>967897.504629133</v>
      </c>
      <c r="BM156" s="433" t="e">
        <f aca="false">BJ156-BK156</f>
        <v>#NAME?</v>
      </c>
    </row>
    <row r="157" customFormat="false" ht="16.5" hidden="false" customHeight="false" outlineLevel="0" collapsed="false">
      <c r="A157" s="59" t="n">
        <f aca="false">A156+1</f>
        <v>151</v>
      </c>
      <c r="C157" s="59" t="n">
        <v>31</v>
      </c>
      <c r="D157" s="59" t="s">
        <v>169</v>
      </c>
      <c r="E157" s="125" t="n">
        <f aca="false">E156+C156</f>
        <v>41091</v>
      </c>
      <c r="F157" s="425" t="n">
        <f aca="false">F109</f>
        <v>22</v>
      </c>
      <c r="G157" s="433" t="n">
        <f aca="false">C157-F157</f>
        <v>9</v>
      </c>
      <c r="H157" s="433"/>
      <c r="I157" s="433"/>
      <c r="J157" s="59" t="n">
        <f aca="false">K158-K157</f>
        <v>31</v>
      </c>
      <c r="K157" s="478" t="n">
        <v>41091</v>
      </c>
      <c r="L157" s="490" t="n">
        <v>0.074278151247953</v>
      </c>
      <c r="M157" s="491" t="n">
        <v>0.063925614812756</v>
      </c>
      <c r="N157" s="480" t="n">
        <f aca="false">(1+L157/2)^(-2*((K157+$T$1)-$K$1)/365.25)</f>
        <v>0.40343811295465</v>
      </c>
      <c r="O157" s="127" t="n">
        <f aca="false">VLOOKUP(K157,Inflation!$B$8:$C$266,2)</f>
        <v>1.39828194062159</v>
      </c>
      <c r="P157" s="480"/>
      <c r="Q157" s="481" t="n">
        <f aca="false">VLOOKUP(K157,'Fuel Curve'!$B$11:$F$268,5)</f>
        <v>4.47741379310345</v>
      </c>
      <c r="R157" s="482" t="n">
        <f aca="false">VLOOKUP(K157,'Fuel Curve Simulation'!$B$12:$J$258,9)</f>
        <v>4.47741379310345</v>
      </c>
      <c r="S157" s="481" t="n">
        <f aca="false">(R157*$S$2)/1000</f>
        <v>42.8891467241379</v>
      </c>
      <c r="T157" s="483"/>
      <c r="V157" s="128" t="n">
        <f aca="false">VLOOKUP(K157,PJM_01212000!$A$7:$C$259,3)</f>
        <v>111.449996948242</v>
      </c>
      <c r="W157" s="128"/>
      <c r="X157" s="484" t="n">
        <f aca="false">'PJM Curve Simulation'!J157</f>
        <v>111.449996948242</v>
      </c>
      <c r="Y157" s="489"/>
      <c r="Z157" s="483"/>
      <c r="AA157" s="59" t="n">
        <f aca="false">AA156</f>
        <v>315</v>
      </c>
      <c r="AB157" s="425" t="n">
        <f aca="false">AA157*F157*16</f>
        <v>110880</v>
      </c>
      <c r="AC157" s="425" t="n">
        <f aca="false">VLOOKUP(K157,'Company Volumes'!$B$20:$C$259,2)</f>
        <v>53690.5138745578</v>
      </c>
      <c r="AD157" s="485" t="n">
        <f aca="false">IF(V157&gt;S157+($AM$5*1000*O157),AA157*F157*16,0)</f>
        <v>110880</v>
      </c>
      <c r="AE157" s="425"/>
      <c r="AF157" s="425" t="n">
        <v>0</v>
      </c>
      <c r="AG157" s="425" t="n">
        <v>0</v>
      </c>
      <c r="AH157" s="425" t="n">
        <f aca="false">X157*AD157</f>
        <v>12357575.6616211</v>
      </c>
      <c r="AI157" s="425" t="n">
        <f aca="false">SUM(AF157:AH157)</f>
        <v>12357575.6616211</v>
      </c>
      <c r="AJ157" s="425" t="n">
        <f aca="false">(AD157*1000*$S$2)/1000000*R157</f>
        <v>4755548.58877241</v>
      </c>
      <c r="AK157" s="425" t="n">
        <f aca="false">($AK$5*O157)/12</f>
        <v>69914.0970310793</v>
      </c>
      <c r="AL157" s="425" t="n">
        <f aca="false">($AL$5*O157)/12</f>
        <v>178280.947429252</v>
      </c>
      <c r="AM157" s="425" t="n">
        <f aca="false">AD157*$AM$5*1000*O157</f>
        <v>310083.003152243</v>
      </c>
      <c r="AN157" s="425" t="n">
        <f aca="false">(($AN$5*O157)/12)*$S$4</f>
        <v>159870.235211068</v>
      </c>
      <c r="AO157" s="425" t="n">
        <f aca="false">($AO$5*O157)/12</f>
        <v>34957.0485155396</v>
      </c>
      <c r="AP157" s="425" t="n">
        <f aca="false">AP156</f>
        <v>46500.5582152336</v>
      </c>
      <c r="AQ157" s="433" t="n">
        <f aca="false">SUM(AK157:AP157)</f>
        <v>799605.889554416</v>
      </c>
      <c r="AR157" s="425" t="n">
        <f aca="false">($AR$5*O157)/12</f>
        <v>17478.5242577698</v>
      </c>
      <c r="AS157" s="433" t="n">
        <f aca="false">AS156</f>
        <v>30387.755</v>
      </c>
      <c r="AT157" s="425" t="n">
        <f aca="false">(AI157/100)*$AT$6*O157</f>
        <v>103676.249265058</v>
      </c>
      <c r="AU157" s="433" t="n">
        <f aca="false">SUM(AJ157:AT157)-AQ157</f>
        <v>5706697.00684966</v>
      </c>
      <c r="AV157" s="433" t="n">
        <f aca="false">AI157-AU157</f>
        <v>6650878.65477144</v>
      </c>
      <c r="AW157" s="493"/>
      <c r="AX157" s="423" t="n">
        <f aca="false">K157</f>
        <v>41091</v>
      </c>
      <c r="BA157" s="126"/>
      <c r="BB157" s="481" t="n">
        <f aca="false">X157</f>
        <v>111.449996948242</v>
      </c>
      <c r="BC157" s="481" t="n">
        <f aca="false">'Curve Analysis - Base Case'!D149</f>
        <v>45.6857106053811</v>
      </c>
      <c r="BD157" s="479" t="n">
        <f aca="false">L157</f>
        <v>0.074278151247953</v>
      </c>
      <c r="BE157" s="479" t="n">
        <f aca="false">L157</f>
        <v>0.074278151247953</v>
      </c>
      <c r="BF157" s="489" t="n">
        <f aca="false">PJM_01212000!X157</f>
        <v>0.177229837541422</v>
      </c>
      <c r="BG157" s="425" t="n">
        <f aca="false">(AX157+15)-$K$1</f>
        <v>4517</v>
      </c>
      <c r="BH157" s="433" t="n">
        <f aca="false">AD157</f>
        <v>110880</v>
      </c>
      <c r="BJ157" s="486" t="e">
        <f aca="false">EURO(BB157,BC157,BD157,BE157,BF157,BG157,1,0)*BH157</f>
        <v>#NAME?</v>
      </c>
      <c r="BK157" s="433" t="n">
        <f aca="false">(AI157-AJ157)*N157</f>
        <v>3066947.45690023</v>
      </c>
      <c r="BM157" s="433" t="e">
        <f aca="false">BJ157-BK157</f>
        <v>#NAME?</v>
      </c>
    </row>
    <row r="158" customFormat="false" ht="16.5" hidden="false" customHeight="false" outlineLevel="0" collapsed="false">
      <c r="A158" s="59" t="n">
        <f aca="false">A157+1</f>
        <v>152</v>
      </c>
      <c r="C158" s="59" t="n">
        <v>31</v>
      </c>
      <c r="D158" s="59" t="s">
        <v>170</v>
      </c>
      <c r="E158" s="125" t="n">
        <f aca="false">E157+C157</f>
        <v>41122</v>
      </c>
      <c r="F158" s="425" t="n">
        <f aca="false">F110</f>
        <v>22</v>
      </c>
      <c r="G158" s="433" t="n">
        <f aca="false">C158-F158</f>
        <v>9</v>
      </c>
      <c r="H158" s="433"/>
      <c r="I158" s="433"/>
      <c r="J158" s="59" t="n">
        <f aca="false">K159-K158</f>
        <v>31</v>
      </c>
      <c r="K158" s="478" t="n">
        <v>41122</v>
      </c>
      <c r="L158" s="490" t="n">
        <v>0.074272977799293</v>
      </c>
      <c r="M158" s="491" t="n">
        <v>0.063937227004352</v>
      </c>
      <c r="N158" s="480" t="n">
        <f aca="false">(1+L158/2)^(-2*((K158+$T$1)-$K$1)/365.25)</f>
        <v>0.400973611149424</v>
      </c>
      <c r="O158" s="127" t="n">
        <f aca="false">VLOOKUP(K158,Inflation!$B$8:$C$266,2)</f>
        <v>1.40138980022802</v>
      </c>
      <c r="P158" s="480"/>
      <c r="Q158" s="481" t="n">
        <f aca="false">VLOOKUP(K158,'Fuel Curve'!$B$11:$F$268,5)</f>
        <v>4.56793103448276</v>
      </c>
      <c r="R158" s="482" t="n">
        <f aca="false">VLOOKUP(K158,'Fuel Curve Simulation'!$B$12:$J$258,9)</f>
        <v>4.56793103448276</v>
      </c>
      <c r="S158" s="481" t="n">
        <f aca="false">(R158*$S$2)/1000</f>
        <v>43.7562113793104</v>
      </c>
      <c r="T158" s="483"/>
      <c r="V158" s="128" t="n">
        <f aca="false">VLOOKUP(K158,PJM_01212000!$A$7:$C$259,3)</f>
        <v>98.4499969482422</v>
      </c>
      <c r="W158" s="128"/>
      <c r="X158" s="484" t="n">
        <f aca="false">'PJM Curve Simulation'!J158</f>
        <v>98.4499969482422</v>
      </c>
      <c r="Y158" s="489"/>
      <c r="Z158" s="483"/>
      <c r="AA158" s="59" t="n">
        <f aca="false">AA157</f>
        <v>315</v>
      </c>
      <c r="AB158" s="425" t="n">
        <f aca="false">AA158*F158*16</f>
        <v>110880</v>
      </c>
      <c r="AC158" s="425" t="n">
        <f aca="false">VLOOKUP(K158,'Company Volumes'!$B$20:$C$259,2)</f>
        <v>35793.6759170293</v>
      </c>
      <c r="AD158" s="485" t="n">
        <f aca="false">IF(V158&gt;S158+($AM$5*1000*O158),AA158*F158*16,0)</f>
        <v>110880</v>
      </c>
      <c r="AE158" s="425"/>
      <c r="AF158" s="425" t="n">
        <v>0</v>
      </c>
      <c r="AG158" s="425" t="n">
        <v>0</v>
      </c>
      <c r="AH158" s="425" t="n">
        <f aca="false">X158*AD158</f>
        <v>10916135.6616211</v>
      </c>
      <c r="AI158" s="425" t="n">
        <f aca="false">SUM(AF158:AH158)</f>
        <v>10916135.6616211</v>
      </c>
      <c r="AJ158" s="425" t="n">
        <f aca="false">(AD158*1000*$S$2)/1000000*R158</f>
        <v>4851688.71773793</v>
      </c>
      <c r="AK158" s="425" t="n">
        <f aca="false">($AK$5*O158)/12</f>
        <v>70069.4900114009</v>
      </c>
      <c r="AL158" s="425" t="n">
        <f aca="false">($AL$5*O158)/12</f>
        <v>178677.199529072</v>
      </c>
      <c r="AM158" s="425" t="n">
        <f aca="false">AD158*$AM$5*1000*O158</f>
        <v>310772.202098565</v>
      </c>
      <c r="AN158" s="425" t="n">
        <f aca="false">(($AN$5*O158)/12)*$S$4</f>
        <v>160225.567159403</v>
      </c>
      <c r="AO158" s="425" t="n">
        <f aca="false">($AO$5*O158)/12</f>
        <v>35034.7450057005</v>
      </c>
      <c r="AP158" s="425" t="n">
        <f aca="false">AP157</f>
        <v>46500.5582152336</v>
      </c>
      <c r="AQ158" s="433" t="n">
        <f aca="false">SUM(AK158:AP158)</f>
        <v>801279.762019376</v>
      </c>
      <c r="AR158" s="425" t="n">
        <f aca="false">($AR$5*O158)/12</f>
        <v>17517.3725028502</v>
      </c>
      <c r="AS158" s="433" t="n">
        <f aca="false">AS157</f>
        <v>30387.755</v>
      </c>
      <c r="AT158" s="425" t="n">
        <f aca="false">(AI158/100)*$AT$6*O158</f>
        <v>91786.5670446068</v>
      </c>
      <c r="AU158" s="433" t="n">
        <f aca="false">SUM(AJ158:AT158)-AQ158</f>
        <v>5792660.17430476</v>
      </c>
      <c r="AV158" s="433" t="n">
        <f aca="false">AI158-AU158</f>
        <v>5123475.48731633</v>
      </c>
      <c r="AW158" s="493"/>
      <c r="AX158" s="423" t="n">
        <f aca="false">K158</f>
        <v>41122</v>
      </c>
      <c r="BA158" s="126"/>
      <c r="BB158" s="481" t="n">
        <f aca="false">X158</f>
        <v>98.4499969482422</v>
      </c>
      <c r="BC158" s="481" t="n">
        <f aca="false">'Curve Analysis - Base Case'!D150</f>
        <v>46.5589909797664</v>
      </c>
      <c r="BD158" s="479" t="n">
        <f aca="false">L158</f>
        <v>0.074272977799293</v>
      </c>
      <c r="BE158" s="479" t="n">
        <f aca="false">L158</f>
        <v>0.074272977799293</v>
      </c>
      <c r="BF158" s="489" t="n">
        <f aca="false">PJM_01212000!X158</f>
        <v>0.177229837541422</v>
      </c>
      <c r="BG158" s="425" t="n">
        <f aca="false">(AX158+15)-$K$1</f>
        <v>4548</v>
      </c>
      <c r="BH158" s="433" t="n">
        <f aca="false">AD158</f>
        <v>110880</v>
      </c>
      <c r="BJ158" s="486" t="e">
        <f aca="false">EURO(BB158,BC158,BD158,BE158,BF158,BG158,1,0)*BH158</f>
        <v>#NAME?</v>
      </c>
      <c r="BK158" s="433" t="n">
        <f aca="false">(AI158-AJ158)*N158</f>
        <v>2431683.19071292</v>
      </c>
      <c r="BM158" s="433" t="e">
        <f aca="false">BJ158-BK158</f>
        <v>#NAME?</v>
      </c>
    </row>
    <row r="159" customFormat="false" ht="16.5" hidden="false" customHeight="false" outlineLevel="0" collapsed="false">
      <c r="A159" s="59" t="n">
        <f aca="false">A158+1</f>
        <v>153</v>
      </c>
      <c r="C159" s="59" t="n">
        <v>30</v>
      </c>
      <c r="D159" s="59" t="s">
        <v>171</v>
      </c>
      <c r="E159" s="125" t="n">
        <f aca="false">E158+C158</f>
        <v>41153</v>
      </c>
      <c r="F159" s="425" t="n">
        <f aca="false">F111</f>
        <v>22</v>
      </c>
      <c r="G159" s="433" t="n">
        <f aca="false">C159-F159</f>
        <v>8</v>
      </c>
      <c r="H159" s="433"/>
      <c r="I159" s="433"/>
      <c r="J159" s="59" t="n">
        <f aca="false">K160-K159</f>
        <v>30</v>
      </c>
      <c r="K159" s="478" t="n">
        <v>41153</v>
      </c>
      <c r="L159" s="490" t="n">
        <v>0.074267804350642</v>
      </c>
      <c r="M159" s="491" t="n">
        <v>0.063948839196889</v>
      </c>
      <c r="N159" s="480" t="n">
        <f aca="false">(1+L159/2)^(-2*((K159+$T$1)-$K$1)/365.25)</f>
        <v>0.398524501870092</v>
      </c>
      <c r="O159" s="127" t="n">
        <f aca="false">VLOOKUP(K159,Inflation!$B$8:$C$266,2)</f>
        <v>1.40450456744804</v>
      </c>
      <c r="P159" s="480"/>
      <c r="Q159" s="481" t="n">
        <f aca="false">VLOOKUP(K159,'Fuel Curve'!$B$11:$F$268,5)</f>
        <v>4.66275862068966</v>
      </c>
      <c r="R159" s="482" t="n">
        <f aca="false">VLOOKUP(K159,'Fuel Curve Simulation'!$B$12:$J$258,9)</f>
        <v>4.66275862068966</v>
      </c>
      <c r="S159" s="481" t="n">
        <f aca="false">(R159*$S$2)/1000</f>
        <v>44.6645648275862</v>
      </c>
      <c r="T159" s="483"/>
      <c r="V159" s="128" t="n">
        <f aca="false">VLOOKUP(K159,PJM_01212000!$A$7:$C$259,3)</f>
        <v>37.4249984741211</v>
      </c>
      <c r="W159" s="128"/>
      <c r="X159" s="484" t="n">
        <f aca="false">'PJM Curve Simulation'!J159</f>
        <v>37.4249984741211</v>
      </c>
      <c r="Y159" s="489"/>
      <c r="Z159" s="483"/>
      <c r="AA159" s="59" t="n">
        <f aca="false">AA158</f>
        <v>315</v>
      </c>
      <c r="AB159" s="425" t="n">
        <f aca="false">AA159*F159*16</f>
        <v>110880</v>
      </c>
      <c r="AC159" s="425" t="n">
        <f aca="false">VLOOKUP(K159,'Company Volumes'!$B$20:$C$259,2)</f>
        <v>21003.8393302484</v>
      </c>
      <c r="AD159" s="485" t="n">
        <f aca="false">IF(V159&gt;S159+($AM$5*1000*O159),AA159*F159*16,0)</f>
        <v>0</v>
      </c>
      <c r="AE159" s="425"/>
      <c r="AF159" s="425" t="n">
        <v>0</v>
      </c>
      <c r="AG159" s="425" t="n">
        <v>0</v>
      </c>
      <c r="AH159" s="425" t="n">
        <f aca="false">X159*AD159</f>
        <v>0</v>
      </c>
      <c r="AI159" s="425" t="n">
        <f aca="false">SUM(AF159:AH159)</f>
        <v>0</v>
      </c>
      <c r="AJ159" s="425" t="n">
        <f aca="false">(AD159*1000*$S$2)/1000000*R159</f>
        <v>0</v>
      </c>
      <c r="AK159" s="425" t="n">
        <f aca="false">($AK$5*O159)/12</f>
        <v>70225.2283724019</v>
      </c>
      <c r="AL159" s="425" t="n">
        <f aca="false">($AL$5*O159)/12</f>
        <v>179074.332349625</v>
      </c>
      <c r="AM159" s="425" t="n">
        <f aca="false">AD159*$AM$5*1000*O159</f>
        <v>0</v>
      </c>
      <c r="AN159" s="425" t="n">
        <f aca="false">(($AN$5*O159)/12)*$S$4</f>
        <v>160581.688878226</v>
      </c>
      <c r="AO159" s="425" t="n">
        <f aca="false">($AO$5*O159)/12</f>
        <v>35112.614186201</v>
      </c>
      <c r="AP159" s="425" t="n">
        <f aca="false">AP158</f>
        <v>46500.5582152336</v>
      </c>
      <c r="AQ159" s="433" t="n">
        <f aca="false">SUM(AK159:AP159)</f>
        <v>491494.422001687</v>
      </c>
      <c r="AR159" s="425" t="n">
        <f aca="false">($AR$5*O159)/12</f>
        <v>17556.3070931005</v>
      </c>
      <c r="AS159" s="433" t="n">
        <f aca="false">AS158</f>
        <v>30387.755</v>
      </c>
      <c r="AT159" s="425" t="n">
        <f aca="false">(AI159/100)*$AT$6*O159</f>
        <v>0</v>
      </c>
      <c r="AU159" s="433" t="n">
        <f aca="false">SUM(AJ159:AT159)-AQ159</f>
        <v>539438.484094788</v>
      </c>
      <c r="AV159" s="433" t="n">
        <f aca="false">AI159-AU159</f>
        <v>-539438.484094788</v>
      </c>
      <c r="AW159" s="493"/>
      <c r="AX159" s="423" t="n">
        <f aca="false">K159</f>
        <v>41153</v>
      </c>
      <c r="BA159" s="126"/>
      <c r="BB159" s="481" t="n">
        <f aca="false">X159</f>
        <v>37.4249984741211</v>
      </c>
      <c r="BC159" s="481" t="n">
        <f aca="false">'Curve Analysis - Base Case'!D151</f>
        <v>47.4735739624823</v>
      </c>
      <c r="BD159" s="479" t="n">
        <f aca="false">L159</f>
        <v>0.074267804350642</v>
      </c>
      <c r="BE159" s="479" t="n">
        <f aca="false">L159</f>
        <v>0.074267804350642</v>
      </c>
      <c r="BF159" s="489" t="n">
        <f aca="false">PJM_01212000!X159</f>
        <v>0.113921842313127</v>
      </c>
      <c r="BG159" s="425" t="n">
        <f aca="false">(AX159+15)-$K$1</f>
        <v>4579</v>
      </c>
      <c r="BH159" s="433" t="n">
        <f aca="false">AD159</f>
        <v>0</v>
      </c>
      <c r="BJ159" s="486" t="e">
        <f aca="false">EURO(BB159,BC159,BD159,BE159,BF159,BG159,1,0)*BH159</f>
        <v>#NAME?</v>
      </c>
      <c r="BK159" s="433" t="n">
        <f aca="false">(AI159-AJ159)*N159</f>
        <v>0</v>
      </c>
      <c r="BM159" s="433" t="e">
        <f aca="false">BJ159-BK159</f>
        <v>#NAME?</v>
      </c>
    </row>
    <row r="160" customFormat="false" ht="16.5" hidden="false" customHeight="false" outlineLevel="0" collapsed="false">
      <c r="A160" s="59" t="n">
        <f aca="false">A159+1</f>
        <v>154</v>
      </c>
      <c r="C160" s="59" t="n">
        <v>31</v>
      </c>
      <c r="D160" s="59" t="s">
        <v>172</v>
      </c>
      <c r="E160" s="125" t="n">
        <f aca="false">E159+C159</f>
        <v>41183</v>
      </c>
      <c r="F160" s="425" t="n">
        <f aca="false">F112</f>
        <v>21</v>
      </c>
      <c r="G160" s="433" t="n">
        <f aca="false">C160-F160</f>
        <v>10</v>
      </c>
      <c r="H160" s="433"/>
      <c r="I160" s="433"/>
      <c r="J160" s="59" t="n">
        <f aca="false">K161-K160</f>
        <v>31</v>
      </c>
      <c r="K160" s="478" t="n">
        <v>41183</v>
      </c>
      <c r="L160" s="490" t="n">
        <v>0.074262797787439</v>
      </c>
      <c r="M160" s="491" t="n">
        <v>0.063960076803463</v>
      </c>
      <c r="N160" s="480" t="n">
        <f aca="false">(1+L160/2)^(-2*((K160+$T$1)-$K$1)/365.25)</f>
        <v>0.396168959398485</v>
      </c>
      <c r="O160" s="127" t="n">
        <f aca="false">VLOOKUP(K160,Inflation!$B$8:$C$266,2)</f>
        <v>1.4076262576347</v>
      </c>
      <c r="P160" s="480"/>
      <c r="Q160" s="481" t="n">
        <f aca="false">VLOOKUP(K160,'Fuel Curve'!$B$11:$F$268,5)</f>
        <v>4.75534482758621</v>
      </c>
      <c r="R160" s="482" t="n">
        <f aca="false">VLOOKUP(K160,'Fuel Curve Simulation'!$B$12:$J$258,9)</f>
        <v>4.75534482758621</v>
      </c>
      <c r="S160" s="481" t="n">
        <f aca="false">(R160*$S$2)/1000</f>
        <v>45.5514481034483</v>
      </c>
      <c r="T160" s="483"/>
      <c r="V160" s="128" t="n">
        <f aca="false">VLOOKUP(K160,PJM_01212000!$A$7:$C$259,3)</f>
        <v>30.5750003814697</v>
      </c>
      <c r="W160" s="128"/>
      <c r="X160" s="484" t="n">
        <f aca="false">'PJM Curve Simulation'!J160</f>
        <v>30.5750003814697</v>
      </c>
      <c r="Y160" s="489"/>
      <c r="Z160" s="483"/>
      <c r="AA160" s="59" t="n">
        <f aca="false">AA159</f>
        <v>315</v>
      </c>
      <c r="AB160" s="425" t="n">
        <f aca="false">AA160*F160*16</f>
        <v>105840</v>
      </c>
      <c r="AC160" s="425" t="n">
        <f aca="false">VLOOKUP(K160,'Company Volumes'!$B$20:$C$259,2)</f>
        <v>3704.29835938711</v>
      </c>
      <c r="AD160" s="485" t="n">
        <f aca="false">IF(V160&gt;S160+($AM$5*1000*O160),AA160*F160*16,0)</f>
        <v>0</v>
      </c>
      <c r="AE160" s="425"/>
      <c r="AF160" s="425" t="n">
        <v>0</v>
      </c>
      <c r="AG160" s="425" t="n">
        <v>0</v>
      </c>
      <c r="AH160" s="425" t="n">
        <f aca="false">X160*AD160</f>
        <v>0</v>
      </c>
      <c r="AI160" s="425" t="n">
        <f aca="false">SUM(AF160:AH160)</f>
        <v>0</v>
      </c>
      <c r="AJ160" s="425" t="n">
        <f aca="false">(AD160*1000*$S$2)/1000000*R160</f>
        <v>0</v>
      </c>
      <c r="AK160" s="425" t="n">
        <f aca="false">($AK$5*O160)/12</f>
        <v>70381.3128817349</v>
      </c>
      <c r="AL160" s="425" t="n">
        <f aca="false">($AL$5*O160)/12</f>
        <v>179472.347848424</v>
      </c>
      <c r="AM160" s="425" t="n">
        <f aca="false">AD160*$AM$5*1000*O160</f>
        <v>0</v>
      </c>
      <c r="AN160" s="425" t="n">
        <f aca="false">(($AN$5*O160)/12)*$S$4</f>
        <v>160938.6021229</v>
      </c>
      <c r="AO160" s="425" t="n">
        <f aca="false">($AO$5*O160)/12</f>
        <v>35190.6564408674</v>
      </c>
      <c r="AP160" s="425" t="n">
        <f aca="false">AP159</f>
        <v>46500.5582152336</v>
      </c>
      <c r="AQ160" s="433" t="n">
        <f aca="false">SUM(AK160:AP160)</f>
        <v>492483.47750916</v>
      </c>
      <c r="AR160" s="425" t="n">
        <f aca="false">($AR$5*O160)/12</f>
        <v>17595.3282204337</v>
      </c>
      <c r="AS160" s="433" t="n">
        <f aca="false">AS159</f>
        <v>30387.755</v>
      </c>
      <c r="AT160" s="425" t="n">
        <f aca="false">(AI160/100)*$AT$6*O160</f>
        <v>0</v>
      </c>
      <c r="AU160" s="433" t="n">
        <f aca="false">SUM(AJ160:AT160)-AQ160</f>
        <v>540466.560729594</v>
      </c>
      <c r="AV160" s="433" t="n">
        <f aca="false">AI160-AU160</f>
        <v>-540466.560729594</v>
      </c>
      <c r="AW160" s="493"/>
      <c r="AX160" s="423" t="n">
        <f aca="false">K160</f>
        <v>41183</v>
      </c>
      <c r="BA160" s="126"/>
      <c r="BB160" s="481" t="n">
        <f aca="false">X160</f>
        <v>30.5750003814697</v>
      </c>
      <c r="BC160" s="481" t="n">
        <f aca="false">'Curve Analysis - Base Case'!D152</f>
        <v>48.3667006187177</v>
      </c>
      <c r="BD160" s="479" t="n">
        <f aca="false">L160</f>
        <v>0.074262797787439</v>
      </c>
      <c r="BE160" s="479" t="n">
        <f aca="false">L160</f>
        <v>0.074262797787439</v>
      </c>
      <c r="BF160" s="489" t="n">
        <f aca="false">PJM_01212000!X160</f>
        <v>0.0805590170642826</v>
      </c>
      <c r="BG160" s="425" t="n">
        <f aca="false">(AX160+15)-$K$1</f>
        <v>4609</v>
      </c>
      <c r="BH160" s="433" t="n">
        <f aca="false">AD160</f>
        <v>0</v>
      </c>
      <c r="BJ160" s="486" t="e">
        <f aca="false">EURO(BB160,BC160,BD160,BE160,BF160,BG160,1,0)*BH160</f>
        <v>#NAME?</v>
      </c>
      <c r="BK160" s="433" t="n">
        <f aca="false">(AI160-AJ160)*N160</f>
        <v>0</v>
      </c>
      <c r="BM160" s="433" t="e">
        <f aca="false">BJ160-BK160</f>
        <v>#NAME?</v>
      </c>
    </row>
    <row r="161" customFormat="false" ht="16.5" hidden="false" customHeight="false" outlineLevel="0" collapsed="false">
      <c r="A161" s="59" t="n">
        <f aca="false">A160+1</f>
        <v>155</v>
      </c>
      <c r="C161" s="59" t="n">
        <v>30</v>
      </c>
      <c r="D161" s="59" t="s">
        <v>173</v>
      </c>
      <c r="E161" s="125" t="n">
        <f aca="false">E160+C160</f>
        <v>41214</v>
      </c>
      <c r="F161" s="425" t="n">
        <f aca="false">F113</f>
        <v>22</v>
      </c>
      <c r="G161" s="433" t="n">
        <f aca="false">C161-F161</f>
        <v>8</v>
      </c>
      <c r="H161" s="433"/>
      <c r="I161" s="433"/>
      <c r="J161" s="59" t="n">
        <f aca="false">K162-K161</f>
        <v>30</v>
      </c>
      <c r="K161" s="478" t="n">
        <v>41214</v>
      </c>
      <c r="L161" s="490" t="n">
        <v>0.074257624338805</v>
      </c>
      <c r="M161" s="491" t="n">
        <v>0.063971688997847</v>
      </c>
      <c r="N161" s="480" t="n">
        <f aca="false">(1+L161/2)^(-2*((K161+$T$1)-$K$1)/365.25)</f>
        <v>0.39374985265198</v>
      </c>
      <c r="O161" s="127" t="n">
        <f aca="false">VLOOKUP(K161,Inflation!$B$8:$C$266,2)</f>
        <v>1.41075488617517</v>
      </c>
      <c r="P161" s="480"/>
      <c r="Q161" s="481" t="n">
        <f aca="false">VLOOKUP(K161,'Fuel Curve'!$B$11:$F$268,5)</f>
        <v>4.80465517241379</v>
      </c>
      <c r="R161" s="482" t="n">
        <f aca="false">VLOOKUP(K161,'Fuel Curve Simulation'!$B$12:$J$258,9)</f>
        <v>4.80465517241379</v>
      </c>
      <c r="S161" s="481" t="n">
        <f aca="false">(R161*$S$2)/1000</f>
        <v>46.0237918965517</v>
      </c>
      <c r="T161" s="483"/>
      <c r="V161" s="128" t="n">
        <f aca="false">VLOOKUP(K161,PJM_01212000!$A$7:$C$259,3)</f>
        <v>30.2474990844727</v>
      </c>
      <c r="W161" s="128"/>
      <c r="X161" s="484" t="n">
        <f aca="false">'PJM Curve Simulation'!J161</f>
        <v>30.2474990844727</v>
      </c>
      <c r="Y161" s="489"/>
      <c r="Z161" s="483"/>
      <c r="AA161" s="59" t="n">
        <f aca="false">AA160</f>
        <v>315</v>
      </c>
      <c r="AB161" s="425" t="n">
        <f aca="false">AA161*F161*16</f>
        <v>110880</v>
      </c>
      <c r="AC161" s="425" t="n">
        <f aca="false">VLOOKUP(K161,'Company Volumes'!$B$20:$C$259,2)</f>
        <v>8015.794451476</v>
      </c>
      <c r="AD161" s="485" t="n">
        <f aca="false">IF(V161&gt;S161+($AM$5*1000*O161),AA161*F161*16,0)</f>
        <v>0</v>
      </c>
      <c r="AE161" s="425"/>
      <c r="AF161" s="425" t="n">
        <v>0</v>
      </c>
      <c r="AG161" s="425" t="n">
        <v>0</v>
      </c>
      <c r="AH161" s="425" t="n">
        <f aca="false">X161*AD161</f>
        <v>0</v>
      </c>
      <c r="AI161" s="425" t="n">
        <f aca="false">SUM(AF161:AH161)</f>
        <v>0</v>
      </c>
      <c r="AJ161" s="425" t="n">
        <f aca="false">(AD161*1000*$S$2)/1000000*R161</f>
        <v>0</v>
      </c>
      <c r="AK161" s="425" t="n">
        <f aca="false">($AK$5*O161)/12</f>
        <v>70537.7443087585</v>
      </c>
      <c r="AL161" s="425" t="n">
        <f aca="false">($AL$5*O161)/12</f>
        <v>179871.247987334</v>
      </c>
      <c r="AM161" s="425" t="n">
        <f aca="false">AD161*$AM$5*1000*O161</f>
        <v>0</v>
      </c>
      <c r="AN161" s="425" t="n">
        <f aca="false">(($AN$5*O161)/12)*$S$4</f>
        <v>161296.308652694</v>
      </c>
      <c r="AO161" s="425" t="n">
        <f aca="false">($AO$5*O161)/12</f>
        <v>35268.8721543793</v>
      </c>
      <c r="AP161" s="425" t="n">
        <f aca="false">AP160</f>
        <v>46500.5582152336</v>
      </c>
      <c r="AQ161" s="433" t="n">
        <f aca="false">SUM(AK161:AP161)</f>
        <v>493474.7313184</v>
      </c>
      <c r="AR161" s="425" t="n">
        <f aca="false">($AR$5*O161)/12</f>
        <v>17634.4360771896</v>
      </c>
      <c r="AS161" s="433" t="n">
        <f aca="false">AS160</f>
        <v>30387.755</v>
      </c>
      <c r="AT161" s="425" t="n">
        <f aca="false">(AI161/100)*$AT$6*O161</f>
        <v>0</v>
      </c>
      <c r="AU161" s="433" t="n">
        <f aca="false">SUM(AJ161:AT161)-AQ161</f>
        <v>541496.92239559</v>
      </c>
      <c r="AV161" s="433" t="n">
        <f aca="false">AI161-AU161</f>
        <v>-541496.92239559</v>
      </c>
      <c r="AW161" s="493"/>
      <c r="AX161" s="423" t="n">
        <f aca="false">K161</f>
        <v>41214</v>
      </c>
      <c r="BA161" s="126"/>
      <c r="BB161" s="481" t="n">
        <f aca="false">X161</f>
        <v>30.2474990844727</v>
      </c>
      <c r="BC161" s="481" t="n">
        <f aca="false">'Curve Analysis - Base Case'!D153</f>
        <v>48.8453016689021</v>
      </c>
      <c r="BD161" s="479" t="n">
        <f aca="false">L161</f>
        <v>0.074257624338805</v>
      </c>
      <c r="BE161" s="479" t="n">
        <f aca="false">L161</f>
        <v>0.074257624338805</v>
      </c>
      <c r="BF161" s="489" t="n">
        <f aca="false">PJM_01212000!X161</f>
        <v>0.0805590170642826</v>
      </c>
      <c r="BG161" s="425" t="n">
        <f aca="false">(AX161+15)-$K$1</f>
        <v>4640</v>
      </c>
      <c r="BH161" s="433" t="n">
        <f aca="false">AD161</f>
        <v>0</v>
      </c>
      <c r="BJ161" s="486" t="e">
        <f aca="false">EURO(BB161,BC161,BD161,BE161,BF161,BG161,1,0)*BH161</f>
        <v>#NAME?</v>
      </c>
      <c r="BK161" s="433" t="n">
        <f aca="false">(AI161-AJ161)*N161</f>
        <v>0</v>
      </c>
      <c r="BM161" s="433" t="e">
        <f aca="false">BJ161-BK161</f>
        <v>#NAME?</v>
      </c>
    </row>
    <row r="162" customFormat="false" ht="16.5" hidden="false" customHeight="false" outlineLevel="0" collapsed="false">
      <c r="A162" s="59" t="n">
        <f aca="false">A161+1</f>
        <v>156</v>
      </c>
      <c r="C162" s="59" t="n">
        <v>31</v>
      </c>
      <c r="D162" s="59" t="s">
        <v>174</v>
      </c>
      <c r="E162" s="125" t="n">
        <f aca="false">E161+C161</f>
        <v>41244</v>
      </c>
      <c r="F162" s="425" t="n">
        <f aca="false">F114</f>
        <v>23</v>
      </c>
      <c r="G162" s="433" t="n">
        <f aca="false">C162-F162</f>
        <v>8</v>
      </c>
      <c r="H162" s="433" t="n">
        <f aca="false">SUM(F151:G162)</f>
        <v>366</v>
      </c>
      <c r="I162" s="433"/>
      <c r="J162" s="59" t="n">
        <f aca="false">K163-K162</f>
        <v>31</v>
      </c>
      <c r="K162" s="478" t="n">
        <v>41244</v>
      </c>
      <c r="L162" s="490" t="n">
        <v>0.07425261777562</v>
      </c>
      <c r="M162" s="491" t="n">
        <v>0.06398292660621</v>
      </c>
      <c r="N162" s="480" t="n">
        <f aca="false">(1+L162/2)^(-2*((K162+$T$1)-$K$1)/365.25)</f>
        <v>0.391423162757223</v>
      </c>
      <c r="O162" s="127" t="n">
        <f aca="false">VLOOKUP(K162,Inflation!$B$8:$C$266,2)</f>
        <v>1.41389046849083</v>
      </c>
      <c r="P162" s="480"/>
      <c r="Q162" s="481" t="n">
        <f aca="false">VLOOKUP(K162,'Fuel Curve'!$B$11:$F$268,5)</f>
        <v>4.84741379310345</v>
      </c>
      <c r="R162" s="482" t="n">
        <f aca="false">VLOOKUP(K162,'Fuel Curve Simulation'!$B$12:$J$258,9)</f>
        <v>4.84741379310345</v>
      </c>
      <c r="S162" s="481" t="n">
        <f aca="false">(R162*$S$2)/1000</f>
        <v>46.4333767241379</v>
      </c>
      <c r="T162" s="483"/>
      <c r="V162" s="128" t="n">
        <f aca="false">VLOOKUP(K162,PJM_01212000!$A$7:$C$259,3)</f>
        <v>31.9999996185303</v>
      </c>
      <c r="W162" s="128"/>
      <c r="X162" s="484" t="n">
        <f aca="false">'PJM Curve Simulation'!J162</f>
        <v>31.9999996185303</v>
      </c>
      <c r="Y162" s="489"/>
      <c r="Z162" s="483"/>
      <c r="AA162" s="59" t="n">
        <f aca="false">AA161</f>
        <v>315</v>
      </c>
      <c r="AB162" s="425" t="n">
        <f aca="false">AA162*F162*16</f>
        <v>115920</v>
      </c>
      <c r="AC162" s="425" t="n">
        <f aca="false">VLOOKUP(K162,'Company Volumes'!$B$20:$C$259,2)</f>
        <v>8015.794451476</v>
      </c>
      <c r="AD162" s="485" t="n">
        <f aca="false">IF(V162&gt;S162+($AM$5*1000*O162),AA162*F162*16,0)</f>
        <v>0</v>
      </c>
      <c r="AE162" s="425"/>
      <c r="AF162" s="425" t="n">
        <v>0</v>
      </c>
      <c r="AG162" s="425" t="n">
        <v>0</v>
      </c>
      <c r="AH162" s="425" t="n">
        <f aca="false">X162*AD162</f>
        <v>0</v>
      </c>
      <c r="AI162" s="425" t="n">
        <f aca="false">SUM(AF162:AH162)</f>
        <v>0</v>
      </c>
      <c r="AJ162" s="425" t="n">
        <f aca="false">(AD162*1000*$S$2)/1000000*R162</f>
        <v>0</v>
      </c>
      <c r="AK162" s="425" t="n">
        <f aca="false">($AK$5*O162)/12</f>
        <v>70694.5234245416</v>
      </c>
      <c r="AL162" s="425" t="n">
        <f aca="false">($AL$5*O162)/12</f>
        <v>180271.034732581</v>
      </c>
      <c r="AM162" s="425" t="n">
        <f aca="false">AD162*$AM$5*1000*O162</f>
        <v>0</v>
      </c>
      <c r="AN162" s="425" t="n">
        <f aca="false">(($AN$5*O162)/12)*$S$4</f>
        <v>161654.810230785</v>
      </c>
      <c r="AO162" s="425" t="n">
        <f aca="false">($AO$5*O162)/12</f>
        <v>35347.2617122708</v>
      </c>
      <c r="AP162" s="425" t="n">
        <f aca="false">AP161</f>
        <v>46500.5582152336</v>
      </c>
      <c r="AQ162" s="433" t="n">
        <f aca="false">SUM(AK162:AP162)</f>
        <v>494468.188315412</v>
      </c>
      <c r="AR162" s="425" t="n">
        <f aca="false">($AR$5*O162)/12</f>
        <v>17673.6308561354</v>
      </c>
      <c r="AS162" s="433" t="n">
        <f aca="false">AS161</f>
        <v>30387.755</v>
      </c>
      <c r="AT162" s="425" t="n">
        <f aca="false">(AI162/100)*$AT$6*O162</f>
        <v>0</v>
      </c>
      <c r="AU162" s="433" t="n">
        <f aca="false">SUM(AJ162:AT162)-AQ162</f>
        <v>542529.574171547</v>
      </c>
      <c r="AV162" s="433" t="n">
        <f aca="false">AI162-AU162</f>
        <v>-542529.574171547</v>
      </c>
      <c r="AW162" s="493"/>
      <c r="AX162" s="423" t="n">
        <f aca="false">K162</f>
        <v>41244</v>
      </c>
      <c r="AY162" s="425" t="n">
        <f aca="false">'Debt Amortization'!T8</f>
        <v>5974502.67771641</v>
      </c>
      <c r="AZ162" s="425" t="n">
        <f aca="false">AY162*N162</f>
        <v>2338558.73401325</v>
      </c>
      <c r="BA162" s="126"/>
      <c r="BB162" s="481" t="n">
        <f aca="false">X162</f>
        <v>31.9999996185303</v>
      </c>
      <c r="BC162" s="481" t="n">
        <f aca="false">'Curve Analysis - Base Case'!D154</f>
        <v>49.2611576611196</v>
      </c>
      <c r="BD162" s="479" t="n">
        <f aca="false">L162</f>
        <v>0.07425261777562</v>
      </c>
      <c r="BE162" s="479" t="n">
        <f aca="false">L162</f>
        <v>0.07425261777562</v>
      </c>
      <c r="BF162" s="489" t="n">
        <f aca="false">PJM_01212000!X162</f>
        <v>0.0805590170642826</v>
      </c>
      <c r="BG162" s="425" t="n">
        <f aca="false">(AX162+15)-$K$1</f>
        <v>4670</v>
      </c>
      <c r="BH162" s="433" t="n">
        <f aca="false">AD162</f>
        <v>0</v>
      </c>
      <c r="BJ162" s="486" t="e">
        <f aca="false">EURO(BB162,BC162,BD162,BE162,BF162,BG162,1,0)*BH162</f>
        <v>#NAME?</v>
      </c>
      <c r="BK162" s="433" t="n">
        <f aca="false">(AI162-AJ162)*N162</f>
        <v>0</v>
      </c>
      <c r="BM162" s="433" t="e">
        <f aca="false">BJ162-BK162</f>
        <v>#NAME?</v>
      </c>
    </row>
    <row r="163" customFormat="false" ht="16.5" hidden="false" customHeight="false" outlineLevel="0" collapsed="false">
      <c r="A163" s="59" t="n">
        <f aca="false">A162+1</f>
        <v>157</v>
      </c>
      <c r="C163" s="59" t="n">
        <v>31</v>
      </c>
      <c r="D163" s="59" t="s">
        <v>164</v>
      </c>
      <c r="E163" s="125" t="n">
        <f aca="false">E162+C162</f>
        <v>41275</v>
      </c>
      <c r="F163" s="425" t="n">
        <f aca="false">F115</f>
        <v>23</v>
      </c>
      <c r="G163" s="433" t="n">
        <f aca="false">C163-F163</f>
        <v>8</v>
      </c>
      <c r="H163" s="433"/>
      <c r="I163" s="433"/>
      <c r="J163" s="59" t="n">
        <f aca="false">K164-K163</f>
        <v>31</v>
      </c>
      <c r="K163" s="478" t="n">
        <v>41275</v>
      </c>
      <c r="L163" s="490" t="n">
        <v>0.074247444327003</v>
      </c>
      <c r="M163" s="491" t="n">
        <v>0.063994538802442</v>
      </c>
      <c r="N163" s="480" t="n">
        <f aca="false">(1+L163/2)^(-2*((K163+$T$1)-$K$1)/365.25)</f>
        <v>0.389033683347088</v>
      </c>
      <c r="O163" s="127" t="n">
        <f aca="false">VLOOKUP(K163,Inflation!$B$8:$C$266,2)</f>
        <v>1.41703302003733</v>
      </c>
      <c r="P163" s="480"/>
      <c r="Q163" s="481" t="n">
        <f aca="false">VLOOKUP(K163,'Fuel Curve'!$B$11:$F$268,5)</f>
        <v>4.79017241379311</v>
      </c>
      <c r="R163" s="482" t="n">
        <f aca="false">VLOOKUP(K163,'Fuel Curve Simulation'!$B$12:$J$258,9)</f>
        <v>4.79017241379311</v>
      </c>
      <c r="S163" s="481" t="n">
        <f aca="false">(R163*$S$2)/1000</f>
        <v>45.8850615517242</v>
      </c>
      <c r="T163" s="483"/>
      <c r="V163" s="128" t="n">
        <f aca="false">VLOOKUP(K163,PJM_01212000!$A$7:$C$259,3)</f>
        <v>40.5749984741211</v>
      </c>
      <c r="W163" s="128"/>
      <c r="X163" s="484" t="n">
        <f aca="false">'PJM Curve Simulation'!J163</f>
        <v>40.5749984741211</v>
      </c>
      <c r="Y163" s="489"/>
      <c r="Z163" s="483"/>
      <c r="AA163" s="59" t="n">
        <f aca="false">AA162</f>
        <v>315</v>
      </c>
      <c r="AB163" s="425" t="n">
        <f aca="false">AA163*F163*16</f>
        <v>115920</v>
      </c>
      <c r="AC163" s="425" t="n">
        <f aca="false">VLOOKUP(K163,'Company Volumes'!$B$20:$C$259,2)</f>
        <v>17438.0181096613</v>
      </c>
      <c r="AD163" s="485" t="n">
        <f aca="false">IF(V163&gt;S163+($AM$5*1000*O163),AA163*F163*16,0)</f>
        <v>0</v>
      </c>
      <c r="AE163" s="425"/>
      <c r="AF163" s="425" t="n">
        <v>0</v>
      </c>
      <c r="AG163" s="425" t="n">
        <v>0</v>
      </c>
      <c r="AH163" s="425" t="n">
        <f aca="false">X163*AD163</f>
        <v>0</v>
      </c>
      <c r="AI163" s="425" t="n">
        <f aca="false">SUM(AF163:AH163)</f>
        <v>0</v>
      </c>
      <c r="AJ163" s="425" t="n">
        <f aca="false">(AD163*1000*$S$2)/1000000*R163</f>
        <v>0</v>
      </c>
      <c r="AK163" s="425" t="n">
        <f aca="false">($AK$5*O163)/12</f>
        <v>70851.6510018665</v>
      </c>
      <c r="AL163" s="425" t="n">
        <f aca="false">($AL$5*O163)/12</f>
        <v>180671.71005476</v>
      </c>
      <c r="AM163" s="425" t="n">
        <f aca="false">AD163*$AM$5*1000*O163</f>
        <v>0</v>
      </c>
      <c r="AN163" s="425" t="n">
        <f aca="false">(($AN$5*O163)/12)*$S$4</f>
        <v>162014.108624268</v>
      </c>
      <c r="AO163" s="425" t="n">
        <f aca="false">($AO$5*O163)/12</f>
        <v>35425.8255009333</v>
      </c>
      <c r="AP163" s="425" t="n">
        <f aca="false">AP162</f>
        <v>46500.5582152336</v>
      </c>
      <c r="AQ163" s="433" t="n">
        <f aca="false">SUM(AK163:AP163)</f>
        <v>495463.853397061</v>
      </c>
      <c r="AR163" s="425" t="n">
        <f aca="false">($AR$5*O163)/12</f>
        <v>17712.9127504666</v>
      </c>
      <c r="AS163" s="433" t="n">
        <f aca="false">AS162</f>
        <v>30387.755</v>
      </c>
      <c r="AT163" s="425" t="n">
        <f aca="false">(AI163/100)*$AT$6*O163</f>
        <v>0</v>
      </c>
      <c r="AU163" s="433" t="n">
        <f aca="false">SUM(AJ163:AT163)-AQ163</f>
        <v>543564.521147528</v>
      </c>
      <c r="AV163" s="433" t="n">
        <f aca="false">AI163-AU163</f>
        <v>-543564.521147528</v>
      </c>
      <c r="AW163" s="493"/>
      <c r="AX163" s="423" t="n">
        <f aca="false">K163</f>
        <v>41275</v>
      </c>
      <c r="BA163" s="126"/>
      <c r="BB163" s="481" t="n">
        <f aca="false">X163</f>
        <v>40.5749984741211</v>
      </c>
      <c r="BC163" s="481" t="n">
        <f aca="false">'Curve Analysis - Base Case'!D155</f>
        <v>48.7191275917988</v>
      </c>
      <c r="BD163" s="479" t="n">
        <f aca="false">L163</f>
        <v>0.074247444327003</v>
      </c>
      <c r="BE163" s="479" t="n">
        <f aca="false">L163</f>
        <v>0.074247444327003</v>
      </c>
      <c r="BF163" s="489" t="n">
        <f aca="false">PJM_01212000!X163</f>
        <v>0.123738650210738</v>
      </c>
      <c r="BG163" s="425" t="n">
        <f aca="false">(AX163+15)-$K$1</f>
        <v>4701</v>
      </c>
      <c r="BH163" s="433" t="n">
        <f aca="false">AD163</f>
        <v>0</v>
      </c>
      <c r="BJ163" s="486" t="e">
        <f aca="false">EURO(BB163,BC163,BD163,BE163,BF163,BG163,1,0)*BH163</f>
        <v>#NAME?</v>
      </c>
      <c r="BK163" s="433" t="n">
        <f aca="false">(AI163-AJ163)*N163</f>
        <v>0</v>
      </c>
      <c r="BM163" s="433" t="e">
        <f aca="false">BJ163-BK163</f>
        <v>#NAME?</v>
      </c>
    </row>
    <row r="164" customFormat="false" ht="16.5" hidden="false" customHeight="false" outlineLevel="0" collapsed="false">
      <c r="A164" s="59" t="n">
        <f aca="false">A163+1</f>
        <v>158</v>
      </c>
      <c r="C164" s="59" t="n">
        <v>28</v>
      </c>
      <c r="D164" s="59" t="s">
        <v>165</v>
      </c>
      <c r="E164" s="125" t="n">
        <f aca="false">E163+C163</f>
        <v>41306</v>
      </c>
      <c r="F164" s="425" t="n">
        <f aca="false">F116</f>
        <v>20</v>
      </c>
      <c r="G164" s="433" t="n">
        <f aca="false">C164-F164</f>
        <v>8</v>
      </c>
      <c r="H164" s="433"/>
      <c r="I164" s="433"/>
      <c r="J164" s="59" t="n">
        <f aca="false">K165-K164</f>
        <v>28</v>
      </c>
      <c r="K164" s="478" t="n">
        <v>41306</v>
      </c>
      <c r="L164" s="490" t="n">
        <v>0.074242270878395</v>
      </c>
      <c r="M164" s="491" t="n">
        <v>0.064006150999613</v>
      </c>
      <c r="N164" s="480" t="n">
        <f aca="false">(1+L164/2)^(-2*((K164+$T$1)-$K$1)/365.25)</f>
        <v>0.386659118200709</v>
      </c>
      <c r="O164" s="127" t="n">
        <f aca="false">VLOOKUP(K164,Inflation!$B$8:$C$266,2)</f>
        <v>1.42018255630467</v>
      </c>
      <c r="P164" s="480"/>
      <c r="Q164" s="481" t="n">
        <f aca="false">VLOOKUP(K164,'Fuel Curve'!$B$11:$F$268,5)</f>
        <v>4.69103448275862</v>
      </c>
      <c r="R164" s="482" t="n">
        <f aca="false">VLOOKUP(K164,'Fuel Curve Simulation'!$B$12:$J$258,9)</f>
        <v>4.69103448275862</v>
      </c>
      <c r="S164" s="481" t="n">
        <f aca="false">(R164*$S$2)/1000</f>
        <v>44.9354193103448</v>
      </c>
      <c r="T164" s="483"/>
      <c r="V164" s="128" t="n">
        <f aca="false">VLOOKUP(K164,PJM_01212000!$A$7:$C$259,3)</f>
        <v>40.5749984741211</v>
      </c>
      <c r="W164" s="128"/>
      <c r="X164" s="484" t="n">
        <f aca="false">'PJM Curve Simulation'!J164</f>
        <v>40.5749984741211</v>
      </c>
      <c r="Y164" s="489"/>
      <c r="Z164" s="483"/>
      <c r="AA164" s="59" t="n">
        <f aca="false">AA163</f>
        <v>315</v>
      </c>
      <c r="AB164" s="425" t="n">
        <f aca="false">AA164*F164*16</f>
        <v>100800</v>
      </c>
      <c r="AC164" s="425" t="n">
        <f aca="false">VLOOKUP(K164,'Company Volumes'!$B$20:$C$259,2)</f>
        <v>626.400405431111</v>
      </c>
      <c r="AD164" s="485" t="n">
        <f aca="false">IF(V164&gt;S164+($AM$5*1000*O164),AA164*F164*16,0)</f>
        <v>0</v>
      </c>
      <c r="AE164" s="425"/>
      <c r="AF164" s="425" t="n">
        <v>0</v>
      </c>
      <c r="AG164" s="425" t="n">
        <v>0</v>
      </c>
      <c r="AH164" s="425" t="n">
        <f aca="false">X164*AD164</f>
        <v>0</v>
      </c>
      <c r="AI164" s="425" t="n">
        <f aca="false">SUM(AF164:AH164)</f>
        <v>0</v>
      </c>
      <c r="AJ164" s="425" t="n">
        <f aca="false">(AD164*1000*$S$2)/1000000*R164</f>
        <v>0</v>
      </c>
      <c r="AK164" s="425" t="n">
        <f aca="false">($AK$5*O164)/12</f>
        <v>71009.1278152335</v>
      </c>
      <c r="AL164" s="425" t="n">
        <f aca="false">($AL$5*O164)/12</f>
        <v>181073.275928845</v>
      </c>
      <c r="AM164" s="425" t="n">
        <f aca="false">AD164*$AM$5*1000*O164</f>
        <v>0</v>
      </c>
      <c r="AN164" s="425" t="n">
        <f aca="false">(($AN$5*O164)/12)*$S$4</f>
        <v>162374.205604167</v>
      </c>
      <c r="AO164" s="425" t="n">
        <f aca="false">($AO$5*O164)/12</f>
        <v>35504.5639076168</v>
      </c>
      <c r="AP164" s="425" t="n">
        <f aca="false">AP163</f>
        <v>46500.5582152336</v>
      </c>
      <c r="AQ164" s="433" t="n">
        <f aca="false">SUM(AK164:AP164)</f>
        <v>496461.731471097</v>
      </c>
      <c r="AR164" s="425" t="n">
        <f aca="false">($AR$5*O164)/12</f>
        <v>17752.2819538084</v>
      </c>
      <c r="AS164" s="433" t="n">
        <f aca="false">AS163</f>
        <v>30387.755</v>
      </c>
      <c r="AT164" s="425" t="n">
        <f aca="false">(AI164/100)*$AT$6*O164</f>
        <v>0</v>
      </c>
      <c r="AU164" s="433" t="n">
        <f aca="false">SUM(AJ164:AT164)-AQ164</f>
        <v>544601.768424905</v>
      </c>
      <c r="AV164" s="433" t="n">
        <f aca="false">AI164-AU164</f>
        <v>-544601.768424905</v>
      </c>
      <c r="AW164" s="493"/>
      <c r="AX164" s="423" t="n">
        <f aca="false">K164</f>
        <v>41306</v>
      </c>
      <c r="BA164" s="126"/>
      <c r="BB164" s="481" t="n">
        <f aca="false">X164</f>
        <v>40.5749984741211</v>
      </c>
      <c r="BC164" s="481" t="n">
        <f aca="false">'Curve Analysis - Base Case'!D156</f>
        <v>47.7757844229542</v>
      </c>
      <c r="BD164" s="479" t="n">
        <f aca="false">L164</f>
        <v>0.074242270878395</v>
      </c>
      <c r="BE164" s="479" t="n">
        <f aca="false">L164</f>
        <v>0.074242270878395</v>
      </c>
      <c r="BF164" s="489" t="n">
        <f aca="false">PJM_01212000!X164</f>
        <v>0.123738650210738</v>
      </c>
      <c r="BG164" s="425" t="n">
        <f aca="false">(AX164+15)-$K$1</f>
        <v>4732</v>
      </c>
      <c r="BH164" s="433" t="n">
        <f aca="false">AD164</f>
        <v>0</v>
      </c>
      <c r="BJ164" s="486" t="e">
        <f aca="false">EURO(BB164,BC164,BD164,BE164,BF164,BG164,1,0)*BH164</f>
        <v>#NAME?</v>
      </c>
      <c r="BK164" s="433" t="n">
        <f aca="false">(AI164-AJ164)*N164</f>
        <v>0</v>
      </c>
      <c r="BM164" s="433" t="e">
        <f aca="false">BJ164-BK164</f>
        <v>#NAME?</v>
      </c>
    </row>
    <row r="165" customFormat="false" ht="16.5" hidden="false" customHeight="false" outlineLevel="0" collapsed="false">
      <c r="A165" s="59" t="n">
        <f aca="false">A164+1</f>
        <v>159</v>
      </c>
      <c r="C165" s="59" t="n">
        <v>31</v>
      </c>
      <c r="D165" s="59" t="s">
        <v>166</v>
      </c>
      <c r="E165" s="125" t="n">
        <f aca="false">E164+C164</f>
        <v>41334</v>
      </c>
      <c r="F165" s="425" t="n">
        <f aca="false">F117</f>
        <v>22</v>
      </c>
      <c r="G165" s="433" t="n">
        <f aca="false">C165-F165</f>
        <v>9</v>
      </c>
      <c r="H165" s="433"/>
      <c r="I165" s="433"/>
      <c r="J165" s="59" t="n">
        <f aca="false">K166-K165</f>
        <v>31</v>
      </c>
      <c r="K165" s="478" t="n">
        <v>41334</v>
      </c>
      <c r="L165" s="490" t="n">
        <v>0.074237598086112</v>
      </c>
      <c r="M165" s="491" t="n">
        <v>0.064016639436574</v>
      </c>
      <c r="N165" s="480" t="n">
        <f aca="false">(1+L165/2)^(-2*((K165+$T$1)-$K$1)/365.25)</f>
        <v>0.384527089741751</v>
      </c>
      <c r="O165" s="127" t="n">
        <f aca="false">VLOOKUP(K165,Inflation!$B$8:$C$266,2)</f>
        <v>1.42333909281728</v>
      </c>
      <c r="P165" s="480"/>
      <c r="Q165" s="481" t="n">
        <f aca="false">VLOOKUP(K165,'Fuel Curve'!$B$11:$F$268,5)</f>
        <v>4.59396551724138</v>
      </c>
      <c r="R165" s="482" t="n">
        <f aca="false">VLOOKUP(K165,'Fuel Curve Simulation'!$B$12:$J$258,9)</f>
        <v>4.59396551724138</v>
      </c>
      <c r="S165" s="481" t="n">
        <f aca="false">(R165*$S$2)/1000</f>
        <v>44.0055956896552</v>
      </c>
      <c r="T165" s="483"/>
      <c r="V165" s="128" t="n">
        <f aca="false">VLOOKUP(K165,PJM_01212000!$A$7:$C$259,3)</f>
        <v>30.3000007629395</v>
      </c>
      <c r="W165" s="128"/>
      <c r="X165" s="484" t="n">
        <f aca="false">'PJM Curve Simulation'!J165</f>
        <v>30.3000007629395</v>
      </c>
      <c r="Y165" s="489"/>
      <c r="Z165" s="483"/>
      <c r="AA165" s="59" t="n">
        <f aca="false">AA164</f>
        <v>315</v>
      </c>
      <c r="AB165" s="425" t="n">
        <f aca="false">AA165*F165*16</f>
        <v>110880</v>
      </c>
      <c r="AC165" s="425" t="n">
        <f aca="false">VLOOKUP(K165,'Company Volumes'!$B$20:$C$259,2)</f>
        <v>626.400405431111</v>
      </c>
      <c r="AD165" s="485" t="n">
        <f aca="false">IF(V165&gt;S165+($AM$5*1000*O165),AA165*F165*16,0)</f>
        <v>0</v>
      </c>
      <c r="AE165" s="425"/>
      <c r="AF165" s="425" t="n">
        <v>0</v>
      </c>
      <c r="AG165" s="425" t="n">
        <v>0</v>
      </c>
      <c r="AH165" s="425" t="n">
        <f aca="false">X165*AD165</f>
        <v>0</v>
      </c>
      <c r="AI165" s="425" t="n">
        <f aca="false">SUM(AF165:AH165)</f>
        <v>0</v>
      </c>
      <c r="AJ165" s="425" t="n">
        <f aca="false">(AD165*1000*$S$2)/1000000*R165</f>
        <v>0</v>
      </c>
      <c r="AK165" s="425" t="n">
        <f aca="false">($AK$5*O165)/12</f>
        <v>71166.9546408642</v>
      </c>
      <c r="AL165" s="425" t="n">
        <f aca="false">($AL$5*O165)/12</f>
        <v>181475.734334204</v>
      </c>
      <c r="AM165" s="425" t="n">
        <f aca="false">AD165*$AM$5*1000*O165</f>
        <v>0</v>
      </c>
      <c r="AN165" s="425" t="n">
        <f aca="false">(($AN$5*O165)/12)*$S$4</f>
        <v>162735.102945443</v>
      </c>
      <c r="AO165" s="425" t="n">
        <f aca="false">($AO$5*O165)/12</f>
        <v>35583.4773204321</v>
      </c>
      <c r="AP165" s="425" t="n">
        <f aca="false">AP164</f>
        <v>46500.5582152336</v>
      </c>
      <c r="AQ165" s="433" t="n">
        <f aca="false">SUM(AK165:AP165)</f>
        <v>497461.827456176</v>
      </c>
      <c r="AR165" s="425" t="n">
        <f aca="false">($AR$5*O165)/12</f>
        <v>17791.738660216</v>
      </c>
      <c r="AS165" s="433" t="n">
        <f aca="false">AS164</f>
        <v>30387.755</v>
      </c>
      <c r="AT165" s="425" t="n">
        <f aca="false">(AI165/100)*$AT$6*O165</f>
        <v>0</v>
      </c>
      <c r="AU165" s="433" t="n">
        <f aca="false">SUM(AJ165:AT165)-AQ165</f>
        <v>545641.321116392</v>
      </c>
      <c r="AV165" s="433" t="n">
        <f aca="false">AI165-AU165</f>
        <v>-545641.321116392</v>
      </c>
      <c r="AW165" s="493"/>
      <c r="AX165" s="423" t="n">
        <f aca="false">K165</f>
        <v>41334</v>
      </c>
      <c r="BA165" s="126"/>
      <c r="BB165" s="481" t="n">
        <f aca="false">X165</f>
        <v>30.3000007629395</v>
      </c>
      <c r="BC165" s="481" t="n">
        <f aca="false">'Curve Analysis - Base Case'!D157</f>
        <v>46.8522738752898</v>
      </c>
      <c r="BD165" s="479" t="n">
        <f aca="false">L165</f>
        <v>0.074237598086112</v>
      </c>
      <c r="BE165" s="479" t="n">
        <f aca="false">L165</f>
        <v>0.074237598086112</v>
      </c>
      <c r="BF165" s="489" t="n">
        <f aca="false">PJM_01212000!X165</f>
        <v>0.103115541842282</v>
      </c>
      <c r="BG165" s="425" t="n">
        <f aca="false">(AX165+15)-$K$1</f>
        <v>4760</v>
      </c>
      <c r="BH165" s="433" t="n">
        <f aca="false">AD165</f>
        <v>0</v>
      </c>
      <c r="BJ165" s="486" t="e">
        <f aca="false">EURO(BB165,BC165,BD165,BE165,BF165,BG165,1,0)*BH165</f>
        <v>#NAME?</v>
      </c>
      <c r="BK165" s="433" t="n">
        <f aca="false">(AI165-AJ165)*N165</f>
        <v>0</v>
      </c>
      <c r="BM165" s="433" t="e">
        <f aca="false">BJ165-BK165</f>
        <v>#NAME?</v>
      </c>
    </row>
    <row r="166" customFormat="false" ht="16.5" hidden="false" customHeight="false" outlineLevel="0" collapsed="false">
      <c r="A166" s="59" t="n">
        <f aca="false">A165+1</f>
        <v>160</v>
      </c>
      <c r="C166" s="59" t="n">
        <v>30</v>
      </c>
      <c r="D166" s="59" t="s">
        <v>167</v>
      </c>
      <c r="E166" s="125" t="n">
        <f aca="false">E165+C165</f>
        <v>41365</v>
      </c>
      <c r="F166" s="425" t="n">
        <f aca="false">F118</f>
        <v>21</v>
      </c>
      <c r="G166" s="433" t="n">
        <f aca="false">C166-F166</f>
        <v>9</v>
      </c>
      <c r="H166" s="433"/>
      <c r="I166" s="433"/>
      <c r="J166" s="59" t="n">
        <f aca="false">K167-K166</f>
        <v>30</v>
      </c>
      <c r="K166" s="478" t="n">
        <v>41365</v>
      </c>
      <c r="L166" s="490" t="n">
        <v>0.074232424637521</v>
      </c>
      <c r="M166" s="491" t="n">
        <v>0.064028251635532</v>
      </c>
      <c r="N166" s="480" t="n">
        <f aca="false">(1+L166/2)^(-2*((K166+$T$1)-$K$1)/365.25)</f>
        <v>0.382180647745112</v>
      </c>
      <c r="O166" s="127" t="n">
        <f aca="false">VLOOKUP(K166,Inflation!$B$8:$C$266,2)</f>
        <v>1.4265026451341</v>
      </c>
      <c r="P166" s="480"/>
      <c r="Q166" s="481" t="n">
        <f aca="false">VLOOKUP(K166,'Fuel Curve'!$B$11:$F$268,5)</f>
        <v>4.49396551724138</v>
      </c>
      <c r="R166" s="482" t="n">
        <f aca="false">VLOOKUP(K166,'Fuel Curve Simulation'!$B$12:$J$258,9)</f>
        <v>4.49396551724138</v>
      </c>
      <c r="S166" s="481" t="n">
        <f aca="false">(R166*$S$2)/1000</f>
        <v>43.0476956896552</v>
      </c>
      <c r="T166" s="483"/>
      <c r="V166" s="128" t="n">
        <f aca="false">VLOOKUP(K166,PJM_01212000!$A$7:$C$259,3)</f>
        <v>30.0750007629395</v>
      </c>
      <c r="W166" s="128"/>
      <c r="X166" s="484" t="n">
        <f aca="false">'PJM Curve Simulation'!J166</f>
        <v>30.0750007629395</v>
      </c>
      <c r="Y166" s="489"/>
      <c r="Z166" s="483"/>
      <c r="AA166" s="59" t="n">
        <f aca="false">AA165</f>
        <v>315</v>
      </c>
      <c r="AB166" s="425" t="n">
        <f aca="false">AA166*F166*16</f>
        <v>105840</v>
      </c>
      <c r="AC166" s="425" t="n">
        <f aca="false">VLOOKUP(K166,'Company Volumes'!$B$20:$C$259,2)</f>
        <v>8687.71010914178</v>
      </c>
      <c r="AD166" s="485" t="n">
        <f aca="false">IF(V166&gt;S166+($AM$5*1000*O166),AA166*F166*16,0)</f>
        <v>0</v>
      </c>
      <c r="AE166" s="425"/>
      <c r="AF166" s="425" t="n">
        <v>0</v>
      </c>
      <c r="AG166" s="425" t="n">
        <v>0</v>
      </c>
      <c r="AH166" s="425" t="n">
        <f aca="false">X166*AD166</f>
        <v>0</v>
      </c>
      <c r="AI166" s="425" t="n">
        <f aca="false">SUM(AF166:AH166)</f>
        <v>0</v>
      </c>
      <c r="AJ166" s="425" t="n">
        <f aca="false">(AD166*1000*$S$2)/1000000*R166</f>
        <v>0</v>
      </c>
      <c r="AK166" s="425" t="n">
        <f aca="false">($AK$5*O166)/12</f>
        <v>71325.1322567052</v>
      </c>
      <c r="AL166" s="425" t="n">
        <f aca="false">($AL$5*O166)/12</f>
        <v>181879.087254598</v>
      </c>
      <c r="AM166" s="425" t="n">
        <f aca="false">AD166*$AM$5*1000*O166</f>
        <v>0</v>
      </c>
      <c r="AN166" s="425" t="n">
        <f aca="false">(($AN$5*O166)/12)*$S$4</f>
        <v>163096.802426999</v>
      </c>
      <c r="AO166" s="425" t="n">
        <f aca="false">($AO$5*O166)/12</f>
        <v>35662.5661283526</v>
      </c>
      <c r="AP166" s="425" t="n">
        <f aca="false">AP165</f>
        <v>46500.5582152336</v>
      </c>
      <c r="AQ166" s="433" t="n">
        <f aca="false">SUM(AK166:AP166)</f>
        <v>498464.146281889</v>
      </c>
      <c r="AR166" s="425" t="n">
        <f aca="false">($AR$5*O166)/12</f>
        <v>17831.2830641763</v>
      </c>
      <c r="AS166" s="433" t="n">
        <f aca="false">AS165</f>
        <v>30387.755</v>
      </c>
      <c r="AT166" s="425" t="n">
        <f aca="false">(AI166/100)*$AT$6*O166</f>
        <v>0</v>
      </c>
      <c r="AU166" s="433" t="n">
        <f aca="false">SUM(AJ166:AT166)-AQ166</f>
        <v>546683.184346065</v>
      </c>
      <c r="AV166" s="433" t="n">
        <f aca="false">AI166-AU166</f>
        <v>-546683.184346065</v>
      </c>
      <c r="AW166" s="493"/>
      <c r="AX166" s="423" t="n">
        <f aca="false">K166</f>
        <v>41365</v>
      </c>
      <c r="BA166" s="126"/>
      <c r="BB166" s="481" t="n">
        <f aca="false">X166</f>
        <v>30.0750007629395</v>
      </c>
      <c r="BC166" s="481" t="n">
        <f aca="false">'Curve Analysis - Base Case'!D158</f>
        <v>45.9007009799234</v>
      </c>
      <c r="BD166" s="479" t="n">
        <f aca="false">L166</f>
        <v>0.074232424637521</v>
      </c>
      <c r="BE166" s="479" t="n">
        <f aca="false">L166</f>
        <v>0.074232424637521</v>
      </c>
      <c r="BF166" s="489" t="n">
        <f aca="false">PJM_01212000!X166</f>
        <v>0.0979597647501677</v>
      </c>
      <c r="BG166" s="425" t="n">
        <f aca="false">(AX166+15)-$K$1</f>
        <v>4791</v>
      </c>
      <c r="BH166" s="433" t="n">
        <f aca="false">AD166</f>
        <v>0</v>
      </c>
      <c r="BJ166" s="486" t="e">
        <f aca="false">EURO(BB166,BC166,BD166,BE166,BF166,BG166,1,0)*BH166</f>
        <v>#NAME?</v>
      </c>
      <c r="BK166" s="433" t="n">
        <f aca="false">(AI166-AJ166)*N166</f>
        <v>0</v>
      </c>
      <c r="BM166" s="433" t="e">
        <f aca="false">BJ166-BK166</f>
        <v>#NAME?</v>
      </c>
    </row>
    <row r="167" customFormat="false" ht="16.5" hidden="false" customHeight="false" outlineLevel="0" collapsed="false">
      <c r="A167" s="59" t="n">
        <f aca="false">A166+1</f>
        <v>161</v>
      </c>
      <c r="C167" s="59" t="n">
        <v>31</v>
      </c>
      <c r="D167" s="59" t="s">
        <v>29</v>
      </c>
      <c r="E167" s="125" t="n">
        <f aca="false">E166+C166</f>
        <v>41395</v>
      </c>
      <c r="F167" s="425" t="n">
        <f aca="false">F119</f>
        <v>23</v>
      </c>
      <c r="G167" s="433" t="n">
        <f aca="false">C167-F167</f>
        <v>8</v>
      </c>
      <c r="H167" s="433"/>
      <c r="I167" s="433"/>
      <c r="J167" s="59" t="n">
        <f aca="false">K168-K167</f>
        <v>31</v>
      </c>
      <c r="K167" s="478" t="n">
        <v>41395</v>
      </c>
      <c r="L167" s="490" t="n">
        <v>0.074227418074377</v>
      </c>
      <c r="M167" s="491" t="n">
        <v>0.064039489248322</v>
      </c>
      <c r="N167" s="480" t="n">
        <f aca="false">(1+L167/2)^(-2*((K167+$T$1)-$K$1)/365.25)</f>
        <v>0.379923837649822</v>
      </c>
      <c r="O167" s="127" t="n">
        <f aca="false">VLOOKUP(K167,Inflation!$B$8:$C$266,2)</f>
        <v>1.42967322884865</v>
      </c>
      <c r="P167" s="480"/>
      <c r="Q167" s="481" t="n">
        <f aca="false">VLOOKUP(K167,'Fuel Curve'!$B$11:$F$268,5)</f>
        <v>4.42672413793104</v>
      </c>
      <c r="R167" s="482" t="n">
        <f aca="false">VLOOKUP(K167,'Fuel Curve Simulation'!$B$12:$J$258,9)</f>
        <v>4.42672413793104</v>
      </c>
      <c r="S167" s="481" t="n">
        <f aca="false">(R167*$S$2)/1000</f>
        <v>42.4035905172414</v>
      </c>
      <c r="T167" s="483"/>
      <c r="V167" s="128" t="n">
        <f aca="false">VLOOKUP(K167,PJM_01212000!$A$7:$C$259,3)</f>
        <v>38.075</v>
      </c>
      <c r="W167" s="128"/>
      <c r="X167" s="484" t="n">
        <f aca="false">'PJM Curve Simulation'!J167</f>
        <v>38.075</v>
      </c>
      <c r="Y167" s="489"/>
      <c r="Z167" s="483"/>
      <c r="AA167" s="59" t="n">
        <f aca="false">AA166</f>
        <v>315</v>
      </c>
      <c r="AB167" s="425" t="n">
        <f aca="false">AA167*F167*16</f>
        <v>115920</v>
      </c>
      <c r="AC167" s="425" t="n">
        <f aca="false">VLOOKUP(K167,'Company Volumes'!$B$20:$C$259,2)</f>
        <v>16943.1765483836</v>
      </c>
      <c r="AD167" s="485" t="n">
        <f aca="false">IF(V167&gt;S167+($AM$5*1000*O167),AA167*F167*16,0)</f>
        <v>0</v>
      </c>
      <c r="AE167" s="425"/>
      <c r="AF167" s="425" t="n">
        <v>0</v>
      </c>
      <c r="AG167" s="425" t="n">
        <v>0</v>
      </c>
      <c r="AH167" s="425" t="n">
        <f aca="false">X167*AD167</f>
        <v>0</v>
      </c>
      <c r="AI167" s="425" t="n">
        <f aca="false">SUM(AF167:AH167)</f>
        <v>0</v>
      </c>
      <c r="AJ167" s="425" t="n">
        <f aca="false">(AD167*1000*$S$2)/1000000*R167</f>
        <v>0</v>
      </c>
      <c r="AK167" s="425" t="n">
        <f aca="false">($AK$5*O167)/12</f>
        <v>71483.6614424326</v>
      </c>
      <c r="AL167" s="425" t="n">
        <f aca="false">($AL$5*O167)/12</f>
        <v>182283.336678203</v>
      </c>
      <c r="AM167" s="425" t="n">
        <f aca="false">AD167*$AM$5*1000*O167</f>
        <v>0</v>
      </c>
      <c r="AN167" s="425" t="n">
        <f aca="false">(($AN$5*O167)/12)*$S$4</f>
        <v>163459.305831696</v>
      </c>
      <c r="AO167" s="425" t="n">
        <f aca="false">($AO$5*O167)/12</f>
        <v>35741.8307212163</v>
      </c>
      <c r="AP167" s="425" t="n">
        <f aca="false">AP166</f>
        <v>46500.5582152336</v>
      </c>
      <c r="AQ167" s="433" t="n">
        <f aca="false">SUM(AK167:AP167)</f>
        <v>499468.692888782</v>
      </c>
      <c r="AR167" s="425" t="n">
        <f aca="false">($AR$5*O167)/12</f>
        <v>17870.9153606082</v>
      </c>
      <c r="AS167" s="433" t="n">
        <f aca="false">AS166</f>
        <v>30387.755</v>
      </c>
      <c r="AT167" s="425" t="n">
        <f aca="false">(AI167/100)*$AT$6*O167</f>
        <v>0</v>
      </c>
      <c r="AU167" s="433" t="n">
        <f aca="false">SUM(AJ167:AT167)-AQ167</f>
        <v>547727.36324939</v>
      </c>
      <c r="AV167" s="433" t="n">
        <f aca="false">AI167-AU167</f>
        <v>-547727.36324939</v>
      </c>
      <c r="AW167" s="493"/>
      <c r="AX167" s="423" t="n">
        <f aca="false">K167</f>
        <v>41395</v>
      </c>
      <c r="BA167" s="126"/>
      <c r="BB167" s="481" t="n">
        <f aca="false">X167</f>
        <v>38.075</v>
      </c>
      <c r="BC167" s="481" t="n">
        <f aca="false">'Curve Analysis - Base Case'!D159</f>
        <v>45.2629369749387</v>
      </c>
      <c r="BD167" s="479" t="n">
        <f aca="false">L167</f>
        <v>0.074227418074377</v>
      </c>
      <c r="BE167" s="479" t="n">
        <f aca="false">L167</f>
        <v>0.074227418074377</v>
      </c>
      <c r="BF167" s="489" t="n">
        <f aca="false">PJM_01212000!X167</f>
        <v>0.108271318934396</v>
      </c>
      <c r="BG167" s="425" t="n">
        <f aca="false">(AX167+15)-$K$1</f>
        <v>4821</v>
      </c>
      <c r="BH167" s="433" t="n">
        <f aca="false">AD167</f>
        <v>0</v>
      </c>
      <c r="BJ167" s="486" t="e">
        <f aca="false">EURO(BB167,BC167,BD167,BE167,BF167,BG167,1,0)*BH167</f>
        <v>#NAME?</v>
      </c>
      <c r="BK167" s="433" t="n">
        <f aca="false">(AI167-AJ167)*N167</f>
        <v>0</v>
      </c>
      <c r="BM167" s="433" t="e">
        <f aca="false">BJ167-BK167</f>
        <v>#NAME?</v>
      </c>
    </row>
    <row r="168" customFormat="false" ht="16.5" hidden="false" customHeight="false" outlineLevel="0" collapsed="false">
      <c r="A168" s="59" t="n">
        <f aca="false">A167+1</f>
        <v>162</v>
      </c>
      <c r="C168" s="59" t="n">
        <v>30</v>
      </c>
      <c r="D168" s="59" t="s">
        <v>168</v>
      </c>
      <c r="E168" s="125" t="n">
        <f aca="false">E167+C167</f>
        <v>41426</v>
      </c>
      <c r="F168" s="425" t="n">
        <f aca="false">F120</f>
        <v>21</v>
      </c>
      <c r="G168" s="433" t="n">
        <f aca="false">C168-F168</f>
        <v>9</v>
      </c>
      <c r="H168" s="433"/>
      <c r="I168" s="433"/>
      <c r="J168" s="59" t="n">
        <f aca="false">K169-K168</f>
        <v>30</v>
      </c>
      <c r="K168" s="478" t="n">
        <v>41426</v>
      </c>
      <c r="L168" s="490" t="n">
        <v>0.074222244625803</v>
      </c>
      <c r="M168" s="491" t="n">
        <v>0.064051101449128</v>
      </c>
      <c r="N168" s="480" t="n">
        <f aca="false">(1+L168/2)^(-2*((K168+$T$1)-$K$1)/365.25)</f>
        <v>0.377606114670995</v>
      </c>
      <c r="O168" s="127" t="n">
        <f aca="false">VLOOKUP(K168,Inflation!$B$8:$C$266,2)</f>
        <v>1.4328508595891</v>
      </c>
      <c r="P168" s="480"/>
      <c r="Q168" s="481" t="n">
        <f aca="false">VLOOKUP(K168,'Fuel Curve'!$B$11:$F$268,5)</f>
        <v>4.42017241379311</v>
      </c>
      <c r="R168" s="482" t="n">
        <f aca="false">VLOOKUP(K168,'Fuel Curve Simulation'!$B$12:$J$258,9)</f>
        <v>4.42017241379311</v>
      </c>
      <c r="S168" s="481" t="n">
        <f aca="false">(R168*$S$2)/1000</f>
        <v>42.3408315517242</v>
      </c>
      <c r="T168" s="483"/>
      <c r="V168" s="128" t="n">
        <f aca="false">VLOOKUP(K168,PJM_01212000!$A$7:$C$259,3)</f>
        <v>64.5999984741211</v>
      </c>
      <c r="W168" s="128"/>
      <c r="X168" s="484" t="n">
        <f aca="false">'PJM Curve Simulation'!J168</f>
        <v>64.5999984741211</v>
      </c>
      <c r="Y168" s="489"/>
      <c r="Z168" s="483"/>
      <c r="AA168" s="59" t="n">
        <f aca="false">AA167</f>
        <v>315</v>
      </c>
      <c r="AB168" s="425" t="n">
        <f aca="false">AA168*F168*16</f>
        <v>105840</v>
      </c>
      <c r="AC168" s="425" t="n">
        <f aca="false">VLOOKUP(K168,'Company Volumes'!$B$20:$C$259,2)</f>
        <v>28830.0528263689</v>
      </c>
      <c r="AD168" s="485" t="n">
        <f aca="false">IF(V168&gt;S168+($AM$5*1000*O168),AA168*F168*16,0)</f>
        <v>105840</v>
      </c>
      <c r="AE168" s="425"/>
      <c r="AF168" s="425" t="n">
        <v>0</v>
      </c>
      <c r="AG168" s="425" t="n">
        <v>0</v>
      </c>
      <c r="AH168" s="425" t="n">
        <f aca="false">X168*AD168</f>
        <v>6837263.83850098</v>
      </c>
      <c r="AI168" s="425" t="n">
        <f aca="false">SUM(AF168:AH168)</f>
        <v>6837263.83850098</v>
      </c>
      <c r="AJ168" s="425" t="n">
        <f aca="false">(AD168*1000*$S$2)/1000000*R168</f>
        <v>4481353.61143448</v>
      </c>
      <c r="AK168" s="425" t="n">
        <f aca="false">($AK$5*O168)/12</f>
        <v>71642.5429794551</v>
      </c>
      <c r="AL168" s="425" t="n">
        <f aca="false">($AL$5*O168)/12</f>
        <v>182688.484597611</v>
      </c>
      <c r="AM168" s="425" t="n">
        <f aca="false">AD168*$AM$5*1000*O168</f>
        <v>303305.869957821</v>
      </c>
      <c r="AN168" s="425" t="n">
        <f aca="false">(($AN$5*O168)/12)*$S$4</f>
        <v>163822.614946354</v>
      </c>
      <c r="AO168" s="425" t="n">
        <f aca="false">($AO$5*O168)/12</f>
        <v>35821.2714897276</v>
      </c>
      <c r="AP168" s="425" t="n">
        <f aca="false">AP167</f>
        <v>46500.5582152336</v>
      </c>
      <c r="AQ168" s="433" t="n">
        <f aca="false">SUM(AK168:AP168)</f>
        <v>803781.342186202</v>
      </c>
      <c r="AR168" s="425" t="n">
        <f aca="false">($AR$5*O168)/12</f>
        <v>17910.6357448638</v>
      </c>
      <c r="AS168" s="433" t="n">
        <f aca="false">AS167</f>
        <v>30387.755</v>
      </c>
      <c r="AT168" s="425" t="n">
        <f aca="false">(AI168/100)*$AT$6*O168</f>
        <v>58780.6762094017</v>
      </c>
      <c r="AU168" s="433" t="n">
        <f aca="false">SUM(AJ168:AT168)-AQ168</f>
        <v>5392214.02057495</v>
      </c>
      <c r="AV168" s="433" t="n">
        <f aca="false">AI168-AU168</f>
        <v>1445049.81792603</v>
      </c>
      <c r="AW168" s="493"/>
      <c r="AX168" s="423" t="n">
        <f aca="false">K168</f>
        <v>41426</v>
      </c>
      <c r="BA168" s="126"/>
      <c r="BB168" s="481" t="n">
        <f aca="false">X168</f>
        <v>64.5999984741211</v>
      </c>
      <c r="BC168" s="481" t="n">
        <f aca="false">'Curve Analysis - Base Case'!D160</f>
        <v>45.2065332709024</v>
      </c>
      <c r="BD168" s="479" t="n">
        <f aca="false">L168</f>
        <v>0.074222244625803</v>
      </c>
      <c r="BE168" s="479" t="n">
        <f aca="false">L168</f>
        <v>0.074222244625803</v>
      </c>
      <c r="BF168" s="489" t="n">
        <f aca="false">PJM_01212000!X168</f>
        <v>0.13920598148708</v>
      </c>
      <c r="BG168" s="425" t="n">
        <f aca="false">(AX168+15)-$K$1</f>
        <v>4852</v>
      </c>
      <c r="BH168" s="433" t="n">
        <f aca="false">AD168</f>
        <v>105840</v>
      </c>
      <c r="BJ168" s="486" t="e">
        <f aca="false">EURO(BB168,BC168,BD168,BE168,BF168,BG168,1,0)*BH168</f>
        <v>#NAME?</v>
      </c>
      <c r="BK168" s="433" t="n">
        <f aca="false">(AI168-AJ168)*N168</f>
        <v>889606.107356241</v>
      </c>
      <c r="BM168" s="433" t="e">
        <f aca="false">BJ168-BK168</f>
        <v>#NAME?</v>
      </c>
    </row>
    <row r="169" customFormat="false" ht="16.5" hidden="false" customHeight="false" outlineLevel="0" collapsed="false">
      <c r="A169" s="59" t="n">
        <f aca="false">A168+1</f>
        <v>163</v>
      </c>
      <c r="C169" s="59" t="n">
        <v>31</v>
      </c>
      <c r="D169" s="59" t="s">
        <v>169</v>
      </c>
      <c r="E169" s="125" t="n">
        <f aca="false">E168+C168</f>
        <v>41456</v>
      </c>
      <c r="F169" s="425" t="n">
        <f aca="false">F121</f>
        <v>22</v>
      </c>
      <c r="G169" s="433" t="n">
        <f aca="false">C169-F169</f>
        <v>9</v>
      </c>
      <c r="H169" s="433"/>
      <c r="I169" s="433"/>
      <c r="J169" s="59" t="n">
        <f aca="false">K170-K169</f>
        <v>31</v>
      </c>
      <c r="K169" s="478" t="n">
        <v>41456</v>
      </c>
      <c r="L169" s="490" t="n">
        <v>0.074217238062676</v>
      </c>
      <c r="M169" s="491" t="n">
        <v>0.064062339063705</v>
      </c>
      <c r="N169" s="480" t="n">
        <f aca="false">(1+L169/2)^(-2*((K169+$T$1)-$K$1)/365.25)</f>
        <v>0.375376922983471</v>
      </c>
      <c r="O169" s="127" t="n">
        <f aca="false">VLOOKUP(K169,Inflation!$B$8:$C$266,2)</f>
        <v>1.43603555301837</v>
      </c>
      <c r="P169" s="480"/>
      <c r="Q169" s="481" t="n">
        <f aca="false">VLOOKUP(K169,'Fuel Curve'!$B$11:$F$268,5)</f>
        <v>4.47741379310345</v>
      </c>
      <c r="R169" s="482" t="n">
        <f aca="false">VLOOKUP(K169,'Fuel Curve Simulation'!$B$12:$J$258,9)</f>
        <v>4.47741379310345</v>
      </c>
      <c r="S169" s="481" t="n">
        <f aca="false">(R169*$S$2)/1000</f>
        <v>42.8891467241379</v>
      </c>
      <c r="T169" s="483"/>
      <c r="V169" s="128" t="n">
        <f aca="false">VLOOKUP(K169,PJM_01212000!$A$7:$C$259,3)</f>
        <v>113.699996948242</v>
      </c>
      <c r="W169" s="128"/>
      <c r="X169" s="484" t="n">
        <f aca="false">'PJM Curve Simulation'!J169</f>
        <v>113.699996948242</v>
      </c>
      <c r="Y169" s="489"/>
      <c r="Z169" s="483"/>
      <c r="AA169" s="59" t="n">
        <f aca="false">AA168</f>
        <v>315</v>
      </c>
      <c r="AB169" s="425" t="n">
        <f aca="false">AA169*F169*16</f>
        <v>110880</v>
      </c>
      <c r="AC169" s="425" t="n">
        <f aca="false">VLOOKUP(K169,'Company Volumes'!$B$20:$C$259,2)</f>
        <v>52835.2081453</v>
      </c>
      <c r="AD169" s="485" t="n">
        <f aca="false">IF(V169&gt;S169+($AM$5*1000*O169),AA169*F169*16,0)</f>
        <v>110880</v>
      </c>
      <c r="AE169" s="425"/>
      <c r="AF169" s="425" t="n">
        <v>0</v>
      </c>
      <c r="AG169" s="425" t="n">
        <v>0</v>
      </c>
      <c r="AH169" s="425" t="n">
        <f aca="false">X169*AD169</f>
        <v>12607055.6616211</v>
      </c>
      <c r="AI169" s="425" t="n">
        <f aca="false">SUM(AF169:AH169)</f>
        <v>12607055.6616211</v>
      </c>
      <c r="AJ169" s="425" t="n">
        <f aca="false">(AD169*1000*$S$2)/1000000*R169</f>
        <v>4755548.58877241</v>
      </c>
      <c r="AK169" s="425" t="n">
        <f aca="false">($AK$5*O169)/12</f>
        <v>71801.7776509184</v>
      </c>
      <c r="AL169" s="425" t="n">
        <f aca="false">($AL$5*O169)/12</f>
        <v>183094.533009842</v>
      </c>
      <c r="AM169" s="425" t="n">
        <f aca="false">AD169*$AM$5*1000*O169</f>
        <v>318455.244237353</v>
      </c>
      <c r="AN169" s="425" t="n">
        <f aca="false">(($AN$5*O169)/12)*$S$4</f>
        <v>164186.731561767</v>
      </c>
      <c r="AO169" s="425" t="n">
        <f aca="false">($AO$5*O169)/12</f>
        <v>35900.8888254592</v>
      </c>
      <c r="AP169" s="425" t="n">
        <f aca="false">AP168</f>
        <v>46500.5582152336</v>
      </c>
      <c r="AQ169" s="433" t="n">
        <f aca="false">SUM(AK169:AP169)</f>
        <v>819939.733500574</v>
      </c>
      <c r="AR169" s="425" t="n">
        <f aca="false">($AR$5*O169)/12</f>
        <v>17950.4444127296</v>
      </c>
      <c r="AS169" s="433" t="n">
        <f aca="false">AS168</f>
        <v>30387.755</v>
      </c>
      <c r="AT169" s="425" t="n">
        <f aca="false">(AI169/100)*$AT$6*O169</f>
        <v>108625.080893816</v>
      </c>
      <c r="AU169" s="433" t="n">
        <f aca="false">SUM(AJ169:AT169)-AQ169</f>
        <v>5732451.60257953</v>
      </c>
      <c r="AV169" s="433" t="n">
        <f aca="false">AI169-AU169</f>
        <v>6874604.05904156</v>
      </c>
      <c r="AW169" s="493"/>
      <c r="AX169" s="423" t="n">
        <f aca="false">K169</f>
        <v>41456</v>
      </c>
      <c r="BA169" s="126"/>
      <c r="BB169" s="481" t="n">
        <f aca="false">X169</f>
        <v>113.699996948242</v>
      </c>
      <c r="BC169" s="481" t="n">
        <f aca="false">'Curve Analysis - Base Case'!D161</f>
        <v>45.7612178301747</v>
      </c>
      <c r="BD169" s="479" t="n">
        <f aca="false">L169</f>
        <v>0.074217238062676</v>
      </c>
      <c r="BE169" s="479" t="n">
        <f aca="false">L169</f>
        <v>0.074217238062676</v>
      </c>
      <c r="BF169" s="489" t="n">
        <f aca="false">PJM_01212000!X169</f>
        <v>0.170140644039765</v>
      </c>
      <c r="BG169" s="425" t="n">
        <f aca="false">(AX169+15)-$K$1</f>
        <v>4882</v>
      </c>
      <c r="BH169" s="433" t="n">
        <f aca="false">AD169</f>
        <v>110880</v>
      </c>
      <c r="BJ169" s="486" t="e">
        <f aca="false">EURO(BB169,BC169,BD169,BE169,BF169,BG169,1,0)*BH169</f>
        <v>#NAME?</v>
      </c>
      <c r="BK169" s="433" t="n">
        <f aca="false">(AI169-AJ169)*N169</f>
        <v>2947274.56578889</v>
      </c>
      <c r="BM169" s="433" t="e">
        <f aca="false">BJ169-BK169</f>
        <v>#NAME?</v>
      </c>
    </row>
    <row r="170" customFormat="false" ht="16.5" hidden="false" customHeight="false" outlineLevel="0" collapsed="false">
      <c r="A170" s="59" t="n">
        <f aca="false">A169+1</f>
        <v>164</v>
      </c>
      <c r="C170" s="59" t="n">
        <v>31</v>
      </c>
      <c r="D170" s="59" t="s">
        <v>170</v>
      </c>
      <c r="E170" s="125" t="n">
        <f aca="false">E169+C169</f>
        <v>41487</v>
      </c>
      <c r="F170" s="425" t="n">
        <f aca="false">F122</f>
        <v>23</v>
      </c>
      <c r="G170" s="433" t="n">
        <f aca="false">C170-F170</f>
        <v>8</v>
      </c>
      <c r="H170" s="433"/>
      <c r="I170" s="433"/>
      <c r="J170" s="59" t="n">
        <f aca="false">K171-K170</f>
        <v>31</v>
      </c>
      <c r="K170" s="478" t="n">
        <v>41487</v>
      </c>
      <c r="L170" s="490" t="n">
        <v>0.074212064614119</v>
      </c>
      <c r="M170" s="491" t="n">
        <v>0.064073951266359</v>
      </c>
      <c r="N170" s="480" t="n">
        <f aca="false">(1+L170/2)^(-2*((K170+$T$1)-$K$1)/365.25)</f>
        <v>0.373087560186173</v>
      </c>
      <c r="O170" s="127" t="n">
        <f aca="false">VLOOKUP(K170,Inflation!$B$8:$C$266,2)</f>
        <v>1.43922732483417</v>
      </c>
      <c r="P170" s="480"/>
      <c r="Q170" s="481" t="n">
        <f aca="false">VLOOKUP(K170,'Fuel Curve'!$B$11:$F$268,5)</f>
        <v>4.56793103448276</v>
      </c>
      <c r="R170" s="482" t="n">
        <f aca="false">VLOOKUP(K170,'Fuel Curve Simulation'!$B$12:$J$258,9)</f>
        <v>4.56793103448276</v>
      </c>
      <c r="S170" s="481" t="n">
        <f aca="false">(R170*$S$2)/1000</f>
        <v>43.7562113793104</v>
      </c>
      <c r="T170" s="483"/>
      <c r="V170" s="128" t="n">
        <f aca="false">VLOOKUP(K170,PJM_01212000!$A$7:$C$259,3)</f>
        <v>100.699996948242</v>
      </c>
      <c r="W170" s="128"/>
      <c r="X170" s="484" t="n">
        <f aca="false">'PJM Curve Simulation'!J170</f>
        <v>100.699996948242</v>
      </c>
      <c r="Y170" s="489"/>
      <c r="Z170" s="483"/>
      <c r="AA170" s="59" t="n">
        <f aca="false">AA169</f>
        <v>315</v>
      </c>
      <c r="AB170" s="425" t="n">
        <f aca="false">AA170*F170*16</f>
        <v>115920</v>
      </c>
      <c r="AC170" s="425" t="n">
        <f aca="false">VLOOKUP(K170,'Company Volumes'!$B$20:$C$259,2)</f>
        <v>35223.4720968667</v>
      </c>
      <c r="AD170" s="485" t="n">
        <f aca="false">IF(V170&gt;S170+($AM$5*1000*O170),AA170*F170*16,0)</f>
        <v>115920</v>
      </c>
      <c r="AE170" s="425"/>
      <c r="AF170" s="425" t="n">
        <v>0</v>
      </c>
      <c r="AG170" s="425" t="n">
        <v>0</v>
      </c>
      <c r="AH170" s="425" t="n">
        <f aca="false">X170*AD170</f>
        <v>11673143.6462402</v>
      </c>
      <c r="AI170" s="425" t="n">
        <f aca="false">SUM(AF170:AH170)</f>
        <v>11673143.6462402</v>
      </c>
      <c r="AJ170" s="425" t="n">
        <f aca="false">(AD170*1000*$S$2)/1000000*R170</f>
        <v>5072220.02308966</v>
      </c>
      <c r="AK170" s="425" t="n">
        <f aca="false">($AK$5*O170)/12</f>
        <v>71961.3662417087</v>
      </c>
      <c r="AL170" s="425" t="n">
        <f aca="false">($AL$5*O170)/12</f>
        <v>183501.483916357</v>
      </c>
      <c r="AM170" s="425" t="n">
        <f aca="false">AD170*$AM$5*1000*O170</f>
        <v>333670.462989555</v>
      </c>
      <c r="AN170" s="425" t="n">
        <f aca="false">(($AN$5*O170)/12)*$S$4</f>
        <v>164551.657472707</v>
      </c>
      <c r="AO170" s="425" t="n">
        <f aca="false">($AO$5*O170)/12</f>
        <v>35980.6831208544</v>
      </c>
      <c r="AP170" s="425" t="n">
        <f aca="false">AP169</f>
        <v>46500.5582152336</v>
      </c>
      <c r="AQ170" s="433" t="n">
        <f aca="false">SUM(AK170:AP170)</f>
        <v>836166.211956416</v>
      </c>
      <c r="AR170" s="425" t="n">
        <f aca="false">($AR$5*O170)/12</f>
        <v>17990.3415604272</v>
      </c>
      <c r="AS170" s="433" t="n">
        <f aca="false">AS169</f>
        <v>30387.755</v>
      </c>
      <c r="AT170" s="425" t="n">
        <f aca="false">(AI170/100)*$AT$6*O170</f>
        <v>100801.8438143</v>
      </c>
      <c r="AU170" s="433" t="n">
        <f aca="false">SUM(AJ170:AT170)-AQ170</f>
        <v>6057566.1754208</v>
      </c>
      <c r="AV170" s="433" t="n">
        <f aca="false">AI170-AU170</f>
        <v>5615577.47081944</v>
      </c>
      <c r="AW170" s="493"/>
      <c r="AX170" s="423" t="n">
        <f aca="false">K170</f>
        <v>41487</v>
      </c>
      <c r="BA170" s="126"/>
      <c r="BB170" s="481" t="n">
        <f aca="false">X170</f>
        <v>100.699996948242</v>
      </c>
      <c r="BC170" s="481" t="n">
        <f aca="false">'Curve Analysis - Base Case'!D162</f>
        <v>46.6346660289787</v>
      </c>
      <c r="BD170" s="479" t="n">
        <f aca="false">L170</f>
        <v>0.074212064614119</v>
      </c>
      <c r="BE170" s="479" t="n">
        <f aca="false">L170</f>
        <v>0.074212064614119</v>
      </c>
      <c r="BF170" s="489" t="n">
        <f aca="false">PJM_01212000!X170</f>
        <v>0.170140644039765</v>
      </c>
      <c r="BG170" s="425" t="n">
        <f aca="false">(AX170+15)-$K$1</f>
        <v>4913</v>
      </c>
      <c r="BH170" s="433" t="n">
        <f aca="false">AD170</f>
        <v>115920</v>
      </c>
      <c r="BJ170" s="486" t="e">
        <f aca="false">EURO(BB170,BC170,BD170,BE170,BF170,BG170,1,0)*BH170</f>
        <v>#NAME?</v>
      </c>
      <c r="BK170" s="433" t="n">
        <f aca="false">(AI170-AJ170)*N170</f>
        <v>2462722.48953652</v>
      </c>
      <c r="BM170" s="433" t="e">
        <f aca="false">BJ170-BK170</f>
        <v>#NAME?</v>
      </c>
    </row>
    <row r="171" customFormat="false" ht="16.5" hidden="false" customHeight="false" outlineLevel="0" collapsed="false">
      <c r="A171" s="59" t="n">
        <f aca="false">A170+1</f>
        <v>165</v>
      </c>
      <c r="C171" s="59" t="n">
        <v>30</v>
      </c>
      <c r="D171" s="59" t="s">
        <v>171</v>
      </c>
      <c r="E171" s="125" t="n">
        <f aca="false">E170+C170</f>
        <v>41518</v>
      </c>
      <c r="F171" s="425" t="n">
        <f aca="false">F123</f>
        <v>20</v>
      </c>
      <c r="G171" s="433" t="n">
        <f aca="false">C171-F171</f>
        <v>10</v>
      </c>
      <c r="H171" s="433"/>
      <c r="I171" s="433"/>
      <c r="J171" s="59" t="n">
        <f aca="false">K172-K171</f>
        <v>30</v>
      </c>
      <c r="K171" s="478" t="n">
        <v>41518</v>
      </c>
      <c r="L171" s="490" t="n">
        <v>0.074206891165572</v>
      </c>
      <c r="M171" s="491" t="n">
        <v>0.064085563469952</v>
      </c>
      <c r="N171" s="480" t="n">
        <f aca="false">(1+L171/2)^(-2*((K171+$T$1)-$K$1)/365.25)</f>
        <v>0.370812473890248</v>
      </c>
      <c r="O171" s="127" t="n">
        <f aca="false">VLOOKUP(K171,Inflation!$B$8:$C$266,2)</f>
        <v>1.44242619076914</v>
      </c>
      <c r="P171" s="480"/>
      <c r="Q171" s="481" t="n">
        <f aca="false">VLOOKUP(K171,'Fuel Curve'!$B$11:$F$268,5)</f>
        <v>4.66275862068966</v>
      </c>
      <c r="R171" s="482" t="n">
        <f aca="false">VLOOKUP(K171,'Fuel Curve Simulation'!$B$12:$J$258,9)</f>
        <v>4.66275862068966</v>
      </c>
      <c r="S171" s="481" t="n">
        <f aca="false">(R171*$S$2)/1000</f>
        <v>44.6645648275862</v>
      </c>
      <c r="T171" s="483"/>
      <c r="V171" s="128" t="n">
        <f aca="false">VLOOKUP(K171,PJM_01212000!$A$7:$C$259,3)</f>
        <v>37.9249984741211</v>
      </c>
      <c r="W171" s="128"/>
      <c r="X171" s="484" t="n">
        <f aca="false">'PJM Curve Simulation'!J171</f>
        <v>37.9249984741211</v>
      </c>
      <c r="Y171" s="489"/>
      <c r="Z171" s="483"/>
      <c r="AA171" s="59" t="n">
        <f aca="false">AA170</f>
        <v>315</v>
      </c>
      <c r="AB171" s="425" t="n">
        <f aca="false">AA171*F171*16</f>
        <v>100800</v>
      </c>
      <c r="AC171" s="425" t="n">
        <f aca="false">VLOOKUP(K171,'Company Volumes'!$B$20:$C$259,2)</f>
        <v>20708.3268929071</v>
      </c>
      <c r="AD171" s="485" t="n">
        <f aca="false">IF(V171&gt;S171+($AM$5*1000*O171),AA171*F171*16,0)</f>
        <v>0</v>
      </c>
      <c r="AE171" s="425"/>
      <c r="AF171" s="425" t="n">
        <v>0</v>
      </c>
      <c r="AG171" s="425" t="n">
        <v>0</v>
      </c>
      <c r="AH171" s="425" t="n">
        <f aca="false">X171*AD171</f>
        <v>0</v>
      </c>
      <c r="AI171" s="425" t="n">
        <f aca="false">SUM(AF171:AH171)</f>
        <v>0</v>
      </c>
      <c r="AJ171" s="425" t="n">
        <f aca="false">(AD171*1000*$S$2)/1000000*R171</f>
        <v>0</v>
      </c>
      <c r="AK171" s="425" t="n">
        <f aca="false">($AK$5*O171)/12</f>
        <v>72121.3095384568</v>
      </c>
      <c r="AL171" s="425" t="n">
        <f aca="false">($AL$5*O171)/12</f>
        <v>183909.339323065</v>
      </c>
      <c r="AM171" s="425" t="n">
        <f aca="false">AD171*$AM$5*1000*O171</f>
        <v>0</v>
      </c>
      <c r="AN171" s="425" t="n">
        <f aca="false">(($AN$5*O171)/12)*$S$4</f>
        <v>164917.394477938</v>
      </c>
      <c r="AO171" s="425" t="n">
        <f aca="false">($AO$5*O171)/12</f>
        <v>36060.6547692284</v>
      </c>
      <c r="AP171" s="425" t="n">
        <f aca="false">AP170</f>
        <v>46500.5582152336</v>
      </c>
      <c r="AQ171" s="433" t="n">
        <f aca="false">SUM(AK171:AP171)</f>
        <v>503509.256323921</v>
      </c>
      <c r="AR171" s="425" t="n">
        <f aca="false">($AR$5*O171)/12</f>
        <v>18030.3273846142</v>
      </c>
      <c r="AS171" s="433" t="n">
        <f aca="false">AS170</f>
        <v>30387.755</v>
      </c>
      <c r="AT171" s="425" t="n">
        <f aca="false">(AI171/100)*$AT$6*O171</f>
        <v>0</v>
      </c>
      <c r="AU171" s="433" t="n">
        <f aca="false">SUM(AJ171:AT171)-AQ171</f>
        <v>551927.338708535</v>
      </c>
      <c r="AV171" s="433" t="n">
        <f aca="false">AI171-AU171</f>
        <v>-551927.338708535</v>
      </c>
      <c r="AW171" s="493"/>
      <c r="AX171" s="423" t="n">
        <f aca="false">K171</f>
        <v>41518</v>
      </c>
      <c r="BA171" s="126"/>
      <c r="BB171" s="481" t="n">
        <f aca="false">X171</f>
        <v>37.9249984741211</v>
      </c>
      <c r="BC171" s="481" t="n">
        <f aca="false">'Curve Analysis - Base Case'!D163</f>
        <v>47.5494172091245</v>
      </c>
      <c r="BD171" s="479" t="n">
        <f aca="false">L171</f>
        <v>0.074206891165572</v>
      </c>
      <c r="BE171" s="479" t="n">
        <f aca="false">L171</f>
        <v>0.074206891165572</v>
      </c>
      <c r="BF171" s="489" t="n">
        <f aca="false">PJM_01212000!X171</f>
        <v>0.109364968620602</v>
      </c>
      <c r="BG171" s="425" t="n">
        <f aca="false">(AX171+15)-$K$1</f>
        <v>4944</v>
      </c>
      <c r="BH171" s="433" t="n">
        <f aca="false">AD171</f>
        <v>0</v>
      </c>
      <c r="BJ171" s="486" t="e">
        <f aca="false">EURO(BB171,BC171,BD171,BE171,BF171,BG171,1,0)*BH171</f>
        <v>#NAME?</v>
      </c>
      <c r="BK171" s="433" t="n">
        <f aca="false">(AI171-AJ171)*N171</f>
        <v>0</v>
      </c>
      <c r="BM171" s="433" t="e">
        <f aca="false">BJ171-BK171</f>
        <v>#NAME?</v>
      </c>
    </row>
    <row r="172" customFormat="false" ht="16.5" hidden="false" customHeight="false" outlineLevel="0" collapsed="false">
      <c r="A172" s="59" t="n">
        <f aca="false">A171+1</f>
        <v>166</v>
      </c>
      <c r="C172" s="59" t="n">
        <v>31</v>
      </c>
      <c r="D172" s="59" t="s">
        <v>172</v>
      </c>
      <c r="E172" s="125" t="n">
        <f aca="false">E171+C171</f>
        <v>41548</v>
      </c>
      <c r="F172" s="425" t="n">
        <f aca="false">F124</f>
        <v>23</v>
      </c>
      <c r="G172" s="433" t="n">
        <f aca="false">C172-F172</f>
        <v>8</v>
      </c>
      <c r="H172" s="433"/>
      <c r="I172" s="433"/>
      <c r="J172" s="59" t="n">
        <f aca="false">K173-K172</f>
        <v>31</v>
      </c>
      <c r="K172" s="478" t="n">
        <v>41548</v>
      </c>
      <c r="L172" s="490" t="n">
        <v>0.07420188460247</v>
      </c>
      <c r="M172" s="491" t="n">
        <v>0.064096801087225</v>
      </c>
      <c r="N172" s="480" t="n">
        <f aca="false">(1+L172/2)^(-2*((K172+$T$1)-$K$1)/365.25)</f>
        <v>0.368624284984091</v>
      </c>
      <c r="O172" s="127" t="n">
        <f aca="false">VLOOKUP(K172,Inflation!$B$8:$C$266,2)</f>
        <v>1.44563216659083</v>
      </c>
      <c r="P172" s="480"/>
      <c r="Q172" s="481" t="n">
        <f aca="false">VLOOKUP(K172,'Fuel Curve'!$B$11:$F$268,5)</f>
        <v>4.75534482758621</v>
      </c>
      <c r="R172" s="482" t="n">
        <f aca="false">VLOOKUP(K172,'Fuel Curve Simulation'!$B$12:$J$258,9)</f>
        <v>4.75534482758621</v>
      </c>
      <c r="S172" s="481" t="n">
        <f aca="false">(R172*$S$2)/1000</f>
        <v>45.5514481034483</v>
      </c>
      <c r="T172" s="483"/>
      <c r="V172" s="128" t="n">
        <f aca="false">VLOOKUP(K172,PJM_01212000!$A$7:$C$259,3)</f>
        <v>30.8250003814697</v>
      </c>
      <c r="W172" s="128"/>
      <c r="X172" s="484" t="n">
        <f aca="false">'PJM Curve Simulation'!J172</f>
        <v>30.8250003814697</v>
      </c>
      <c r="Y172" s="489"/>
      <c r="Z172" s="483"/>
      <c r="AA172" s="59" t="n">
        <f aca="false">AA171</f>
        <v>315</v>
      </c>
      <c r="AB172" s="425" t="n">
        <f aca="false">AA172*F172*16</f>
        <v>115920</v>
      </c>
      <c r="AC172" s="425" t="n">
        <f aca="false">VLOOKUP(K172,'Company Volumes'!$B$20:$C$259,2)</f>
        <v>3679.89512286978</v>
      </c>
      <c r="AD172" s="485" t="n">
        <f aca="false">IF(V172&gt;S172+($AM$5*1000*O172),AA172*F172*16,0)</f>
        <v>0</v>
      </c>
      <c r="AE172" s="425"/>
      <c r="AF172" s="425" t="n">
        <v>0</v>
      </c>
      <c r="AG172" s="425" t="n">
        <v>0</v>
      </c>
      <c r="AH172" s="425" t="n">
        <f aca="false">X172*AD172</f>
        <v>0</v>
      </c>
      <c r="AI172" s="425" t="n">
        <f aca="false">SUM(AF172:AH172)</f>
        <v>0</v>
      </c>
      <c r="AJ172" s="425" t="n">
        <f aca="false">(AD172*1000*$S$2)/1000000*R172</f>
        <v>0</v>
      </c>
      <c r="AK172" s="425" t="n">
        <f aca="false">($AK$5*O172)/12</f>
        <v>72281.6083295417</v>
      </c>
      <c r="AL172" s="425" t="n">
        <f aca="false">($AL$5*O172)/12</f>
        <v>184318.101240331</v>
      </c>
      <c r="AM172" s="425" t="n">
        <f aca="false">AD172*$AM$5*1000*O172</f>
        <v>0</v>
      </c>
      <c r="AN172" s="425" t="n">
        <f aca="false">(($AN$5*O172)/12)*$S$4</f>
        <v>165283.944380219</v>
      </c>
      <c r="AO172" s="425" t="n">
        <f aca="false">($AO$5*O172)/12</f>
        <v>36140.8041647709</v>
      </c>
      <c r="AP172" s="425" t="n">
        <f aca="false">AP171</f>
        <v>46500.5582152336</v>
      </c>
      <c r="AQ172" s="433" t="n">
        <f aca="false">SUM(AK172:AP172)</f>
        <v>504525.016330096</v>
      </c>
      <c r="AR172" s="425" t="n">
        <f aca="false">($AR$5*O172)/12</f>
        <v>18070.4020823854</v>
      </c>
      <c r="AS172" s="433" t="n">
        <f aca="false">AS171</f>
        <v>30387.755</v>
      </c>
      <c r="AT172" s="425" t="n">
        <f aca="false">(AI172/100)*$AT$6*O172</f>
        <v>0</v>
      </c>
      <c r="AU172" s="433" t="n">
        <f aca="false">SUM(AJ172:AT172)-AQ172</f>
        <v>552983.173412482</v>
      </c>
      <c r="AV172" s="433" t="n">
        <f aca="false">AI172-AU172</f>
        <v>-552983.173412482</v>
      </c>
      <c r="AW172" s="493"/>
      <c r="AX172" s="423" t="n">
        <f aca="false">K172</f>
        <v>41548</v>
      </c>
      <c r="BA172" s="126"/>
      <c r="BB172" s="481" t="n">
        <f aca="false">X172</f>
        <v>30.8250003814697</v>
      </c>
      <c r="BC172" s="481" t="n">
        <f aca="false">'Curve Analysis - Base Case'!D164</f>
        <v>48.4427124366299</v>
      </c>
      <c r="BD172" s="479" t="n">
        <f aca="false">L172</f>
        <v>0.07420188460247</v>
      </c>
      <c r="BE172" s="479" t="n">
        <f aca="false">L172</f>
        <v>0.07420188460247</v>
      </c>
      <c r="BF172" s="489" t="n">
        <f aca="false">PJM_01212000!X172</f>
        <v>0.0773366563817113</v>
      </c>
      <c r="BG172" s="425" t="n">
        <f aca="false">(AX172+15)-$K$1</f>
        <v>4974</v>
      </c>
      <c r="BH172" s="433" t="n">
        <f aca="false">AD172</f>
        <v>0</v>
      </c>
      <c r="BJ172" s="486" t="e">
        <f aca="false">EURO(BB172,BC172,BD172,BE172,BF172,BG172,1,0)*BH172</f>
        <v>#NAME?</v>
      </c>
      <c r="BK172" s="433" t="n">
        <f aca="false">(AI172-AJ172)*N172</f>
        <v>0</v>
      </c>
      <c r="BM172" s="433" t="e">
        <f aca="false">BJ172-BK172</f>
        <v>#NAME?</v>
      </c>
    </row>
    <row r="173" customFormat="false" ht="16.5" hidden="false" customHeight="false" outlineLevel="0" collapsed="false">
      <c r="A173" s="59" t="n">
        <f aca="false">A172+1</f>
        <v>167</v>
      </c>
      <c r="C173" s="59" t="n">
        <v>30</v>
      </c>
      <c r="D173" s="59" t="s">
        <v>173</v>
      </c>
      <c r="E173" s="125" t="n">
        <f aca="false">E172+C172</f>
        <v>41579</v>
      </c>
      <c r="F173" s="425" t="n">
        <f aca="false">F125</f>
        <v>22</v>
      </c>
      <c r="G173" s="433" t="n">
        <f aca="false">C173-F173</f>
        <v>8</v>
      </c>
      <c r="H173" s="433"/>
      <c r="I173" s="433"/>
      <c r="J173" s="59" t="n">
        <f aca="false">K174-K173</f>
        <v>30</v>
      </c>
      <c r="K173" s="478" t="n">
        <v>41579</v>
      </c>
      <c r="L173" s="490" t="n">
        <v>0.07419671115394</v>
      </c>
      <c r="M173" s="491" t="n">
        <v>0.064108413292666</v>
      </c>
      <c r="N173" s="480" t="n">
        <f aca="false">(1+L173/2)^(-2*((K173+$T$1)-$K$1)/365.25)</f>
        <v>0.366377026301447</v>
      </c>
      <c r="O173" s="127" t="n">
        <f aca="false">VLOOKUP(K173,Inflation!$B$8:$C$266,2)</f>
        <v>1.4488452681019</v>
      </c>
      <c r="P173" s="480"/>
      <c r="Q173" s="481" t="n">
        <f aca="false">VLOOKUP(K173,'Fuel Curve'!$B$11:$F$268,5)</f>
        <v>4.80465517241379</v>
      </c>
      <c r="R173" s="482" t="n">
        <f aca="false">VLOOKUP(K173,'Fuel Curve Simulation'!$B$12:$J$258,9)</f>
        <v>4.80465517241379</v>
      </c>
      <c r="S173" s="481" t="n">
        <f aca="false">(R173*$S$2)/1000</f>
        <v>46.0237918965517</v>
      </c>
      <c r="T173" s="483"/>
      <c r="V173" s="128" t="n">
        <f aca="false">VLOOKUP(K173,PJM_01212000!$A$7:$C$259,3)</f>
        <v>30.4974990844727</v>
      </c>
      <c r="W173" s="128"/>
      <c r="X173" s="484" t="n">
        <f aca="false">'PJM Curve Simulation'!J173</f>
        <v>30.4974990844727</v>
      </c>
      <c r="Y173" s="489"/>
      <c r="Z173" s="483"/>
      <c r="AA173" s="59" t="n">
        <f aca="false">AA172</f>
        <v>315</v>
      </c>
      <c r="AB173" s="425" t="n">
        <f aca="false">AA173*F173*16</f>
        <v>110880</v>
      </c>
      <c r="AC173" s="425" t="n">
        <f aca="false">VLOOKUP(K173,'Company Volumes'!$B$20:$C$259,2)</f>
        <v>7995.26363229378</v>
      </c>
      <c r="AD173" s="485" t="n">
        <f aca="false">IF(V173&gt;S173+($AM$5*1000*O173),AA173*F173*16,0)</f>
        <v>0</v>
      </c>
      <c r="AE173" s="425"/>
      <c r="AF173" s="425" t="n">
        <v>0</v>
      </c>
      <c r="AG173" s="425" t="n">
        <v>0</v>
      </c>
      <c r="AH173" s="425" t="n">
        <f aca="false">X173*AD173</f>
        <v>0</v>
      </c>
      <c r="AI173" s="425" t="n">
        <f aca="false">SUM(AF173:AH173)</f>
        <v>0</v>
      </c>
      <c r="AJ173" s="425" t="n">
        <f aca="false">(AD173*1000*$S$2)/1000000*R173</f>
        <v>0</v>
      </c>
      <c r="AK173" s="425" t="n">
        <f aca="false">($AK$5*O173)/12</f>
        <v>72442.263405095</v>
      </c>
      <c r="AL173" s="425" t="n">
        <f aca="false">($AL$5*O173)/12</f>
        <v>184727.771682992</v>
      </c>
      <c r="AM173" s="425" t="n">
        <f aca="false">AD173*$AM$5*1000*O173</f>
        <v>0</v>
      </c>
      <c r="AN173" s="425" t="n">
        <f aca="false">(($AN$5*O173)/12)*$S$4</f>
        <v>165651.308986317</v>
      </c>
      <c r="AO173" s="425" t="n">
        <f aca="false">($AO$5*O173)/12</f>
        <v>36221.1317025475</v>
      </c>
      <c r="AP173" s="425" t="n">
        <f aca="false">AP172</f>
        <v>46500.5582152336</v>
      </c>
      <c r="AQ173" s="433" t="n">
        <f aca="false">SUM(AK173:AP173)</f>
        <v>505543.033992186</v>
      </c>
      <c r="AR173" s="425" t="n">
        <f aca="false">($AR$5*O173)/12</f>
        <v>18110.5658512738</v>
      </c>
      <c r="AS173" s="433" t="n">
        <f aca="false">AS172</f>
        <v>30387.755</v>
      </c>
      <c r="AT173" s="425" t="n">
        <f aca="false">(AI173/100)*$AT$6*O173</f>
        <v>0</v>
      </c>
      <c r="AU173" s="433" t="n">
        <f aca="false">SUM(AJ173:AT173)-AQ173</f>
        <v>554041.354843459</v>
      </c>
      <c r="AV173" s="433" t="n">
        <f aca="false">AI173-AU173</f>
        <v>-554041.354843459</v>
      </c>
      <c r="AW173" s="493"/>
      <c r="AX173" s="423" t="n">
        <f aca="false">K173</f>
        <v>41579</v>
      </c>
      <c r="BA173" s="126"/>
      <c r="BB173" s="481" t="n">
        <f aca="false">X173</f>
        <v>30.4974990844727</v>
      </c>
      <c r="BC173" s="481" t="n">
        <f aca="false">'Curve Analysis - Base Case'!D165</f>
        <v>48.9214824327555</v>
      </c>
      <c r="BD173" s="479" t="n">
        <f aca="false">L173</f>
        <v>0.07419671115394</v>
      </c>
      <c r="BE173" s="479" t="n">
        <f aca="false">L173</f>
        <v>0.07419671115394</v>
      </c>
      <c r="BF173" s="489" t="n">
        <f aca="false">PJM_01212000!X173</f>
        <v>0.0773366563817113</v>
      </c>
      <c r="BG173" s="425" t="n">
        <f aca="false">(AX173+15)-$K$1</f>
        <v>5005</v>
      </c>
      <c r="BH173" s="433" t="n">
        <f aca="false">AD173</f>
        <v>0</v>
      </c>
      <c r="BJ173" s="486" t="e">
        <f aca="false">EURO(BB173,BC173,BD173,BE173,BF173,BG173,1,0)*BH173</f>
        <v>#NAME?</v>
      </c>
      <c r="BK173" s="433" t="n">
        <f aca="false">(AI173-AJ173)*N173</f>
        <v>0</v>
      </c>
      <c r="BM173" s="433" t="e">
        <f aca="false">BJ173-BK173</f>
        <v>#NAME?</v>
      </c>
    </row>
    <row r="174" customFormat="false" ht="16.5" hidden="false" customHeight="false" outlineLevel="0" collapsed="false">
      <c r="A174" s="59" t="n">
        <f aca="false">A173+1</f>
        <v>168</v>
      </c>
      <c r="C174" s="59" t="n">
        <v>31</v>
      </c>
      <c r="D174" s="59" t="s">
        <v>174</v>
      </c>
      <c r="E174" s="125" t="n">
        <f aca="false">E173+C173</f>
        <v>41609</v>
      </c>
      <c r="F174" s="425" t="n">
        <f aca="false">F126</f>
        <v>21</v>
      </c>
      <c r="G174" s="433" t="n">
        <f aca="false">C174-F174</f>
        <v>10</v>
      </c>
      <c r="H174" s="433" t="n">
        <f aca="false">SUM(F163:G174)</f>
        <v>365</v>
      </c>
      <c r="I174" s="433"/>
      <c r="J174" s="59" t="n">
        <f aca="false">K175-K174</f>
        <v>31</v>
      </c>
      <c r="K174" s="478" t="n">
        <v>41609</v>
      </c>
      <c r="L174" s="490" t="n">
        <v>0.074191704590855</v>
      </c>
      <c r="M174" s="491" t="n">
        <v>0.064119650911728</v>
      </c>
      <c r="N174" s="480" t="n">
        <f aca="false">(1+L174/2)^(-2*((K174+$T$1)-$K$1)/365.25)</f>
        <v>0.364215598665446</v>
      </c>
      <c r="O174" s="127" t="n">
        <f aca="false">VLOOKUP(K174,Inflation!$B$8:$C$266,2)</f>
        <v>1.45206551114008</v>
      </c>
      <c r="P174" s="480"/>
      <c r="Q174" s="481" t="n">
        <f aca="false">VLOOKUP(K174,'Fuel Curve'!$B$11:$F$268,5)</f>
        <v>4.84741379310345</v>
      </c>
      <c r="R174" s="482" t="n">
        <f aca="false">VLOOKUP(K174,'Fuel Curve Simulation'!$B$12:$J$258,9)</f>
        <v>4.84741379310345</v>
      </c>
      <c r="S174" s="481" t="n">
        <f aca="false">(R174*$S$2)/1000</f>
        <v>46.4333767241379</v>
      </c>
      <c r="T174" s="483"/>
      <c r="V174" s="128" t="n">
        <f aca="false">VLOOKUP(K174,PJM_01212000!$A$7:$C$259,3)</f>
        <v>32.2499996185303</v>
      </c>
      <c r="W174" s="128"/>
      <c r="X174" s="484" t="n">
        <f aca="false">'PJM Curve Simulation'!J174</f>
        <v>32.2499996185303</v>
      </c>
      <c r="Y174" s="489"/>
      <c r="Z174" s="483"/>
      <c r="AA174" s="59" t="n">
        <f aca="false">AA173</f>
        <v>315</v>
      </c>
      <c r="AB174" s="425" t="n">
        <f aca="false">AA174*F174*16</f>
        <v>105840</v>
      </c>
      <c r="AC174" s="425" t="n">
        <f aca="false">VLOOKUP(K174,'Company Volumes'!$B$20:$C$259,2)</f>
        <v>7995.26363229378</v>
      </c>
      <c r="AD174" s="485" t="n">
        <f aca="false">IF(V174&gt;S174+($AM$5*1000*O174),AA174*F174*16,0)</f>
        <v>0</v>
      </c>
      <c r="AE174" s="425"/>
      <c r="AF174" s="425" t="n">
        <v>0</v>
      </c>
      <c r="AG174" s="425" t="n">
        <v>0</v>
      </c>
      <c r="AH174" s="425" t="n">
        <f aca="false">X174*AD174</f>
        <v>0</v>
      </c>
      <c r="AI174" s="425" t="n">
        <f aca="false">SUM(AF174:AH174)</f>
        <v>0</v>
      </c>
      <c r="AJ174" s="425" t="n">
        <f aca="false">(AD174*1000*$S$2)/1000000*R174</f>
        <v>0</v>
      </c>
      <c r="AK174" s="425" t="n">
        <f aca="false">($AK$5*O174)/12</f>
        <v>72603.2755570042</v>
      </c>
      <c r="AL174" s="425" t="n">
        <f aca="false">($AL$5*O174)/12</f>
        <v>185138.352670361</v>
      </c>
      <c r="AM174" s="425" t="n">
        <f aca="false">AD174*$AM$5*1000*O174</f>
        <v>0</v>
      </c>
      <c r="AN174" s="425" t="n">
        <f aca="false">(($AN$5*O174)/12)*$S$4</f>
        <v>166019.490107016</v>
      </c>
      <c r="AO174" s="425" t="n">
        <f aca="false">($AO$5*O174)/12</f>
        <v>36301.6377785021</v>
      </c>
      <c r="AP174" s="425" t="n">
        <f aca="false">AP173</f>
        <v>46500.5582152336</v>
      </c>
      <c r="AQ174" s="433" t="n">
        <f aca="false">SUM(AK174:AP174)</f>
        <v>506563.314328117</v>
      </c>
      <c r="AR174" s="425" t="n">
        <f aca="false">($AR$5*O174)/12</f>
        <v>18150.818889251</v>
      </c>
      <c r="AS174" s="433" t="n">
        <f aca="false">AS173</f>
        <v>30387.755</v>
      </c>
      <c r="AT174" s="425" t="n">
        <f aca="false">(AI174/100)*$AT$6*O174</f>
        <v>0</v>
      </c>
      <c r="AU174" s="433" t="n">
        <f aca="false">SUM(AJ174:AT174)-AQ174</f>
        <v>555101.888217368</v>
      </c>
      <c r="AV174" s="433" t="n">
        <f aca="false">AI174-AU174</f>
        <v>-555101.888217368</v>
      </c>
      <c r="AW174" s="493"/>
      <c r="AX174" s="423" t="n">
        <f aca="false">K174</f>
        <v>41609</v>
      </c>
      <c r="AY174" s="425" t="n">
        <f aca="false">'Debt Amortization'!U8</f>
        <v>6497220.86449102</v>
      </c>
      <c r="AZ174" s="425" t="n">
        <f aca="false">AY174*N174</f>
        <v>2366389.18682222</v>
      </c>
      <c r="BA174" s="126"/>
      <c r="BB174" s="481" t="n">
        <f aca="false">X174</f>
        <v>32.2499996185303</v>
      </c>
      <c r="BC174" s="481" t="n">
        <f aca="false">'Curve Analysis - Base Case'!D166</f>
        <v>49.3375077464181</v>
      </c>
      <c r="BD174" s="479" t="n">
        <f aca="false">L174</f>
        <v>0.074191704590855</v>
      </c>
      <c r="BE174" s="479" t="n">
        <f aca="false">L174</f>
        <v>0.074191704590855</v>
      </c>
      <c r="BF174" s="489" t="n">
        <f aca="false">PJM_01212000!X174</f>
        <v>0.0773366563817113</v>
      </c>
      <c r="BG174" s="425" t="n">
        <f aca="false">(AX174+15)-$K$1</f>
        <v>5035</v>
      </c>
      <c r="BH174" s="433" t="n">
        <f aca="false">AD174</f>
        <v>0</v>
      </c>
      <c r="BJ174" s="486" t="e">
        <f aca="false">EURO(BB174,BC174,BD174,BE174,BF174,BG174,1,0)*BH174</f>
        <v>#NAME?</v>
      </c>
      <c r="BK174" s="433" t="n">
        <f aca="false">(AI174-AJ174)*N174</f>
        <v>0</v>
      </c>
      <c r="BM174" s="433" t="e">
        <f aca="false">BJ174-BK174</f>
        <v>#NAME?</v>
      </c>
    </row>
    <row r="175" customFormat="false" ht="16.5" hidden="false" customHeight="false" outlineLevel="0" collapsed="false">
      <c r="A175" s="59" t="n">
        <f aca="false">A174+1</f>
        <v>169</v>
      </c>
      <c r="C175" s="59" t="n">
        <v>31</v>
      </c>
      <c r="D175" s="59" t="s">
        <v>164</v>
      </c>
      <c r="E175" s="125" t="n">
        <f aca="false">E174+C174</f>
        <v>41640</v>
      </c>
      <c r="F175" s="425" t="n">
        <f aca="false">F127</f>
        <v>23</v>
      </c>
      <c r="G175" s="433" t="n">
        <f aca="false">C175-F175</f>
        <v>8</v>
      </c>
      <c r="H175" s="433"/>
      <c r="I175" s="433"/>
      <c r="J175" s="59" t="n">
        <f aca="false">K176-K175</f>
        <v>31</v>
      </c>
      <c r="K175" s="478" t="n">
        <v>41640</v>
      </c>
      <c r="L175" s="490" t="n">
        <v>0.074186531142343</v>
      </c>
      <c r="M175" s="491" t="n">
        <v>0.064131263119016</v>
      </c>
      <c r="N175" s="480" t="n">
        <f aca="false">(1+L175/2)^(-2*((K175+$T$1)-$K$1)/365.25)</f>
        <v>0.361995820113857</v>
      </c>
      <c r="O175" s="127" t="n">
        <f aca="false">VLOOKUP(K175,Inflation!$B$8:$C$266,2)</f>
        <v>1.45529291157834</v>
      </c>
      <c r="P175" s="480"/>
      <c r="Q175" s="481" t="n">
        <f aca="false">VLOOKUP(K175,'Fuel Curve'!$B$11:$F$268,5)</f>
        <v>4.79017241379311</v>
      </c>
      <c r="R175" s="482" t="n">
        <f aca="false">VLOOKUP(K175,'Fuel Curve Simulation'!$B$12:$J$258,9)</f>
        <v>4.79017241379311</v>
      </c>
      <c r="S175" s="481" t="n">
        <f aca="false">(R175*$S$2)/1000</f>
        <v>45.8850615517242</v>
      </c>
      <c r="T175" s="483"/>
      <c r="V175" s="128" t="n">
        <f aca="false">VLOOKUP(K175,PJM_01212000!$A$7:$C$259,3)</f>
        <v>40.8249984741211</v>
      </c>
      <c r="W175" s="128"/>
      <c r="X175" s="484" t="n">
        <f aca="false">'PJM Curve Simulation'!J175</f>
        <v>40.8249984741211</v>
      </c>
      <c r="Y175" s="489"/>
      <c r="Z175" s="483"/>
      <c r="AA175" s="59" t="n">
        <f aca="false">AA174</f>
        <v>315</v>
      </c>
      <c r="AB175" s="425" t="n">
        <f aca="false">AA175*F175*16</f>
        <v>115920</v>
      </c>
      <c r="AC175" s="425" t="n">
        <f aca="false">VLOOKUP(K175,'Company Volumes'!$B$20:$C$259,2)</f>
        <v>17301.3636406956</v>
      </c>
      <c r="AD175" s="485" t="n">
        <f aca="false">IF(V175&gt;S175+($AM$5*1000*O175),AA175*F175*16,0)</f>
        <v>0</v>
      </c>
      <c r="AE175" s="425"/>
      <c r="AF175" s="425" t="n">
        <v>0</v>
      </c>
      <c r="AG175" s="425" t="n">
        <v>0</v>
      </c>
      <c r="AH175" s="425" t="n">
        <f aca="false">X175*AD175</f>
        <v>0</v>
      </c>
      <c r="AI175" s="425" t="n">
        <f aca="false">SUM(AF175:AH175)</f>
        <v>0</v>
      </c>
      <c r="AJ175" s="425" t="n">
        <f aca="false">(AD175*1000*$S$2)/1000000*R175</f>
        <v>0</v>
      </c>
      <c r="AK175" s="425" t="n">
        <f aca="false">($AK$5*O175)/12</f>
        <v>72764.6455789169</v>
      </c>
      <c r="AL175" s="425" t="n">
        <f aca="false">($AL$5*O175)/12</f>
        <v>185549.846226238</v>
      </c>
      <c r="AM175" s="425" t="n">
        <f aca="false">AD175*$AM$5*1000*O175</f>
        <v>0</v>
      </c>
      <c r="AN175" s="425" t="n">
        <f aca="false">(($AN$5*O175)/12)*$S$4</f>
        <v>166388.489557123</v>
      </c>
      <c r="AO175" s="425" t="n">
        <f aca="false">($AO$5*O175)/12</f>
        <v>36382.3227894585</v>
      </c>
      <c r="AP175" s="425" t="n">
        <f aca="false">AP174</f>
        <v>46500.5582152336</v>
      </c>
      <c r="AQ175" s="433" t="n">
        <f aca="false">SUM(AK175:AP175)</f>
        <v>507585.86236697</v>
      </c>
      <c r="AR175" s="425" t="n">
        <f aca="false">($AR$5*O175)/12</f>
        <v>18191.1613947292</v>
      </c>
      <c r="AS175" s="433" t="n">
        <f aca="false">AS174</f>
        <v>30387.755</v>
      </c>
      <c r="AT175" s="425" t="n">
        <f aca="false">(AI175/100)*$AT$6*O175</f>
        <v>0</v>
      </c>
      <c r="AU175" s="433" t="n">
        <f aca="false">SUM(AJ175:AT175)-AQ175</f>
        <v>556164.7787617</v>
      </c>
      <c r="AV175" s="433" t="n">
        <f aca="false">AI175-AU175</f>
        <v>-556164.7787617</v>
      </c>
      <c r="AW175" s="493"/>
      <c r="AX175" s="423" t="n">
        <f aca="false">K175</f>
        <v>41640</v>
      </c>
      <c r="BA175" s="126"/>
      <c r="BB175" s="481" t="n">
        <f aca="false">X175</f>
        <v>40.8249984741211</v>
      </c>
      <c r="BC175" s="481" t="n">
        <f aca="false">'Curve Analysis - Base Case'!D167</f>
        <v>48.7956473748808</v>
      </c>
      <c r="BD175" s="479" t="n">
        <f aca="false">L175</f>
        <v>0.074186531142343</v>
      </c>
      <c r="BE175" s="479" t="n">
        <f aca="false">L175</f>
        <v>0.074186531142343</v>
      </c>
      <c r="BF175" s="489" t="n">
        <f aca="false">PJM_01212000!X175</f>
        <v>0.118789104202309</v>
      </c>
      <c r="BG175" s="425" t="n">
        <f aca="false">(AX175+15)-$K$1</f>
        <v>5066</v>
      </c>
      <c r="BH175" s="433" t="n">
        <f aca="false">AD175</f>
        <v>0</v>
      </c>
      <c r="BJ175" s="486" t="e">
        <f aca="false">EURO(BB175,BC175,BD175,BE175,BF175,BG175,1,0)*BH175</f>
        <v>#NAME?</v>
      </c>
      <c r="BK175" s="433" t="n">
        <f aca="false">(AI175-AJ175)*N175</f>
        <v>0</v>
      </c>
      <c r="BM175" s="433" t="e">
        <f aca="false">BJ175-BK175</f>
        <v>#NAME?</v>
      </c>
    </row>
    <row r="176" customFormat="false" ht="16.5" hidden="false" customHeight="false" outlineLevel="0" collapsed="false">
      <c r="A176" s="59" t="n">
        <f aca="false">A175+1</f>
        <v>170</v>
      </c>
      <c r="C176" s="59" t="n">
        <v>28</v>
      </c>
      <c r="D176" s="59" t="s">
        <v>165</v>
      </c>
      <c r="E176" s="125" t="n">
        <f aca="false">E175+C175</f>
        <v>41671</v>
      </c>
      <c r="F176" s="425" t="n">
        <f aca="false">F128</f>
        <v>20</v>
      </c>
      <c r="G176" s="433" t="n">
        <f aca="false">C176-F176</f>
        <v>8</v>
      </c>
      <c r="H176" s="433"/>
      <c r="I176" s="433"/>
      <c r="J176" s="59" t="n">
        <f aca="false">K177-K176</f>
        <v>28</v>
      </c>
      <c r="K176" s="478" t="n">
        <v>41671</v>
      </c>
      <c r="L176" s="490" t="n">
        <v>0.074181357693839</v>
      </c>
      <c r="M176" s="491" t="n">
        <v>0.064142875327243</v>
      </c>
      <c r="N176" s="480" t="n">
        <f aca="false">(1+L176/2)^(-2*((K176+$T$1)-$K$1)/365.25)</f>
        <v>0.359789875128841</v>
      </c>
      <c r="O176" s="127" t="n">
        <f aca="false">VLOOKUP(K176,Inflation!$B$8:$C$266,2)</f>
        <v>1.4585274853249</v>
      </c>
      <c r="P176" s="480"/>
      <c r="Q176" s="481" t="n">
        <f aca="false">VLOOKUP(K176,'Fuel Curve'!$B$11:$F$268,5)</f>
        <v>4.69103448275862</v>
      </c>
      <c r="R176" s="482" t="n">
        <f aca="false">VLOOKUP(K176,'Fuel Curve Simulation'!$B$12:$J$258,9)</f>
        <v>4.69103448275862</v>
      </c>
      <c r="S176" s="481" t="n">
        <f aca="false">(R176*$S$2)/1000</f>
        <v>44.9354193103448</v>
      </c>
      <c r="T176" s="483"/>
      <c r="V176" s="128" t="n">
        <f aca="false">VLOOKUP(K176,PJM_01212000!$A$7:$C$259,3)</f>
        <v>40.8249984741211</v>
      </c>
      <c r="W176" s="128"/>
      <c r="X176" s="484" t="n">
        <f aca="false">'PJM Curve Simulation'!J176</f>
        <v>40.8249984741211</v>
      </c>
      <c r="Y176" s="489"/>
      <c r="Z176" s="483"/>
      <c r="AA176" s="59" t="n">
        <f aca="false">AA175</f>
        <v>315</v>
      </c>
      <c r="AB176" s="425" t="n">
        <f aca="false">AA176*F176*16</f>
        <v>100800</v>
      </c>
      <c r="AC176" s="425" t="n">
        <f aca="false">VLOOKUP(K176,'Company Volumes'!$B$20:$C$259,2)</f>
        <v>626.400405431111</v>
      </c>
      <c r="AD176" s="485" t="n">
        <f aca="false">IF(V176&gt;S176+($AM$5*1000*O176),AA176*F176*16,0)</f>
        <v>0</v>
      </c>
      <c r="AE176" s="425"/>
      <c r="AF176" s="425" t="n">
        <v>0</v>
      </c>
      <c r="AG176" s="425" t="n">
        <v>0</v>
      </c>
      <c r="AH176" s="425" t="n">
        <f aca="false">X176*AD176</f>
        <v>0</v>
      </c>
      <c r="AI176" s="425" t="n">
        <f aca="false">SUM(AF176:AH176)</f>
        <v>0</v>
      </c>
      <c r="AJ176" s="425" t="n">
        <f aca="false">(AD176*1000*$S$2)/1000000*R176</f>
        <v>0</v>
      </c>
      <c r="AK176" s="425" t="n">
        <f aca="false">($AK$5*O176)/12</f>
        <v>72926.3742662448</v>
      </c>
      <c r="AL176" s="425" t="n">
        <f aca="false">($AL$5*O176)/12</f>
        <v>185962.254378924</v>
      </c>
      <c r="AM176" s="425" t="n">
        <f aca="false">AD176*$AM$5*1000*O176</f>
        <v>0</v>
      </c>
      <c r="AN176" s="425" t="n">
        <f aca="false">(($AN$5*O176)/12)*$S$4</f>
        <v>166758.30915548</v>
      </c>
      <c r="AO176" s="425" t="n">
        <f aca="false">($AO$5*O176)/12</f>
        <v>36463.1871331224</v>
      </c>
      <c r="AP176" s="425" t="n">
        <f aca="false">AP175</f>
        <v>46500.5582152336</v>
      </c>
      <c r="AQ176" s="433" t="n">
        <f aca="false">SUM(AK176:AP176)</f>
        <v>508610.683149005</v>
      </c>
      <c r="AR176" s="425" t="n">
        <f aca="false">($AR$5*O176)/12</f>
        <v>18231.5935665612</v>
      </c>
      <c r="AS176" s="433" t="n">
        <f aca="false">AS175</f>
        <v>30387.755</v>
      </c>
      <c r="AT176" s="425" t="n">
        <f aca="false">(AI176/100)*$AT$6*O176</f>
        <v>0</v>
      </c>
      <c r="AU176" s="433" t="n">
        <f aca="false">SUM(AJ176:AT176)-AQ176</f>
        <v>557230.031715566</v>
      </c>
      <c r="AV176" s="433" t="n">
        <f aca="false">AI176-AU176</f>
        <v>-557230.031715566</v>
      </c>
      <c r="AW176" s="493"/>
      <c r="AX176" s="423" t="n">
        <f aca="false">K176</f>
        <v>41671</v>
      </c>
      <c r="BA176" s="126"/>
      <c r="BB176" s="481" t="n">
        <f aca="false">X176</f>
        <v>40.8249984741211</v>
      </c>
      <c r="BC176" s="481" t="n">
        <f aca="false">'Curve Analysis - Base Case'!D168</f>
        <v>47.8524742809946</v>
      </c>
      <c r="BD176" s="479" t="n">
        <f aca="false">L176</f>
        <v>0.074181357693839</v>
      </c>
      <c r="BE176" s="479" t="n">
        <f aca="false">L176</f>
        <v>0.074181357693839</v>
      </c>
      <c r="BF176" s="489" t="n">
        <f aca="false">PJM_01212000!X176</f>
        <v>0.118789104202309</v>
      </c>
      <c r="BG176" s="425" t="n">
        <f aca="false">(AX176+15)-$K$1</f>
        <v>5097</v>
      </c>
      <c r="BH176" s="433" t="n">
        <f aca="false">AD176</f>
        <v>0</v>
      </c>
      <c r="BJ176" s="486" t="e">
        <f aca="false">EURO(BB176,BC176,BD176,BE176,BF176,BG176,1,0)*BH176</f>
        <v>#NAME?</v>
      </c>
      <c r="BK176" s="433" t="n">
        <f aca="false">(AI176-AJ176)*N176</f>
        <v>0</v>
      </c>
      <c r="BM176" s="433" t="e">
        <f aca="false">BJ176-BK176</f>
        <v>#NAME?</v>
      </c>
    </row>
    <row r="177" customFormat="false" ht="16.5" hidden="false" customHeight="false" outlineLevel="0" collapsed="false">
      <c r="A177" s="59" t="n">
        <f aca="false">A176+1</f>
        <v>171</v>
      </c>
      <c r="C177" s="59" t="n">
        <v>31</v>
      </c>
      <c r="D177" s="59" t="s">
        <v>166</v>
      </c>
      <c r="E177" s="125" t="n">
        <f aca="false">E176+C176</f>
        <v>41699</v>
      </c>
      <c r="F177" s="425" t="n">
        <f aca="false">F129</f>
        <v>21</v>
      </c>
      <c r="G177" s="433" t="n">
        <f aca="false">C177-F177</f>
        <v>10</v>
      </c>
      <c r="H177" s="433"/>
      <c r="I177" s="433"/>
      <c r="J177" s="59" t="n">
        <f aca="false">K178-K177</f>
        <v>31</v>
      </c>
      <c r="K177" s="478" t="n">
        <v>41699</v>
      </c>
      <c r="L177" s="490" t="n">
        <v>0.07417668490165</v>
      </c>
      <c r="M177" s="491" t="n">
        <v>0.064153363774191</v>
      </c>
      <c r="N177" s="480" t="n">
        <f aca="false">(1+L177/2)^(-2*((K177+$T$1)-$K$1)/365.25)</f>
        <v>0.357809225707192</v>
      </c>
      <c r="O177" s="127" t="n">
        <f aca="false">VLOOKUP(K177,Inflation!$B$8:$C$266,2)</f>
        <v>1.46176924832335</v>
      </c>
      <c r="P177" s="480"/>
      <c r="Q177" s="481" t="n">
        <f aca="false">VLOOKUP(K177,'Fuel Curve'!$B$11:$F$268,5)</f>
        <v>4.59396551724138</v>
      </c>
      <c r="R177" s="482" t="n">
        <f aca="false">VLOOKUP(K177,'Fuel Curve Simulation'!$B$12:$J$258,9)</f>
        <v>4.59396551724138</v>
      </c>
      <c r="S177" s="481" t="n">
        <f aca="false">(R177*$S$2)/1000</f>
        <v>44.0055956896552</v>
      </c>
      <c r="T177" s="483"/>
      <c r="V177" s="128" t="n">
        <f aca="false">VLOOKUP(K177,PJM_01212000!$A$7:$C$259,3)</f>
        <v>30.5500007629395</v>
      </c>
      <c r="W177" s="128"/>
      <c r="X177" s="484" t="n">
        <f aca="false">'PJM Curve Simulation'!J177</f>
        <v>30.5500007629395</v>
      </c>
      <c r="Y177" s="489"/>
      <c r="Z177" s="483"/>
      <c r="AA177" s="59" t="n">
        <f aca="false">AA176</f>
        <v>315</v>
      </c>
      <c r="AB177" s="425" t="n">
        <f aca="false">AA177*F177*16</f>
        <v>105840</v>
      </c>
      <c r="AC177" s="425" t="n">
        <f aca="false">VLOOKUP(K177,'Company Volumes'!$B$20:$C$259,2)</f>
        <v>626.400405431111</v>
      </c>
      <c r="AD177" s="485" t="n">
        <f aca="false">IF(V177&gt;S177+($AM$5*1000*O177),AA177*F177*16,0)</f>
        <v>0</v>
      </c>
      <c r="AE177" s="425"/>
      <c r="AF177" s="425" t="n">
        <v>0</v>
      </c>
      <c r="AG177" s="425" t="n">
        <v>0</v>
      </c>
      <c r="AH177" s="425" t="n">
        <f aca="false">X177*AD177</f>
        <v>0</v>
      </c>
      <c r="AI177" s="425" t="n">
        <f aca="false">SUM(AF177:AH177)</f>
        <v>0</v>
      </c>
      <c r="AJ177" s="425" t="n">
        <f aca="false">(AD177*1000*$S$2)/1000000*R177</f>
        <v>0</v>
      </c>
      <c r="AK177" s="425" t="n">
        <f aca="false">($AK$5*O177)/12</f>
        <v>73088.4624161675</v>
      </c>
      <c r="AL177" s="425" t="n">
        <f aca="false">($AL$5*O177)/12</f>
        <v>186375.579161227</v>
      </c>
      <c r="AM177" s="425" t="n">
        <f aca="false">AD177*$AM$5*1000*O177</f>
        <v>0</v>
      </c>
      <c r="AN177" s="425" t="n">
        <f aca="false">(($AN$5*O177)/12)*$S$4</f>
        <v>167128.95072497</v>
      </c>
      <c r="AO177" s="425" t="n">
        <f aca="false">($AO$5*O177)/12</f>
        <v>36544.2312080837</v>
      </c>
      <c r="AP177" s="425" t="n">
        <f aca="false">AP176</f>
        <v>46500.5582152336</v>
      </c>
      <c r="AQ177" s="433" t="n">
        <f aca="false">SUM(AK177:AP177)</f>
        <v>509637.781725682</v>
      </c>
      <c r="AR177" s="425" t="n">
        <f aca="false">($AR$5*O177)/12</f>
        <v>18272.1156040419</v>
      </c>
      <c r="AS177" s="433" t="n">
        <f aca="false">AS176</f>
        <v>30387.755</v>
      </c>
      <c r="AT177" s="425" t="n">
        <f aca="false">(AI177/100)*$AT$6*O177</f>
        <v>0</v>
      </c>
      <c r="AU177" s="433" t="n">
        <f aca="false">SUM(AJ177:AT177)-AQ177</f>
        <v>558297.652329723</v>
      </c>
      <c r="AV177" s="433" t="n">
        <f aca="false">AI177-AU177</f>
        <v>-558297.652329723</v>
      </c>
      <c r="AW177" s="493"/>
      <c r="AX177" s="423" t="n">
        <f aca="false">K177</f>
        <v>41699</v>
      </c>
      <c r="BA177" s="126"/>
      <c r="BB177" s="481" t="n">
        <f aca="false">X177</f>
        <v>30.5500007629395</v>
      </c>
      <c r="BC177" s="481" t="n">
        <f aca="false">'Curve Analysis - Base Case'!D169</f>
        <v>46.9291341863019</v>
      </c>
      <c r="BD177" s="479" t="n">
        <f aca="false">L177</f>
        <v>0.07417668490165</v>
      </c>
      <c r="BE177" s="479" t="n">
        <f aca="false">L177</f>
        <v>0.07417668490165</v>
      </c>
      <c r="BF177" s="489" t="n">
        <f aca="false">PJM_01212000!X177</f>
        <v>0.0989909201685905</v>
      </c>
      <c r="BG177" s="425" t="n">
        <f aca="false">(AX177+15)-$K$1</f>
        <v>5125</v>
      </c>
      <c r="BH177" s="433" t="n">
        <f aca="false">AD177</f>
        <v>0</v>
      </c>
      <c r="BJ177" s="486" t="e">
        <f aca="false">EURO(BB177,BC177,BD177,BE177,BF177,BG177,1,0)*BH177</f>
        <v>#NAME?</v>
      </c>
      <c r="BK177" s="433" t="n">
        <f aca="false">(AI177-AJ177)*N177</f>
        <v>0</v>
      </c>
      <c r="BM177" s="433" t="e">
        <f aca="false">BJ177-BK177</f>
        <v>#NAME?</v>
      </c>
    </row>
    <row r="178" customFormat="false" ht="16.5" hidden="false" customHeight="false" outlineLevel="0" collapsed="false">
      <c r="A178" s="59" t="n">
        <f aca="false">A177+1</f>
        <v>172</v>
      </c>
      <c r="C178" s="59" t="n">
        <v>30</v>
      </c>
      <c r="D178" s="59" t="s">
        <v>167</v>
      </c>
      <c r="E178" s="125" t="n">
        <f aca="false">E177+C177</f>
        <v>41730</v>
      </c>
      <c r="F178" s="425" t="n">
        <f aca="false">F130</f>
        <v>22</v>
      </c>
      <c r="G178" s="433" t="n">
        <f aca="false">C178-F178</f>
        <v>8</v>
      </c>
      <c r="H178" s="433"/>
      <c r="I178" s="433"/>
      <c r="J178" s="59" t="n">
        <f aca="false">K179-K178</f>
        <v>30</v>
      </c>
      <c r="K178" s="478" t="n">
        <v>41730</v>
      </c>
      <c r="L178" s="490" t="n">
        <v>0.074171511453163</v>
      </c>
      <c r="M178" s="491" t="n">
        <v>0.064164975984205</v>
      </c>
      <c r="N178" s="480" t="n">
        <f aca="false">(1+L178/2)^(-2*((K178+$T$1)-$K$1)/365.25)</f>
        <v>0.355629366411146</v>
      </c>
      <c r="O178" s="127" t="n">
        <f aca="false">VLOOKUP(K178,Inflation!$B$8:$C$266,2)</f>
        <v>1.46501821655273</v>
      </c>
      <c r="P178" s="480"/>
      <c r="Q178" s="481" t="n">
        <f aca="false">VLOOKUP(K178,'Fuel Curve'!$B$11:$F$268,5)</f>
        <v>4.49396551724138</v>
      </c>
      <c r="R178" s="482" t="n">
        <f aca="false">VLOOKUP(K178,'Fuel Curve Simulation'!$B$12:$J$258,9)</f>
        <v>4.49396551724138</v>
      </c>
      <c r="S178" s="481" t="n">
        <f aca="false">(R178*$S$2)/1000</f>
        <v>43.0476956896552</v>
      </c>
      <c r="T178" s="483"/>
      <c r="V178" s="128" t="n">
        <f aca="false">VLOOKUP(K178,PJM_01212000!$A$7:$C$259,3)</f>
        <v>30.3250007629395</v>
      </c>
      <c r="W178" s="128"/>
      <c r="X178" s="484" t="n">
        <f aca="false">'PJM Curve Simulation'!J178</f>
        <v>30.3250007629395</v>
      </c>
      <c r="Y178" s="489"/>
      <c r="Z178" s="483"/>
      <c r="AA178" s="59" t="n">
        <f aca="false">AA177</f>
        <v>315</v>
      </c>
      <c r="AB178" s="425" t="n">
        <f aca="false">AA178*F178*16</f>
        <v>110880</v>
      </c>
      <c r="AC178" s="425" t="n">
        <f aca="false">VLOOKUP(K178,'Company Volumes'!$B$20:$C$259,2)</f>
        <v>8599.01185750133</v>
      </c>
      <c r="AD178" s="485" t="n">
        <f aca="false">IF(V178&gt;S178+($AM$5*1000*O178),AA178*F178*16,0)</f>
        <v>0</v>
      </c>
      <c r="AE178" s="425"/>
      <c r="AF178" s="425" t="n">
        <v>0</v>
      </c>
      <c r="AG178" s="425" t="n">
        <v>0</v>
      </c>
      <c r="AH178" s="425" t="n">
        <f aca="false">X178*AD178</f>
        <v>0</v>
      </c>
      <c r="AI178" s="425" t="n">
        <f aca="false">SUM(AF178:AH178)</f>
        <v>0</v>
      </c>
      <c r="AJ178" s="425" t="n">
        <f aca="false">(AD178*1000*$S$2)/1000000*R178</f>
        <v>0</v>
      </c>
      <c r="AK178" s="425" t="n">
        <f aca="false">($AK$5*O178)/12</f>
        <v>73250.9108276363</v>
      </c>
      <c r="AL178" s="425" t="n">
        <f aca="false">($AL$5*O178)/12</f>
        <v>186789.822610472</v>
      </c>
      <c r="AM178" s="425" t="n">
        <f aca="false">AD178*$AM$5*1000*O178</f>
        <v>0</v>
      </c>
      <c r="AN178" s="425" t="n">
        <f aca="false">(($AN$5*O178)/12)*$S$4</f>
        <v>167500.416092528</v>
      </c>
      <c r="AO178" s="425" t="n">
        <f aca="false">($AO$5*O178)/12</f>
        <v>36625.4554138181</v>
      </c>
      <c r="AP178" s="425" t="n">
        <f aca="false">AP177</f>
        <v>46500.5582152336</v>
      </c>
      <c r="AQ178" s="433" t="n">
        <f aca="false">SUM(AK178:AP178)</f>
        <v>510667.163159689</v>
      </c>
      <c r="AR178" s="425" t="n">
        <f aca="false">($AR$5*O178)/12</f>
        <v>18312.7277069091</v>
      </c>
      <c r="AS178" s="433" t="n">
        <f aca="false">AS177</f>
        <v>30387.755</v>
      </c>
      <c r="AT178" s="425" t="n">
        <f aca="false">(AI178/100)*$AT$6*O178</f>
        <v>0</v>
      </c>
      <c r="AU178" s="433" t="n">
        <f aca="false">SUM(AJ178:AT178)-AQ178</f>
        <v>559367.645866598</v>
      </c>
      <c r="AV178" s="433" t="n">
        <f aca="false">AI178-AU178</f>
        <v>-559367.645866598</v>
      </c>
      <c r="AW178" s="493"/>
      <c r="AX178" s="423" t="n">
        <f aca="false">K178</f>
        <v>41730</v>
      </c>
      <c r="BA178" s="126"/>
      <c r="BB178" s="481" t="n">
        <f aca="false">X178</f>
        <v>30.3250007629395</v>
      </c>
      <c r="BC178" s="481" t="n">
        <f aca="false">'Curve Analysis - Base Case'!D170</f>
        <v>45.9777321227606</v>
      </c>
      <c r="BD178" s="479" t="n">
        <f aca="false">L178</f>
        <v>0.074171511453163</v>
      </c>
      <c r="BE178" s="479" t="n">
        <f aca="false">L178</f>
        <v>0.074171511453163</v>
      </c>
      <c r="BF178" s="489" t="n">
        <f aca="false">PJM_01212000!X178</f>
        <v>0.094041374160161</v>
      </c>
      <c r="BG178" s="425" t="n">
        <f aca="false">(AX178+15)-$K$1</f>
        <v>5156</v>
      </c>
      <c r="BH178" s="433" t="n">
        <f aca="false">AD178</f>
        <v>0</v>
      </c>
      <c r="BJ178" s="486" t="e">
        <f aca="false">EURO(BB178,BC178,BD178,BE178,BF178,BG178,1,0)*BH178</f>
        <v>#NAME?</v>
      </c>
      <c r="BK178" s="433" t="n">
        <f aca="false">(AI178-AJ178)*N178</f>
        <v>0</v>
      </c>
      <c r="BM178" s="433" t="e">
        <f aca="false">BJ178-BK178</f>
        <v>#NAME?</v>
      </c>
    </row>
    <row r="179" customFormat="false" ht="16.5" hidden="false" customHeight="false" outlineLevel="0" collapsed="false">
      <c r="A179" s="59" t="n">
        <f aca="false">A178+1</f>
        <v>173</v>
      </c>
      <c r="C179" s="59" t="n">
        <v>31</v>
      </c>
      <c r="D179" s="59" t="s">
        <v>29</v>
      </c>
      <c r="E179" s="125" t="n">
        <f aca="false">E178+C178</f>
        <v>41760</v>
      </c>
      <c r="F179" s="425" t="n">
        <f aca="false">F131</f>
        <v>23</v>
      </c>
      <c r="G179" s="433" t="n">
        <f aca="false">C179-F179</f>
        <v>8</v>
      </c>
      <c r="H179" s="433"/>
      <c r="I179" s="433"/>
      <c r="J179" s="59" t="n">
        <f aca="false">K180-K179</f>
        <v>31</v>
      </c>
      <c r="K179" s="478" t="n">
        <v>41760</v>
      </c>
      <c r="L179" s="490" t="n">
        <v>0.074166504890119</v>
      </c>
      <c r="M179" s="491" t="n">
        <v>0.064176213607694</v>
      </c>
      <c r="N179" s="480" t="n">
        <f aca="false">(1+L179/2)^(-2*((K179+$T$1)-$K$1)/365.25)</f>
        <v>0.353532755620055</v>
      </c>
      <c r="O179" s="127" t="n">
        <f aca="false">VLOOKUP(K179,Inflation!$B$8:$C$266,2)</f>
        <v>1.46827440602757</v>
      </c>
      <c r="P179" s="480"/>
      <c r="Q179" s="481" t="n">
        <f aca="false">VLOOKUP(K179,'Fuel Curve'!$B$11:$F$268,5)</f>
        <v>4.42672413793104</v>
      </c>
      <c r="R179" s="482" t="n">
        <f aca="false">VLOOKUP(K179,'Fuel Curve Simulation'!$B$12:$J$258,9)</f>
        <v>4.42672413793104</v>
      </c>
      <c r="S179" s="481" t="n">
        <f aca="false">(R179*$S$2)/1000</f>
        <v>42.4035905172414</v>
      </c>
      <c r="T179" s="483"/>
      <c r="V179" s="128" t="n">
        <f aca="false">VLOOKUP(K179,PJM_01212000!$A$7:$C$259,3)</f>
        <v>38.325</v>
      </c>
      <c r="W179" s="128"/>
      <c r="X179" s="484" t="n">
        <f aca="false">'PJM Curve Simulation'!J179</f>
        <v>38.325</v>
      </c>
      <c r="Y179" s="489"/>
      <c r="Z179" s="483"/>
      <c r="AA179" s="59" t="n">
        <f aca="false">AA178</f>
        <v>315</v>
      </c>
      <c r="AB179" s="425" t="n">
        <f aca="false">AA179*F179*16</f>
        <v>115920</v>
      </c>
      <c r="AC179" s="425" t="n">
        <f aca="false">VLOOKUP(K179,'Company Volumes'!$B$20:$C$259,2)</f>
        <v>17483.1175498964</v>
      </c>
      <c r="AD179" s="485" t="n">
        <f aca="false">IF(V179&gt;S179+($AM$5*1000*O179),AA179*F179*16,0)</f>
        <v>0</v>
      </c>
      <c r="AE179" s="425"/>
      <c r="AF179" s="425" t="n">
        <v>0</v>
      </c>
      <c r="AG179" s="425" t="n">
        <v>0</v>
      </c>
      <c r="AH179" s="425" t="n">
        <f aca="false">X179*AD179</f>
        <v>0</v>
      </c>
      <c r="AI179" s="425" t="n">
        <f aca="false">SUM(AF179:AH179)</f>
        <v>0</v>
      </c>
      <c r="AJ179" s="425" t="n">
        <f aca="false">(AD179*1000*$S$2)/1000000*R179</f>
        <v>0</v>
      </c>
      <c r="AK179" s="425" t="n">
        <f aca="false">($AK$5*O179)/12</f>
        <v>73413.7203013783</v>
      </c>
      <c r="AL179" s="425" t="n">
        <f aca="false">($AL$5*O179)/12</f>
        <v>187204.986768515</v>
      </c>
      <c r="AM179" s="425" t="n">
        <f aca="false">AD179*$AM$5*1000*O179</f>
        <v>0</v>
      </c>
      <c r="AN179" s="425" t="n">
        <f aca="false">(($AN$5*O179)/12)*$S$4</f>
        <v>167872.707089152</v>
      </c>
      <c r="AO179" s="425" t="n">
        <f aca="false">($AO$5*O179)/12</f>
        <v>36706.8601506891</v>
      </c>
      <c r="AP179" s="425" t="n">
        <f aca="false">AP178</f>
        <v>46500.5582152336</v>
      </c>
      <c r="AQ179" s="433" t="n">
        <f aca="false">SUM(AK179:AP179)</f>
        <v>511698.832524967</v>
      </c>
      <c r="AR179" s="425" t="n">
        <f aca="false">($AR$5*O179)/12</f>
        <v>18353.4300753446</v>
      </c>
      <c r="AS179" s="433" t="n">
        <f aca="false">AS178</f>
        <v>30387.755</v>
      </c>
      <c r="AT179" s="425" t="n">
        <f aca="false">(AI179/100)*$AT$6*O179</f>
        <v>0</v>
      </c>
      <c r="AU179" s="433" t="n">
        <f aca="false">SUM(AJ179:AT179)-AQ179</f>
        <v>560440.017600312</v>
      </c>
      <c r="AV179" s="433" t="n">
        <f aca="false">AI179-AU179</f>
        <v>-560440.017600312</v>
      </c>
      <c r="AW179" s="493"/>
      <c r="AX179" s="423" t="n">
        <f aca="false">K179</f>
        <v>41760</v>
      </c>
      <c r="BA179" s="126"/>
      <c r="BB179" s="481" t="n">
        <f aca="false">X179</f>
        <v>38.325</v>
      </c>
      <c r="BC179" s="481" t="n">
        <f aca="false">'Curve Analysis - Base Case'!D171</f>
        <v>45.3401393292965</v>
      </c>
      <c r="BD179" s="479" t="n">
        <f aca="false">L179</f>
        <v>0.074166504890119</v>
      </c>
      <c r="BE179" s="479" t="n">
        <f aca="false">L179</f>
        <v>0.074166504890119</v>
      </c>
      <c r="BF179" s="489" t="n">
        <f aca="false">PJM_01212000!X179</f>
        <v>0.10394046617702</v>
      </c>
      <c r="BG179" s="425" t="n">
        <f aca="false">(AX179+15)-$K$1</f>
        <v>5186</v>
      </c>
      <c r="BH179" s="433" t="n">
        <f aca="false">AD179</f>
        <v>0</v>
      </c>
      <c r="BJ179" s="486" t="e">
        <f aca="false">EURO(BB179,BC179,BD179,BE179,BF179,BG179,1,0)*BH179</f>
        <v>#NAME?</v>
      </c>
      <c r="BK179" s="433" t="n">
        <f aca="false">(AI179-AJ179)*N179</f>
        <v>0</v>
      </c>
      <c r="BM179" s="433" t="e">
        <f aca="false">BJ179-BK179</f>
        <v>#NAME?</v>
      </c>
    </row>
    <row r="180" customFormat="false" ht="16.5" hidden="false" customHeight="false" outlineLevel="0" collapsed="false">
      <c r="A180" s="59" t="n">
        <f aca="false">A179+1</f>
        <v>174</v>
      </c>
      <c r="C180" s="59" t="n">
        <v>30</v>
      </c>
      <c r="D180" s="59" t="s">
        <v>168</v>
      </c>
      <c r="E180" s="125" t="n">
        <f aca="false">E179+C179</f>
        <v>41791</v>
      </c>
      <c r="F180" s="425" t="n">
        <f aca="false">F132</f>
        <v>20</v>
      </c>
      <c r="G180" s="433" t="n">
        <f aca="false">C180-F180</f>
        <v>10</v>
      </c>
      <c r="H180" s="433"/>
      <c r="I180" s="433"/>
      <c r="J180" s="59" t="n">
        <f aca="false">K181-K180</f>
        <v>30</v>
      </c>
      <c r="K180" s="478" t="n">
        <v>41791</v>
      </c>
      <c r="L180" s="490" t="n">
        <v>0.07416133144165</v>
      </c>
      <c r="M180" s="491" t="n">
        <v>0.064187825819556</v>
      </c>
      <c r="N180" s="480" t="n">
        <f aca="false">(1+L180/2)^(-2*((K180+$T$1)-$K$1)/365.25)</f>
        <v>0.351379535203468</v>
      </c>
      <c r="O180" s="127" t="n">
        <f aca="false">VLOOKUP(K180,Inflation!$B$8:$C$266,2)</f>
        <v>1.47153783279801</v>
      </c>
      <c r="P180" s="480"/>
      <c r="Q180" s="481" t="n">
        <f aca="false">VLOOKUP(K180,'Fuel Curve'!$B$11:$F$268,5)</f>
        <v>4.42017241379311</v>
      </c>
      <c r="R180" s="482" t="n">
        <f aca="false">VLOOKUP(K180,'Fuel Curve Simulation'!$B$12:$J$258,9)</f>
        <v>4.42017241379311</v>
      </c>
      <c r="S180" s="481" t="n">
        <f aca="false">(R180*$S$2)/1000</f>
        <v>42.3408315517242</v>
      </c>
      <c r="T180" s="483"/>
      <c r="V180" s="128" t="n">
        <f aca="false">VLOOKUP(K180,PJM_01212000!$A$7:$C$259,3)</f>
        <v>65.3499984741211</v>
      </c>
      <c r="W180" s="128"/>
      <c r="X180" s="484" t="n">
        <f aca="false">'PJM Curve Simulation'!J180</f>
        <v>65.3499984741211</v>
      </c>
      <c r="Y180" s="489"/>
      <c r="Z180" s="483"/>
      <c r="AA180" s="59" t="n">
        <f aca="false">AA179</f>
        <v>315</v>
      </c>
      <c r="AB180" s="425" t="n">
        <f aca="false">AA180*F180*16</f>
        <v>100800</v>
      </c>
      <c r="AC180" s="425" t="n">
        <f aca="false">VLOOKUP(K180,'Company Volumes'!$B$20:$C$259,2)</f>
        <v>31276.9467615547</v>
      </c>
      <c r="AD180" s="485" t="n">
        <f aca="false">IF(V180&gt;S180+($AM$5*1000*O180),AA180*F180*16,0)</f>
        <v>100800</v>
      </c>
      <c r="AE180" s="425"/>
      <c r="AF180" s="425" t="n">
        <v>0</v>
      </c>
      <c r="AG180" s="425" t="n">
        <v>0</v>
      </c>
      <c r="AH180" s="425" t="n">
        <f aca="false">X180*AD180</f>
        <v>6587279.84619141</v>
      </c>
      <c r="AI180" s="425" t="n">
        <f aca="false">SUM(AF180:AH180)</f>
        <v>6587279.84619141</v>
      </c>
      <c r="AJ180" s="425" t="n">
        <f aca="false">(AD180*1000*$S$2)/1000000*R180</f>
        <v>4267955.82041379</v>
      </c>
      <c r="AK180" s="425" t="n">
        <f aca="false">($AK$5*O180)/12</f>
        <v>73576.8916399004</v>
      </c>
      <c r="AL180" s="425" t="n">
        <f aca="false">($AL$5*O180)/12</f>
        <v>187621.073681746</v>
      </c>
      <c r="AM180" s="425" t="n">
        <f aca="false">AD180*$AM$5*1000*O180</f>
        <v>296662.027092079</v>
      </c>
      <c r="AN180" s="425" t="n">
        <f aca="false">(($AN$5*O180)/12)*$S$4</f>
        <v>168245.825549906</v>
      </c>
      <c r="AO180" s="425" t="n">
        <f aca="false">($AO$5*O180)/12</f>
        <v>36788.4458199502</v>
      </c>
      <c r="AP180" s="425" t="n">
        <f aca="false">AP179</f>
        <v>46500.5582152336</v>
      </c>
      <c r="AQ180" s="433" t="n">
        <f aca="false">SUM(AK180:AP180)</f>
        <v>809394.821998815</v>
      </c>
      <c r="AR180" s="425" t="n">
        <f aca="false">($AR$5*O180)/12</f>
        <v>18394.2229099751</v>
      </c>
      <c r="AS180" s="433" t="n">
        <f aca="false">AS179</f>
        <v>30387.755</v>
      </c>
      <c r="AT180" s="425" t="n">
        <f aca="false">(AI180/100)*$AT$6*O180</f>
        <v>58160.589053391</v>
      </c>
      <c r="AU180" s="433" t="n">
        <f aca="false">SUM(AJ180:AT180)-AQ180</f>
        <v>5184293.20937598</v>
      </c>
      <c r="AV180" s="433" t="n">
        <f aca="false">AI180-AU180</f>
        <v>1402986.63681543</v>
      </c>
      <c r="AW180" s="493"/>
      <c r="AX180" s="423" t="n">
        <f aca="false">K180</f>
        <v>41791</v>
      </c>
      <c r="BA180" s="126"/>
      <c r="BB180" s="481" t="n">
        <f aca="false">X180</f>
        <v>65.3499984741211</v>
      </c>
      <c r="BC180" s="481" t="n">
        <f aca="false">'Curve Analysis - Base Case'!D172</f>
        <v>45.2839072173202</v>
      </c>
      <c r="BD180" s="479" t="n">
        <f aca="false">L180</f>
        <v>0.07416133144165</v>
      </c>
      <c r="BE180" s="479" t="n">
        <f aca="false">L180</f>
        <v>0.07416133144165</v>
      </c>
      <c r="BF180" s="489" t="n">
        <f aca="false">PJM_01212000!X180</f>
        <v>0.133637742227597</v>
      </c>
      <c r="BG180" s="425" t="n">
        <f aca="false">(AX180+15)-$K$1</f>
        <v>5217</v>
      </c>
      <c r="BH180" s="433" t="n">
        <f aca="false">AD180</f>
        <v>100800</v>
      </c>
      <c r="BJ180" s="486" t="e">
        <f aca="false">EURO(BB180,BC180,BD180,BE180,BF180,BG180,1,0)*BH180</f>
        <v>#NAME?</v>
      </c>
      <c r="BK180" s="433" t="n">
        <f aca="false">(AI180-AJ180)*N180</f>
        <v>814962.998163972</v>
      </c>
      <c r="BM180" s="433" t="e">
        <f aca="false">BJ180-BK180</f>
        <v>#NAME?</v>
      </c>
    </row>
    <row r="181" customFormat="false" ht="16.5" hidden="false" customHeight="false" outlineLevel="0" collapsed="false">
      <c r="A181" s="59" t="n">
        <f aca="false">A180+1</f>
        <v>175</v>
      </c>
      <c r="C181" s="59" t="n">
        <v>31</v>
      </c>
      <c r="D181" s="59" t="s">
        <v>169</v>
      </c>
      <c r="E181" s="125" t="n">
        <f aca="false">E180+C180</f>
        <v>41821</v>
      </c>
      <c r="F181" s="425" t="n">
        <f aca="false">F133</f>
        <v>23</v>
      </c>
      <c r="G181" s="433" t="n">
        <f aca="false">C181-F181</f>
        <v>8</v>
      </c>
      <c r="H181" s="433"/>
      <c r="I181" s="433"/>
      <c r="J181" s="59" t="n">
        <f aca="false">K182-K181</f>
        <v>31</v>
      </c>
      <c r="K181" s="478" t="n">
        <v>41821</v>
      </c>
      <c r="L181" s="490" t="n">
        <v>0.074156324878623</v>
      </c>
      <c r="M181" s="491" t="n">
        <v>0.064199063444832</v>
      </c>
      <c r="N181" s="480" t="n">
        <f aca="false">(1+L181/2)^(-2*((K181+$T$1)-$K$1)/365.25)</f>
        <v>0.349308542640163</v>
      </c>
      <c r="O181" s="127" t="n">
        <f aca="false">VLOOKUP(K181,Inflation!$B$8:$C$266,2)</f>
        <v>1.47480851294986</v>
      </c>
      <c r="P181" s="480"/>
      <c r="Q181" s="481" t="n">
        <f aca="false">VLOOKUP(K181,'Fuel Curve'!$B$11:$F$268,5)</f>
        <v>4.47741379310345</v>
      </c>
      <c r="R181" s="482" t="n">
        <f aca="false">VLOOKUP(K181,'Fuel Curve Simulation'!$B$12:$J$258,9)</f>
        <v>4.47741379310345</v>
      </c>
      <c r="S181" s="481" t="n">
        <f aca="false">(R181*$S$2)/1000</f>
        <v>42.8891467241379</v>
      </c>
      <c r="T181" s="483"/>
      <c r="V181" s="128" t="n">
        <f aca="false">VLOOKUP(K181,PJM_01212000!$A$7:$C$259,3)</f>
        <v>115.949996948242</v>
      </c>
      <c r="W181" s="128"/>
      <c r="X181" s="484" t="n">
        <f aca="false">'PJM Curve Simulation'!J181</f>
        <v>115.949996948242</v>
      </c>
      <c r="Y181" s="489"/>
      <c r="Z181" s="483"/>
      <c r="AA181" s="59" t="n">
        <f aca="false">AA180</f>
        <v>315</v>
      </c>
      <c r="AB181" s="425" t="n">
        <f aca="false">AA181*F181*16</f>
        <v>115920</v>
      </c>
      <c r="AC181" s="425" t="n">
        <f aca="false">VLOOKUP(K181,'Company Volumes'!$B$20:$C$259,2)</f>
        <v>52286.2860016498</v>
      </c>
      <c r="AD181" s="485" t="n">
        <f aca="false">IF(V181&gt;S181+($AM$5*1000*O181),AA181*F181*16,0)</f>
        <v>115920</v>
      </c>
      <c r="AE181" s="425"/>
      <c r="AF181" s="425" t="n">
        <v>0</v>
      </c>
      <c r="AG181" s="425" t="n">
        <v>0</v>
      </c>
      <c r="AH181" s="425" t="n">
        <f aca="false">X181*AD181</f>
        <v>13440923.6462402</v>
      </c>
      <c r="AI181" s="425" t="n">
        <f aca="false">SUM(AF181:AH181)</f>
        <v>13440923.6462402</v>
      </c>
      <c r="AJ181" s="425" t="n">
        <f aca="false">(AD181*1000*$S$2)/1000000*R181</f>
        <v>4971709.88826207</v>
      </c>
      <c r="AK181" s="425" t="n">
        <f aca="false">($AK$5*O181)/12</f>
        <v>73740.4256474932</v>
      </c>
      <c r="AL181" s="425" t="n">
        <f aca="false">($AL$5*O181)/12</f>
        <v>188038.085401108</v>
      </c>
      <c r="AM181" s="425" t="n">
        <f aca="false">AD181*$AM$5*1000*O181</f>
        <v>341919.605642297</v>
      </c>
      <c r="AN181" s="425" t="n">
        <f aca="false">(($AN$5*O181)/12)*$S$4</f>
        <v>168619.773313935</v>
      </c>
      <c r="AO181" s="425" t="n">
        <f aca="false">($AO$5*O181)/12</f>
        <v>36870.2128237466</v>
      </c>
      <c r="AP181" s="425" t="n">
        <f aca="false">AP180</f>
        <v>46500.5582152336</v>
      </c>
      <c r="AQ181" s="433" t="n">
        <f aca="false">SUM(AK181:AP181)</f>
        <v>855688.661043812</v>
      </c>
      <c r="AR181" s="425" t="n">
        <f aca="false">($AR$5*O181)/12</f>
        <v>18435.1064118733</v>
      </c>
      <c r="AS181" s="433" t="n">
        <f aca="false">AS180</f>
        <v>30387.755</v>
      </c>
      <c r="AT181" s="425" t="n">
        <f aca="false">(AI181/100)*$AT$6*O181</f>
        <v>118936.731692305</v>
      </c>
      <c r="AU181" s="433" t="n">
        <f aca="false">SUM(AJ181:AT181)-AQ181</f>
        <v>5995158.14241006</v>
      </c>
      <c r="AV181" s="433" t="n">
        <f aca="false">AI181-AU181</f>
        <v>7445765.50383017</v>
      </c>
      <c r="AW181" s="493"/>
      <c r="AX181" s="423" t="n">
        <f aca="false">K181</f>
        <v>41821</v>
      </c>
      <c r="BA181" s="126"/>
      <c r="BB181" s="481" t="n">
        <f aca="false">X181</f>
        <v>115.949996948242</v>
      </c>
      <c r="BC181" s="481" t="n">
        <f aca="false">'Curve Analysis - Base Case'!D173</f>
        <v>45.8387637500377</v>
      </c>
      <c r="BD181" s="479" t="n">
        <f aca="false">L181</f>
        <v>0.074156324878623</v>
      </c>
      <c r="BE181" s="479" t="n">
        <f aca="false">L181</f>
        <v>0.074156324878623</v>
      </c>
      <c r="BF181" s="489" t="n">
        <f aca="false">PJM_01212000!X181</f>
        <v>0.163335018278174</v>
      </c>
      <c r="BG181" s="425" t="n">
        <f aca="false">(AX181+15)-$K$1</f>
        <v>5247</v>
      </c>
      <c r="BH181" s="433" t="n">
        <f aca="false">AD181</f>
        <v>115920</v>
      </c>
      <c r="BJ181" s="486" t="e">
        <f aca="false">EURO(BB181,BC181,BD181,BE181,BF181,BG181,1,0)*BH181</f>
        <v>#NAME?</v>
      </c>
      <c r="BK181" s="433" t="n">
        <f aca="false">(AI181-AJ181)*N181</f>
        <v>2958368.71510737</v>
      </c>
      <c r="BM181" s="433" t="e">
        <f aca="false">BJ181-BK181</f>
        <v>#NAME?</v>
      </c>
    </row>
    <row r="182" customFormat="false" ht="16.5" hidden="false" customHeight="false" outlineLevel="0" collapsed="false">
      <c r="A182" s="59" t="n">
        <f aca="false">A181+1</f>
        <v>176</v>
      </c>
      <c r="C182" s="59" t="n">
        <v>31</v>
      </c>
      <c r="D182" s="59" t="s">
        <v>170</v>
      </c>
      <c r="E182" s="125" t="n">
        <f aca="false">E181+C181</f>
        <v>41852</v>
      </c>
      <c r="F182" s="425" t="n">
        <f aca="false">F134</f>
        <v>22</v>
      </c>
      <c r="G182" s="433" t="n">
        <f aca="false">C182-F182</f>
        <v>9</v>
      </c>
      <c r="H182" s="433"/>
      <c r="I182" s="433"/>
      <c r="J182" s="59" t="n">
        <f aca="false">K183-K182</f>
        <v>31</v>
      </c>
      <c r="K182" s="478" t="n">
        <v>41852</v>
      </c>
      <c r="L182" s="490" t="n">
        <v>0.074151151430171</v>
      </c>
      <c r="M182" s="491" t="n">
        <v>0.064210675658542</v>
      </c>
      <c r="N182" s="480" t="n">
        <f aca="false">(1+L182/2)^(-2*((K182+$T$1)-$K$1)/365.25)</f>
        <v>0.347181628751256</v>
      </c>
      <c r="O182" s="127" t="n">
        <f aca="false">VLOOKUP(K182,Inflation!$B$8:$C$266,2)</f>
        <v>1.4780864626047</v>
      </c>
      <c r="P182" s="480"/>
      <c r="Q182" s="481" t="n">
        <f aca="false">VLOOKUP(K182,'Fuel Curve'!$B$11:$F$268,5)</f>
        <v>4.56793103448276</v>
      </c>
      <c r="R182" s="482" t="n">
        <f aca="false">VLOOKUP(K182,'Fuel Curve Simulation'!$B$12:$J$258,9)</f>
        <v>4.56793103448276</v>
      </c>
      <c r="S182" s="481" t="n">
        <f aca="false">(R182*$S$2)/1000</f>
        <v>43.7562113793104</v>
      </c>
      <c r="T182" s="483"/>
      <c r="V182" s="128" t="n">
        <f aca="false">VLOOKUP(K182,PJM_01212000!$A$7:$C$259,3)</f>
        <v>102.949996948242</v>
      </c>
      <c r="W182" s="128"/>
      <c r="X182" s="484" t="n">
        <f aca="false">'PJM Curve Simulation'!J182</f>
        <v>102.949996948242</v>
      </c>
      <c r="Y182" s="489"/>
      <c r="Z182" s="483"/>
      <c r="AA182" s="59" t="n">
        <f aca="false">AA181</f>
        <v>315</v>
      </c>
      <c r="AB182" s="425" t="n">
        <f aca="false">AA182*F182*16</f>
        <v>110880</v>
      </c>
      <c r="AC182" s="425" t="n">
        <f aca="false">VLOOKUP(K182,'Company Volumes'!$B$20:$C$259,2)</f>
        <v>34857.5240017573</v>
      </c>
      <c r="AD182" s="485" t="n">
        <f aca="false">IF(V182&gt;S182+($AM$5*1000*O182),AA182*F182*16,0)</f>
        <v>110880</v>
      </c>
      <c r="AE182" s="425"/>
      <c r="AF182" s="425" t="n">
        <v>0</v>
      </c>
      <c r="AG182" s="425" t="n">
        <v>0</v>
      </c>
      <c r="AH182" s="425" t="n">
        <f aca="false">X182*AD182</f>
        <v>11415095.6616211</v>
      </c>
      <c r="AI182" s="425" t="n">
        <f aca="false">SUM(AF182:AH182)</f>
        <v>11415095.6616211</v>
      </c>
      <c r="AJ182" s="425" t="n">
        <f aca="false">(AD182*1000*$S$2)/1000000*R182</f>
        <v>4851688.71773793</v>
      </c>
      <c r="AK182" s="425" t="n">
        <f aca="false">($AK$5*O182)/12</f>
        <v>73904.3231302349</v>
      </c>
      <c r="AL182" s="425" t="n">
        <f aca="false">($AL$5*O182)/12</f>
        <v>188456.023982099</v>
      </c>
      <c r="AM182" s="425" t="n">
        <f aca="false">AD182*$AM$5*1000*O182</f>
        <v>327780.453947218</v>
      </c>
      <c r="AN182" s="425" t="n">
        <f aca="false">(($AN$5*O182)/12)*$S$4</f>
        <v>168994.55222447</v>
      </c>
      <c r="AO182" s="425" t="n">
        <f aca="false">($AO$5*O182)/12</f>
        <v>36952.1615651174</v>
      </c>
      <c r="AP182" s="425" t="n">
        <f aca="false">AP181</f>
        <v>46500.5582152336</v>
      </c>
      <c r="AQ182" s="433" t="n">
        <f aca="false">SUM(AK182:AP182)</f>
        <v>842588.073064373</v>
      </c>
      <c r="AR182" s="425" t="n">
        <f aca="false">($AR$5*O182)/12</f>
        <v>18476.0807825587</v>
      </c>
      <c r="AS182" s="433" t="n">
        <f aca="false">AS181</f>
        <v>30387.755</v>
      </c>
      <c r="AT182" s="425" t="n">
        <f aca="false">(AI182/100)*$AT$6*O182</f>
        <v>101234.990200678</v>
      </c>
      <c r="AU182" s="433" t="n">
        <f aca="false">SUM(AJ182:AT182)-AQ182</f>
        <v>5844375.61678554</v>
      </c>
      <c r="AV182" s="433" t="n">
        <f aca="false">AI182-AU182</f>
        <v>5570720.04483555</v>
      </c>
      <c r="AW182" s="493"/>
      <c r="AX182" s="423" t="n">
        <f aca="false">K182</f>
        <v>41852</v>
      </c>
      <c r="BA182" s="126"/>
      <c r="BB182" s="481" t="n">
        <f aca="false">X182</f>
        <v>102.949996948242</v>
      </c>
      <c r="BC182" s="481" t="n">
        <f aca="false">'Curve Analysis - Base Case'!D174</f>
        <v>46.7123843045198</v>
      </c>
      <c r="BD182" s="479" t="n">
        <f aca="false">L182</f>
        <v>0.074151151430171</v>
      </c>
      <c r="BE182" s="479" t="n">
        <f aca="false">L182</f>
        <v>0.074151151430171</v>
      </c>
      <c r="BF182" s="489" t="n">
        <f aca="false">PJM_01212000!X182</f>
        <v>0.163335018278174</v>
      </c>
      <c r="BG182" s="425" t="n">
        <f aca="false">(AX182+15)-$K$1</f>
        <v>5278</v>
      </c>
      <c r="BH182" s="433" t="n">
        <f aca="false">AD182</f>
        <v>110880</v>
      </c>
      <c r="BJ182" s="486" t="e">
        <f aca="false">EURO(BB182,BC182,BD182,BE182,BF182,BG182,1,0)*BH182</f>
        <v>#NAME?</v>
      </c>
      <c r="BK182" s="433" t="n">
        <f aca="false">(AI182-AJ182)*N182</f>
        <v>2278694.31293466</v>
      </c>
      <c r="BM182" s="433" t="e">
        <f aca="false">BJ182-BK182</f>
        <v>#NAME?</v>
      </c>
    </row>
    <row r="183" customFormat="false" ht="16.5" hidden="false" customHeight="false" outlineLevel="0" collapsed="false">
      <c r="A183" s="59" t="n">
        <f aca="false">A182+1</f>
        <v>177</v>
      </c>
      <c r="C183" s="59" t="n">
        <v>30</v>
      </c>
      <c r="D183" s="59" t="s">
        <v>171</v>
      </c>
      <c r="E183" s="125" t="n">
        <f aca="false">E182+C182</f>
        <v>41883</v>
      </c>
      <c r="F183" s="425" t="n">
        <f aca="false">F135</f>
        <v>21</v>
      </c>
      <c r="G183" s="433" t="n">
        <f aca="false">C183-F183</f>
        <v>9</v>
      </c>
      <c r="H183" s="433"/>
      <c r="I183" s="433"/>
      <c r="J183" s="59" t="n">
        <f aca="false">K184-K183</f>
        <v>30</v>
      </c>
      <c r="K183" s="478" t="n">
        <v>41883</v>
      </c>
      <c r="L183" s="490" t="n">
        <v>0.074145977981727</v>
      </c>
      <c r="M183" s="491" t="n">
        <v>0.064222287873191</v>
      </c>
      <c r="N183" s="480" t="n">
        <f aca="false">(1+L183/2)^(-2*((K183+$T$1)-$K$1)/365.25)</f>
        <v>0.345067957743027</v>
      </c>
      <c r="O183" s="127" t="n">
        <f aca="false">VLOOKUP(K183,Inflation!$B$8:$C$266,2)</f>
        <v>1.4813716979199</v>
      </c>
      <c r="P183" s="480"/>
      <c r="Q183" s="481" t="n">
        <f aca="false">VLOOKUP(K183,'Fuel Curve'!$B$11:$F$268,5)</f>
        <v>4.66275862068966</v>
      </c>
      <c r="R183" s="482" t="n">
        <f aca="false">VLOOKUP(K183,'Fuel Curve Simulation'!$B$12:$J$258,9)</f>
        <v>4.66275862068966</v>
      </c>
      <c r="S183" s="481" t="n">
        <f aca="false">(R183*$S$2)/1000</f>
        <v>44.6645648275862</v>
      </c>
      <c r="T183" s="483"/>
      <c r="V183" s="128" t="n">
        <f aca="false">VLOOKUP(K183,PJM_01212000!$A$7:$C$259,3)</f>
        <v>38.4249984741211</v>
      </c>
      <c r="W183" s="128"/>
      <c r="X183" s="484" t="n">
        <f aca="false">'PJM Curve Simulation'!J183</f>
        <v>38.4249984741211</v>
      </c>
      <c r="Y183" s="489"/>
      <c r="Z183" s="483"/>
      <c r="AA183" s="59" t="n">
        <f aca="false">AA182</f>
        <v>315</v>
      </c>
      <c r="AB183" s="425" t="n">
        <f aca="false">AA183*F183*16</f>
        <v>105840</v>
      </c>
      <c r="AC183" s="425" t="n">
        <f aca="false">VLOOKUP(K183,'Company Volumes'!$B$20:$C$259,2)</f>
        <v>21368.2547837547</v>
      </c>
      <c r="AD183" s="485" t="n">
        <f aca="false">IF(V183&gt;S183+($AM$5*1000*O183),AA183*F183*16,0)</f>
        <v>0</v>
      </c>
      <c r="AE183" s="425"/>
      <c r="AF183" s="425" t="n">
        <v>0</v>
      </c>
      <c r="AG183" s="425" t="n">
        <v>0</v>
      </c>
      <c r="AH183" s="425" t="n">
        <f aca="false">X183*AD183</f>
        <v>0</v>
      </c>
      <c r="AI183" s="425" t="n">
        <f aca="false">SUM(AF183:AH183)</f>
        <v>0</v>
      </c>
      <c r="AJ183" s="425" t="n">
        <f aca="false">(AD183*1000*$S$2)/1000000*R183</f>
        <v>0</v>
      </c>
      <c r="AK183" s="425" t="n">
        <f aca="false">($AK$5*O183)/12</f>
        <v>74068.5848959951</v>
      </c>
      <c r="AL183" s="425" t="n">
        <f aca="false">($AL$5*O183)/12</f>
        <v>188874.891484788</v>
      </c>
      <c r="AM183" s="425" t="n">
        <f aca="false">AD183*$AM$5*1000*O183</f>
        <v>0</v>
      </c>
      <c r="AN183" s="425" t="n">
        <f aca="false">(($AN$5*O183)/12)*$S$4</f>
        <v>169370.164128842</v>
      </c>
      <c r="AO183" s="425" t="n">
        <f aca="false">($AO$5*O183)/12</f>
        <v>37034.2924479976</v>
      </c>
      <c r="AP183" s="425" t="n">
        <f aca="false">AP182</f>
        <v>46500.5582152336</v>
      </c>
      <c r="AQ183" s="433" t="n">
        <f aca="false">SUM(AK183:AP183)</f>
        <v>515848.491172856</v>
      </c>
      <c r="AR183" s="425" t="n">
        <f aca="false">($AR$5*O183)/12</f>
        <v>18517.1462239988</v>
      </c>
      <c r="AS183" s="433" t="n">
        <f aca="false">AS182</f>
        <v>30387.755</v>
      </c>
      <c r="AT183" s="425" t="n">
        <f aca="false">(AI183/100)*$AT$6*O183</f>
        <v>0</v>
      </c>
      <c r="AU183" s="433" t="n">
        <f aca="false">SUM(AJ183:AT183)-AQ183</f>
        <v>564753.392396855</v>
      </c>
      <c r="AV183" s="433" t="n">
        <f aca="false">AI183-AU183</f>
        <v>-564753.392396855</v>
      </c>
      <c r="AW183" s="493"/>
      <c r="AX183" s="423" t="n">
        <f aca="false">K183</f>
        <v>41883</v>
      </c>
      <c r="BA183" s="126"/>
      <c r="BB183" s="481" t="n">
        <f aca="false">X183</f>
        <v>38.4249984741211</v>
      </c>
      <c r="BC183" s="481" t="n">
        <f aca="false">'Curve Analysis - Base Case'!D175</f>
        <v>47.627308223426</v>
      </c>
      <c r="BD183" s="479" t="n">
        <f aca="false">L183</f>
        <v>0.074145977981727</v>
      </c>
      <c r="BE183" s="479" t="n">
        <f aca="false">L183</f>
        <v>0.074145977981727</v>
      </c>
      <c r="BF183" s="489" t="n">
        <f aca="false">PJM_01212000!X183</f>
        <v>0.104990369875778</v>
      </c>
      <c r="BG183" s="425" t="n">
        <f aca="false">(AX183+15)-$K$1</f>
        <v>5309</v>
      </c>
      <c r="BH183" s="433" t="n">
        <f aca="false">AD183</f>
        <v>0</v>
      </c>
      <c r="BJ183" s="486" t="e">
        <f aca="false">EURO(BB183,BC183,BD183,BE183,BF183,BG183,1,0)*BH183</f>
        <v>#NAME?</v>
      </c>
      <c r="BK183" s="433" t="n">
        <f aca="false">(AI183-AJ183)*N183</f>
        <v>0</v>
      </c>
      <c r="BM183" s="433" t="e">
        <f aca="false">BJ183-BK183</f>
        <v>#NAME?</v>
      </c>
    </row>
    <row r="184" customFormat="false" ht="16.5" hidden="false" customHeight="false" outlineLevel="0" collapsed="false">
      <c r="A184" s="59" t="n">
        <f aca="false">A183+1</f>
        <v>178</v>
      </c>
      <c r="C184" s="59" t="n">
        <v>31</v>
      </c>
      <c r="D184" s="59" t="s">
        <v>172</v>
      </c>
      <c r="E184" s="125" t="n">
        <f aca="false">E183+C183</f>
        <v>41913</v>
      </c>
      <c r="F184" s="425" t="n">
        <f aca="false">F136</f>
        <v>23</v>
      </c>
      <c r="G184" s="433" t="n">
        <f aca="false">C184-F184</f>
        <v>8</v>
      </c>
      <c r="H184" s="433"/>
      <c r="I184" s="433"/>
      <c r="J184" s="59" t="n">
        <f aca="false">K185-K184</f>
        <v>31</v>
      </c>
      <c r="K184" s="478" t="n">
        <v>41913</v>
      </c>
      <c r="L184" s="490" t="n">
        <v>0.074140971418726</v>
      </c>
      <c r="M184" s="491" t="n">
        <v>0.064233525501164</v>
      </c>
      <c r="N184" s="480" t="n">
        <f aca="false">(1+L184/2)^(-2*((K184+$T$1)-$K$1)/365.25)</f>
        <v>0.343034999352449</v>
      </c>
      <c r="O184" s="127" t="n">
        <f aca="false">VLOOKUP(K184,Inflation!$B$8:$C$266,2)</f>
        <v>1.48466423508879</v>
      </c>
      <c r="P184" s="480"/>
      <c r="Q184" s="481" t="n">
        <f aca="false">VLOOKUP(K184,'Fuel Curve'!$B$11:$F$268,5)</f>
        <v>4.75534482758621</v>
      </c>
      <c r="R184" s="482" t="n">
        <f aca="false">VLOOKUP(K184,'Fuel Curve Simulation'!$B$12:$J$258,9)</f>
        <v>4.75534482758621</v>
      </c>
      <c r="S184" s="481" t="n">
        <f aca="false">(R184*$S$2)/1000</f>
        <v>45.5514481034483</v>
      </c>
      <c r="T184" s="483"/>
      <c r="V184" s="128" t="n">
        <f aca="false">VLOOKUP(K184,PJM_01212000!$A$7:$C$259,3)</f>
        <v>31.0750003814697</v>
      </c>
      <c r="W184" s="128"/>
      <c r="X184" s="484" t="n">
        <f aca="false">'PJM Curve Simulation'!J184</f>
        <v>31.0750003814697</v>
      </c>
      <c r="Y184" s="489"/>
      <c r="Z184" s="483"/>
      <c r="AA184" s="59" t="n">
        <f aca="false">AA183</f>
        <v>315</v>
      </c>
      <c r="AB184" s="425" t="n">
        <f aca="false">AA184*F184*16</f>
        <v>115920</v>
      </c>
      <c r="AC184" s="425" t="n">
        <f aca="false">VLOOKUP(K184,'Company Volumes'!$B$20:$C$259,2)</f>
        <v>3645.73270857289</v>
      </c>
      <c r="AD184" s="485" t="n">
        <f aca="false">IF(V184&gt;S184+($AM$5*1000*O184),AA184*F184*16,0)</f>
        <v>0</v>
      </c>
      <c r="AE184" s="425"/>
      <c r="AF184" s="425" t="n">
        <v>0</v>
      </c>
      <c r="AG184" s="425" t="n">
        <v>0</v>
      </c>
      <c r="AH184" s="425" t="n">
        <f aca="false">X184*AD184</f>
        <v>0</v>
      </c>
      <c r="AI184" s="425" t="n">
        <f aca="false">SUM(AF184:AH184)</f>
        <v>0</v>
      </c>
      <c r="AJ184" s="425" t="n">
        <f aca="false">(AD184*1000*$S$2)/1000000*R184</f>
        <v>0</v>
      </c>
      <c r="AK184" s="425" t="n">
        <f aca="false">($AK$5*O184)/12</f>
        <v>74233.2117544393</v>
      </c>
      <c r="AL184" s="425" t="n">
        <f aca="false">($AL$5*O184)/12</f>
        <v>189294.68997382</v>
      </c>
      <c r="AM184" s="425" t="n">
        <f aca="false">AD184*$AM$5*1000*O184</f>
        <v>0</v>
      </c>
      <c r="AN184" s="425" t="n">
        <f aca="false">(($AN$5*O184)/12)*$S$4</f>
        <v>169746.610878485</v>
      </c>
      <c r="AO184" s="425" t="n">
        <f aca="false">($AO$5*O184)/12</f>
        <v>37116.6058772197</v>
      </c>
      <c r="AP184" s="425" t="n">
        <f aca="false">AP183</f>
        <v>46500.5582152336</v>
      </c>
      <c r="AQ184" s="433" t="n">
        <f aca="false">SUM(AK184:AP184)</f>
        <v>516891.676699198</v>
      </c>
      <c r="AR184" s="425" t="n">
        <f aca="false">($AR$5*O184)/12</f>
        <v>18558.3029386098</v>
      </c>
      <c r="AS184" s="433" t="n">
        <f aca="false">AS183</f>
        <v>30387.755</v>
      </c>
      <c r="AT184" s="425" t="n">
        <f aca="false">(AI184/100)*$AT$6*O184</f>
        <v>0</v>
      </c>
      <c r="AU184" s="433" t="n">
        <f aca="false">SUM(AJ184:AT184)-AQ184</f>
        <v>565837.734637807</v>
      </c>
      <c r="AV184" s="433" t="n">
        <f aca="false">AI184-AU184</f>
        <v>-565837.734637807</v>
      </c>
      <c r="AW184" s="493"/>
      <c r="AX184" s="423" t="n">
        <f aca="false">K184</f>
        <v>41913</v>
      </c>
      <c r="BA184" s="126"/>
      <c r="BB184" s="481" t="n">
        <f aca="false">X184</f>
        <v>31.0750003814697</v>
      </c>
      <c r="BC184" s="481" t="n">
        <f aca="false">'Curve Analysis - Base Case'!D176</f>
        <v>48.5207765736258</v>
      </c>
      <c r="BD184" s="479" t="n">
        <f aca="false">L184</f>
        <v>0.074140971418726</v>
      </c>
      <c r="BE184" s="479" t="n">
        <f aca="false">L184</f>
        <v>0.074140971418726</v>
      </c>
      <c r="BF184" s="489" t="n">
        <f aca="false">PJM_01212000!X184</f>
        <v>0.0742431901264429</v>
      </c>
      <c r="BG184" s="425" t="n">
        <f aca="false">(AX184+15)-$K$1</f>
        <v>5339</v>
      </c>
      <c r="BH184" s="433" t="n">
        <f aca="false">AD184</f>
        <v>0</v>
      </c>
      <c r="BJ184" s="486" t="e">
        <f aca="false">EURO(BB184,BC184,BD184,BE184,BF184,BG184,1,0)*BH184</f>
        <v>#NAME?</v>
      </c>
      <c r="BK184" s="433" t="n">
        <f aca="false">(AI184-AJ184)*N184</f>
        <v>0</v>
      </c>
      <c r="BM184" s="433" t="e">
        <f aca="false">BJ184-BK184</f>
        <v>#NAME?</v>
      </c>
    </row>
    <row r="185" customFormat="false" ht="16.5" hidden="false" customHeight="false" outlineLevel="0" collapsed="false">
      <c r="A185" s="59" t="n">
        <f aca="false">A184+1</f>
        <v>179</v>
      </c>
      <c r="C185" s="59" t="n">
        <v>30</v>
      </c>
      <c r="D185" s="59" t="s">
        <v>173</v>
      </c>
      <c r="E185" s="125" t="n">
        <f aca="false">E184+C184</f>
        <v>41944</v>
      </c>
      <c r="F185" s="425" t="n">
        <f aca="false">F137</f>
        <v>21</v>
      </c>
      <c r="G185" s="433" t="n">
        <f aca="false">C185-F185</f>
        <v>9</v>
      </c>
      <c r="H185" s="433"/>
      <c r="I185" s="433"/>
      <c r="J185" s="59" t="n">
        <f aca="false">K186-K185</f>
        <v>30</v>
      </c>
      <c r="K185" s="478" t="n">
        <v>41944</v>
      </c>
      <c r="L185" s="490" t="n">
        <v>0.0741357979703</v>
      </c>
      <c r="M185" s="491" t="n">
        <v>0.06424513771766</v>
      </c>
      <c r="N185" s="480" t="n">
        <f aca="false">(1+L185/2)^(-2*((K185+$T$1)-$K$1)/365.25)</f>
        <v>0.340947141599342</v>
      </c>
      <c r="O185" s="127" t="n">
        <f aca="false">VLOOKUP(K185,Inflation!$B$8:$C$266,2)</f>
        <v>1.48796409034065</v>
      </c>
      <c r="P185" s="480"/>
      <c r="Q185" s="481" t="n">
        <f aca="false">VLOOKUP(K185,'Fuel Curve'!$B$11:$F$268,5)</f>
        <v>4.80465517241379</v>
      </c>
      <c r="R185" s="482" t="n">
        <f aca="false">VLOOKUP(K185,'Fuel Curve Simulation'!$B$12:$J$258,9)</f>
        <v>4.80465517241379</v>
      </c>
      <c r="S185" s="481" t="n">
        <f aca="false">(R185*$S$2)/1000</f>
        <v>46.0237918965517</v>
      </c>
      <c r="T185" s="483"/>
      <c r="V185" s="128" t="n">
        <f aca="false">VLOOKUP(K185,PJM_01212000!$A$7:$C$259,3)</f>
        <v>30.7474990844727</v>
      </c>
      <c r="W185" s="128"/>
      <c r="X185" s="484" t="n">
        <f aca="false">'PJM Curve Simulation'!J185</f>
        <v>30.7474990844727</v>
      </c>
      <c r="Y185" s="489"/>
      <c r="Z185" s="483"/>
      <c r="AA185" s="59" t="n">
        <f aca="false">AA184</f>
        <v>315</v>
      </c>
      <c r="AB185" s="425" t="n">
        <f aca="false">AA185*F185*16</f>
        <v>105840</v>
      </c>
      <c r="AC185" s="425" t="n">
        <f aca="false">VLOOKUP(K185,'Company Volumes'!$B$20:$C$259,2)</f>
        <v>7981.57686988044</v>
      </c>
      <c r="AD185" s="485" t="n">
        <f aca="false">IF(V185&gt;S185+($AM$5*1000*O185),AA185*F185*16,0)</f>
        <v>0</v>
      </c>
      <c r="AE185" s="425"/>
      <c r="AF185" s="425" t="n">
        <v>0</v>
      </c>
      <c r="AG185" s="425" t="n">
        <v>0</v>
      </c>
      <c r="AH185" s="425" t="n">
        <f aca="false">X185*AD185</f>
        <v>0</v>
      </c>
      <c r="AI185" s="425" t="n">
        <f aca="false">SUM(AF185:AH185)</f>
        <v>0</v>
      </c>
      <c r="AJ185" s="425" t="n">
        <f aca="false">(AD185*1000*$S$2)/1000000*R185</f>
        <v>0</v>
      </c>
      <c r="AK185" s="425" t="n">
        <f aca="false">($AK$5*O185)/12</f>
        <v>74398.2045170326</v>
      </c>
      <c r="AL185" s="425" t="n">
        <f aca="false">($AL$5*O185)/12</f>
        <v>189715.421518433</v>
      </c>
      <c r="AM185" s="425" t="n">
        <f aca="false">AD185*$AM$5*1000*O185</f>
        <v>0</v>
      </c>
      <c r="AN185" s="425" t="n">
        <f aca="false">(($AN$5*O185)/12)*$S$4</f>
        <v>170123.894328948</v>
      </c>
      <c r="AO185" s="425" t="n">
        <f aca="false">($AO$5*O185)/12</f>
        <v>37199.1022585163</v>
      </c>
      <c r="AP185" s="425" t="n">
        <f aca="false">AP184</f>
        <v>46500.5582152336</v>
      </c>
      <c r="AQ185" s="433" t="n">
        <f aca="false">SUM(AK185:AP185)</f>
        <v>517937.180838163</v>
      </c>
      <c r="AR185" s="425" t="n">
        <f aca="false">($AR$5*O185)/12</f>
        <v>18599.5511292581</v>
      </c>
      <c r="AS185" s="433" t="n">
        <f aca="false">AS184</f>
        <v>30387.755</v>
      </c>
      <c r="AT185" s="425" t="n">
        <f aca="false">(AI185/100)*$AT$6*O185</f>
        <v>0</v>
      </c>
      <c r="AU185" s="433" t="n">
        <f aca="false">SUM(AJ185:AT185)-AQ185</f>
        <v>566924.486967421</v>
      </c>
      <c r="AV185" s="433" t="n">
        <f aca="false">AI185-AU185</f>
        <v>-566924.486967421</v>
      </c>
      <c r="AW185" s="493"/>
      <c r="AX185" s="423" t="n">
        <f aca="false">K185</f>
        <v>41944</v>
      </c>
      <c r="BA185" s="126"/>
      <c r="BB185" s="481" t="n">
        <f aca="false">X185</f>
        <v>30.7474990844727</v>
      </c>
      <c r="BC185" s="481" t="n">
        <f aca="false">'Curve Analysis - Base Case'!D177</f>
        <v>48.999720077233</v>
      </c>
      <c r="BD185" s="479" t="n">
        <f aca="false">L185</f>
        <v>0.0741357979703</v>
      </c>
      <c r="BE185" s="479" t="n">
        <f aca="false">L185</f>
        <v>0.0741357979703</v>
      </c>
      <c r="BF185" s="489" t="n">
        <f aca="false">PJM_01212000!X185</f>
        <v>0.0742431901264429</v>
      </c>
      <c r="BG185" s="425" t="n">
        <f aca="false">(AX185+15)-$K$1</f>
        <v>5370</v>
      </c>
      <c r="BH185" s="433" t="n">
        <f aca="false">AD185</f>
        <v>0</v>
      </c>
      <c r="BJ185" s="486" t="e">
        <f aca="false">EURO(BB185,BC185,BD185,BE185,BF185,BG185,1,0)*BH185</f>
        <v>#NAME?</v>
      </c>
      <c r="BK185" s="433" t="n">
        <f aca="false">(AI185-AJ185)*N185</f>
        <v>0</v>
      </c>
      <c r="BM185" s="433" t="e">
        <f aca="false">BJ185-BK185</f>
        <v>#NAME?</v>
      </c>
    </row>
    <row r="186" customFormat="false" ht="16.5" hidden="false" customHeight="false" outlineLevel="0" collapsed="false">
      <c r="A186" s="59" t="n">
        <f aca="false">A185+1</f>
        <v>180</v>
      </c>
      <c r="C186" s="59" t="n">
        <v>31</v>
      </c>
      <c r="D186" s="59" t="s">
        <v>174</v>
      </c>
      <c r="E186" s="125" t="n">
        <f aca="false">E185+C185</f>
        <v>41974</v>
      </c>
      <c r="F186" s="425" t="n">
        <f aca="false">F138</f>
        <v>22</v>
      </c>
      <c r="G186" s="433" t="n">
        <f aca="false">C186-F186</f>
        <v>9</v>
      </c>
      <c r="H186" s="433" t="n">
        <f aca="false">SUM(F175:G186)</f>
        <v>365</v>
      </c>
      <c r="I186" s="433"/>
      <c r="J186" s="59" t="n">
        <f aca="false">K187-K186</f>
        <v>31</v>
      </c>
      <c r="K186" s="478" t="n">
        <v>41974</v>
      </c>
      <c r="L186" s="490" t="n">
        <v>0.074130791407315</v>
      </c>
      <c r="M186" s="491" t="n">
        <v>0.064256375347421</v>
      </c>
      <c r="N186" s="480" t="n">
        <f aca="false">(1+L186/2)^(-2*((K186+$T$1)-$K$1)/365.25)</f>
        <v>0.338939007543146</v>
      </c>
      <c r="O186" s="127" t="n">
        <f aca="false">VLOOKUP(K186,Inflation!$B$8:$C$266,2)</f>
        <v>1.49127127994087</v>
      </c>
      <c r="P186" s="480"/>
      <c r="Q186" s="481" t="n">
        <f aca="false">VLOOKUP(K186,'Fuel Curve'!$B$11:$F$268,5)</f>
        <v>4.84741379310345</v>
      </c>
      <c r="R186" s="482" t="n">
        <f aca="false">VLOOKUP(K186,'Fuel Curve Simulation'!$B$12:$J$258,9)</f>
        <v>4.84741379310345</v>
      </c>
      <c r="S186" s="481" t="n">
        <f aca="false">(R186*$S$2)/1000</f>
        <v>46.4333767241379</v>
      </c>
      <c r="T186" s="483"/>
      <c r="V186" s="128" t="n">
        <f aca="false">VLOOKUP(K186,PJM_01212000!$A$7:$C$259,3)</f>
        <v>32.4999996185303</v>
      </c>
      <c r="W186" s="128"/>
      <c r="X186" s="484" t="n">
        <f aca="false">'PJM Curve Simulation'!J186</f>
        <v>32.4999996185303</v>
      </c>
      <c r="Y186" s="489"/>
      <c r="Z186" s="483"/>
      <c r="AA186" s="59" t="n">
        <f aca="false">AA185</f>
        <v>315</v>
      </c>
      <c r="AB186" s="425" t="n">
        <f aca="false">AA186*F186*16</f>
        <v>110880</v>
      </c>
      <c r="AC186" s="425" t="n">
        <f aca="false">VLOOKUP(K186,'Company Volumes'!$B$20:$C$259,2)</f>
        <v>7981.57686988044</v>
      </c>
      <c r="AD186" s="485" t="n">
        <f aca="false">IF(V186&gt;S186+($AM$5*1000*O186),AA186*F186*16,0)</f>
        <v>0</v>
      </c>
      <c r="AE186" s="425"/>
      <c r="AF186" s="425" t="n">
        <v>0</v>
      </c>
      <c r="AG186" s="425" t="n">
        <v>0</v>
      </c>
      <c r="AH186" s="425" t="n">
        <f aca="false">X186*AD186</f>
        <v>0</v>
      </c>
      <c r="AI186" s="425" t="n">
        <f aca="false">SUM(AF186:AH186)</f>
        <v>0</v>
      </c>
      <c r="AJ186" s="425" t="n">
        <f aca="false">(AD186*1000*$S$2)/1000000*R186</f>
        <v>0</v>
      </c>
      <c r="AK186" s="425" t="n">
        <f aca="false">($AK$5*O186)/12</f>
        <v>74563.5639970433</v>
      </c>
      <c r="AL186" s="425" t="n">
        <f aca="false">($AL$5*O186)/12</f>
        <v>190137.08819246</v>
      </c>
      <c r="AM186" s="425" t="n">
        <f aca="false">AD186*$AM$5*1000*O186</f>
        <v>0</v>
      </c>
      <c r="AN186" s="425" t="n">
        <f aca="false">(($AN$5*O186)/12)*$S$4</f>
        <v>170502.016339906</v>
      </c>
      <c r="AO186" s="425" t="n">
        <f aca="false">($AO$5*O186)/12</f>
        <v>37281.7819985216</v>
      </c>
      <c r="AP186" s="425" t="n">
        <f aca="false">AP185</f>
        <v>46500.5582152336</v>
      </c>
      <c r="AQ186" s="433" t="n">
        <f aca="false">SUM(AK186:AP186)</f>
        <v>518985.008743165</v>
      </c>
      <c r="AR186" s="425" t="n">
        <f aca="false">($AR$5*O186)/12</f>
        <v>18640.8909992608</v>
      </c>
      <c r="AS186" s="433" t="n">
        <f aca="false">AS185</f>
        <v>30387.755</v>
      </c>
      <c r="AT186" s="425" t="n">
        <f aca="false">(AI186/100)*$AT$6*O186</f>
        <v>0</v>
      </c>
      <c r="AU186" s="433" t="n">
        <f aca="false">SUM(AJ186:AT186)-AQ186</f>
        <v>568013.654742425</v>
      </c>
      <c r="AV186" s="433" t="n">
        <f aca="false">AI186-AU186</f>
        <v>-568013.654742425</v>
      </c>
      <c r="AW186" s="493"/>
      <c r="AX186" s="423" t="n">
        <f aca="false">K186</f>
        <v>41974</v>
      </c>
      <c r="AY186" s="425" t="n">
        <f aca="false">'Debt Amortization'!V8</f>
        <v>7065672.44825681</v>
      </c>
      <c r="AZ186" s="425" t="n">
        <f aca="false">AY186*N186</f>
        <v>2394832.00723712</v>
      </c>
      <c r="BA186" s="126"/>
      <c r="BB186" s="481" t="n">
        <f aca="false">X186</f>
        <v>32.4999996185303</v>
      </c>
      <c r="BC186" s="481" t="n">
        <f aca="false">'Curve Analysis - Base Case'!D178</f>
        <v>49.4159192840197</v>
      </c>
      <c r="BD186" s="479" t="n">
        <f aca="false">L186</f>
        <v>0.074130791407315</v>
      </c>
      <c r="BE186" s="479" t="n">
        <f aca="false">L186</f>
        <v>0.074130791407315</v>
      </c>
      <c r="BF186" s="489" t="n">
        <f aca="false">PJM_01212000!X186</f>
        <v>0.0742431901264429</v>
      </c>
      <c r="BG186" s="425" t="n">
        <f aca="false">(AX186+15)-$K$1</f>
        <v>5400</v>
      </c>
      <c r="BH186" s="433" t="n">
        <f aca="false">AD186</f>
        <v>0</v>
      </c>
      <c r="BJ186" s="486" t="e">
        <f aca="false">EURO(BB186,BC186,BD186,BE186,BF186,BG186,1,0)*BH186</f>
        <v>#NAME?</v>
      </c>
      <c r="BK186" s="433" t="n">
        <f aca="false">(AI186-AJ186)*N186</f>
        <v>0</v>
      </c>
      <c r="BM186" s="433" t="e">
        <f aca="false">BJ186-BK186</f>
        <v>#NAME?</v>
      </c>
    </row>
    <row r="187" customFormat="false" ht="16.5" hidden="false" customHeight="false" outlineLevel="0" collapsed="false">
      <c r="A187" s="59" t="n">
        <f aca="false">A186+1</f>
        <v>181</v>
      </c>
      <c r="C187" s="59" t="n">
        <v>31</v>
      </c>
      <c r="D187" s="59" t="s">
        <v>164</v>
      </c>
      <c r="E187" s="125" t="n">
        <f aca="false">E186+C186</f>
        <v>42005</v>
      </c>
      <c r="F187" s="425" t="n">
        <f aca="false">F139</f>
        <v>23</v>
      </c>
      <c r="G187" s="433" t="n">
        <f aca="false">C187-F187</f>
        <v>8</v>
      </c>
      <c r="H187" s="433"/>
      <c r="I187" s="433"/>
      <c r="J187" s="59" t="n">
        <f aca="false">K188-K187</f>
        <v>31</v>
      </c>
      <c r="K187" s="478" t="n">
        <v>42005</v>
      </c>
      <c r="L187" s="490" t="n">
        <v>0.074125617958907</v>
      </c>
      <c r="M187" s="491" t="n">
        <v>0.064267987565764</v>
      </c>
      <c r="N187" s="480" t="n">
        <f aca="false">(1+L187/2)^(-2*((K187+$T$1)-$K$1)/365.25)</f>
        <v>0.336876641194572</v>
      </c>
      <c r="O187" s="127" t="n">
        <f aca="false">VLOOKUP(K187,Inflation!$B$8:$C$266,2)</f>
        <v>1.49458582019095</v>
      </c>
      <c r="P187" s="480"/>
      <c r="Q187" s="481" t="n">
        <f aca="false">VLOOKUP(K187,'Fuel Curve'!$B$11:$F$268,5)</f>
        <v>4.79017241379311</v>
      </c>
      <c r="R187" s="482" t="n">
        <f aca="false">VLOOKUP(K187,'Fuel Curve Simulation'!$B$12:$J$258,9)</f>
        <v>4.79017241379311</v>
      </c>
      <c r="S187" s="481" t="n">
        <f aca="false">(R187*$S$2)/1000</f>
        <v>45.8850615517242</v>
      </c>
      <c r="T187" s="483"/>
      <c r="V187" s="128" t="n">
        <f aca="false">VLOOKUP(K187,PJM_01212000!$A$7:$C$259,3)</f>
        <v>41.0749984741211</v>
      </c>
      <c r="W187" s="128"/>
      <c r="X187" s="484" t="n">
        <f aca="false">'PJM Curve Simulation'!J187</f>
        <v>41.0749984741211</v>
      </c>
      <c r="Y187" s="489"/>
      <c r="Z187" s="483"/>
      <c r="AA187" s="59" t="n">
        <f aca="false">AA186</f>
        <v>315</v>
      </c>
      <c r="AB187" s="425" t="n">
        <f aca="false">AA187*F187*16</f>
        <v>115920</v>
      </c>
      <c r="AC187" s="425" t="n">
        <f aca="false">VLOOKUP(K187,'Company Volumes'!$B$20:$C$259,2)</f>
        <v>14630.4579680249</v>
      </c>
      <c r="AD187" s="485" t="n">
        <f aca="false">IF(V187&gt;S187+($AM$5*1000*O187),AA187*F187*16,0)</f>
        <v>0</v>
      </c>
      <c r="AE187" s="425"/>
      <c r="AF187" s="425" t="n">
        <v>0</v>
      </c>
      <c r="AG187" s="425" t="n">
        <v>0</v>
      </c>
      <c r="AH187" s="425" t="n">
        <f aca="false">X187*AD187</f>
        <v>0</v>
      </c>
      <c r="AI187" s="425" t="n">
        <f aca="false">SUM(AF187:AH187)</f>
        <v>0</v>
      </c>
      <c r="AJ187" s="425" t="n">
        <f aca="false">(AD187*1000*$S$2)/1000000*R187</f>
        <v>0</v>
      </c>
      <c r="AK187" s="425" t="n">
        <f aca="false">($AK$5*O187)/12</f>
        <v>74729.2910095476</v>
      </c>
      <c r="AL187" s="425" t="n">
        <f aca="false">($AL$5*O187)/12</f>
        <v>190559.692074347</v>
      </c>
      <c r="AM187" s="425" t="n">
        <f aca="false">AD187*$AM$5*1000*O187</f>
        <v>0</v>
      </c>
      <c r="AN187" s="425" t="n">
        <f aca="false">(($AN$5*O187)/12)*$S$4</f>
        <v>170880.978775166</v>
      </c>
      <c r="AO187" s="425" t="n">
        <f aca="false">($AO$5*O187)/12</f>
        <v>37364.6455047738</v>
      </c>
      <c r="AP187" s="425" t="n">
        <f aca="false">AP186</f>
        <v>46500.5582152336</v>
      </c>
      <c r="AQ187" s="433" t="n">
        <f aca="false">SUM(AK187:AP187)</f>
        <v>520035.165579067</v>
      </c>
      <c r="AR187" s="425" t="n">
        <f aca="false">($AR$5*O187)/12</f>
        <v>18682.3227523869</v>
      </c>
      <c r="AS187" s="433" t="n">
        <f aca="false">AS186</f>
        <v>30387.755</v>
      </c>
      <c r="AT187" s="425" t="n">
        <f aca="false">(AI187/100)*$AT$6*O187</f>
        <v>0</v>
      </c>
      <c r="AU187" s="433" t="n">
        <f aca="false">SUM(AJ187:AT187)-AQ187</f>
        <v>569105.243331454</v>
      </c>
      <c r="AV187" s="433" t="n">
        <f aca="false">AI187-AU187</f>
        <v>-569105.243331454</v>
      </c>
      <c r="AW187" s="493"/>
      <c r="AX187" s="423" t="n">
        <f aca="false">K187</f>
        <v>42005</v>
      </c>
      <c r="BA187" s="126"/>
      <c r="BB187" s="481" t="n">
        <f aca="false">X187</f>
        <v>41.0749984741211</v>
      </c>
      <c r="BC187" s="481" t="n">
        <f aca="false">'Curve Analysis - Base Case'!D179</f>
        <v>48.8742331921061</v>
      </c>
      <c r="BD187" s="479" t="n">
        <f aca="false">L187</f>
        <v>0.074125617958907</v>
      </c>
      <c r="BE187" s="479" t="n">
        <f aca="false">L187</f>
        <v>0.074125617958907</v>
      </c>
      <c r="BF187" s="489" t="n">
        <f aca="false">PJM_01212000!X187</f>
        <v>0.114037540034216</v>
      </c>
      <c r="BG187" s="425" t="n">
        <f aca="false">(AX187+15)-$K$1</f>
        <v>5431</v>
      </c>
      <c r="BH187" s="433" t="n">
        <f aca="false">AD187</f>
        <v>0</v>
      </c>
      <c r="BJ187" s="486" t="e">
        <f aca="false">EURO(BB187,BC187,BD187,BE187,BF187,BG187,1,0)*BH187</f>
        <v>#NAME?</v>
      </c>
      <c r="BK187" s="433" t="n">
        <f aca="false">(AI187-AJ187)*N187</f>
        <v>0</v>
      </c>
      <c r="BM187" s="433" t="e">
        <f aca="false">BJ187-BK187</f>
        <v>#NAME?</v>
      </c>
    </row>
    <row r="188" customFormat="false" ht="16.5" hidden="false" customHeight="false" outlineLevel="0" collapsed="false">
      <c r="A188" s="59" t="n">
        <f aca="false">A187+1</f>
        <v>182</v>
      </c>
      <c r="C188" s="59" t="n">
        <v>28</v>
      </c>
      <c r="D188" s="59" t="s">
        <v>165</v>
      </c>
      <c r="E188" s="125" t="n">
        <f aca="false">E187+C187</f>
        <v>42036</v>
      </c>
      <c r="F188" s="425" t="n">
        <f aca="false">F140</f>
        <v>20</v>
      </c>
      <c r="G188" s="433" t="n">
        <f aca="false">C188-F188</f>
        <v>8</v>
      </c>
      <c r="H188" s="433"/>
      <c r="I188" s="433"/>
      <c r="J188" s="59" t="n">
        <f aca="false">K189-K188</f>
        <v>28</v>
      </c>
      <c r="K188" s="478" t="n">
        <v>42036</v>
      </c>
      <c r="L188" s="490" t="n">
        <v>0.074120444510507</v>
      </c>
      <c r="M188" s="491" t="n">
        <v>0.064279599785047</v>
      </c>
      <c r="N188" s="480" t="n">
        <f aca="false">(1+L188/2)^(-2*((K188+$T$1)-$K$1)/365.25)</f>
        <v>0.33482710746448</v>
      </c>
      <c r="O188" s="127" t="n">
        <f aca="false">VLOOKUP(K188,Inflation!$B$8:$C$266,2)</f>
        <v>1.49790772742867</v>
      </c>
      <c r="P188" s="480"/>
      <c r="Q188" s="481" t="n">
        <f aca="false">VLOOKUP(K188,'Fuel Curve'!$B$11:$F$268,5)</f>
        <v>4.69103448275862</v>
      </c>
      <c r="R188" s="482" t="n">
        <f aca="false">VLOOKUP(K188,'Fuel Curve Simulation'!$B$12:$J$258,9)</f>
        <v>4.69103448275862</v>
      </c>
      <c r="S188" s="481" t="n">
        <f aca="false">(R188*$S$2)/1000</f>
        <v>44.9354193103448</v>
      </c>
      <c r="T188" s="483"/>
      <c r="V188" s="128" t="n">
        <f aca="false">VLOOKUP(K188,PJM_01212000!$A$7:$C$259,3)</f>
        <v>41.0749984741211</v>
      </c>
      <c r="W188" s="128"/>
      <c r="X188" s="484" t="n">
        <f aca="false">'PJM Curve Simulation'!J188</f>
        <v>41.0749984741211</v>
      </c>
      <c r="Y188" s="489"/>
      <c r="Z188" s="483"/>
      <c r="AA188" s="59" t="n">
        <f aca="false">AA187</f>
        <v>315</v>
      </c>
      <c r="AB188" s="425" t="n">
        <f aca="false">AA188*F188*16</f>
        <v>100800</v>
      </c>
      <c r="AC188" s="425" t="n">
        <f aca="false">VLOOKUP(K188,'Company Volumes'!$B$20:$C$259,2)</f>
        <v>450.066859364889</v>
      </c>
      <c r="AD188" s="485" t="n">
        <f aca="false">IF(V188&gt;S188+($AM$5*1000*O188),AA188*F188*16,0)</f>
        <v>0</v>
      </c>
      <c r="AE188" s="425"/>
      <c r="AF188" s="425" t="n">
        <v>0</v>
      </c>
      <c r="AG188" s="425" t="n">
        <v>0</v>
      </c>
      <c r="AH188" s="425" t="n">
        <f aca="false">X188*AD188</f>
        <v>0</v>
      </c>
      <c r="AI188" s="425" t="n">
        <f aca="false">SUM(AF188:AH188)</f>
        <v>0</v>
      </c>
      <c r="AJ188" s="425" t="n">
        <f aca="false">(AD188*1000*$S$2)/1000000*R188</f>
        <v>0</v>
      </c>
      <c r="AK188" s="425" t="n">
        <f aca="false">($AK$5*O188)/12</f>
        <v>74895.3863714334</v>
      </c>
      <c r="AL188" s="425" t="n">
        <f aca="false">($AL$5*O188)/12</f>
        <v>190983.235247155</v>
      </c>
      <c r="AM188" s="425" t="n">
        <f aca="false">AD188*$AM$5*1000*O188</f>
        <v>0</v>
      </c>
      <c r="AN188" s="425" t="n">
        <f aca="false">(($AN$5*O188)/12)*$S$4</f>
        <v>171260.783502678</v>
      </c>
      <c r="AO188" s="425" t="n">
        <f aca="false">($AO$5*O188)/12</f>
        <v>37447.6931857167</v>
      </c>
      <c r="AP188" s="425" t="n">
        <f aca="false">AP187</f>
        <v>46500.5582152336</v>
      </c>
      <c r="AQ188" s="433" t="n">
        <f aca="false">SUM(AK188:AP188)</f>
        <v>521087.656522217</v>
      </c>
      <c r="AR188" s="425" t="n">
        <f aca="false">($AR$5*O188)/12</f>
        <v>18723.8465928584</v>
      </c>
      <c r="AS188" s="433" t="n">
        <f aca="false">AS187</f>
        <v>30387.755</v>
      </c>
      <c r="AT188" s="425" t="n">
        <f aca="false">(AI188/100)*$AT$6*O188</f>
        <v>0</v>
      </c>
      <c r="AU188" s="433" t="n">
        <f aca="false">SUM(AJ188:AT188)-AQ188</f>
        <v>570199.258115075</v>
      </c>
      <c r="AV188" s="433" t="n">
        <f aca="false">AI188-AU188</f>
        <v>-570199.258115075</v>
      </c>
      <c r="AW188" s="493"/>
      <c r="AX188" s="423" t="n">
        <f aca="false">K188</f>
        <v>42036</v>
      </c>
      <c r="BA188" s="126"/>
      <c r="BB188" s="481" t="n">
        <f aca="false">X188</f>
        <v>41.0749984741211</v>
      </c>
      <c r="BC188" s="481" t="n">
        <f aca="false">'Curve Analysis - Base Case'!D180</f>
        <v>47.9312347652022</v>
      </c>
      <c r="BD188" s="479" t="n">
        <f aca="false">L188</f>
        <v>0.074120444510507</v>
      </c>
      <c r="BE188" s="479" t="n">
        <f aca="false">L188</f>
        <v>0.074120444510507</v>
      </c>
      <c r="BF188" s="489" t="n">
        <f aca="false">PJM_01212000!X188</f>
        <v>0.114037540034216</v>
      </c>
      <c r="BG188" s="425" t="n">
        <f aca="false">(AX188+15)-$K$1</f>
        <v>5462</v>
      </c>
      <c r="BH188" s="433" t="n">
        <f aca="false">AD188</f>
        <v>0</v>
      </c>
      <c r="BJ188" s="486" t="e">
        <f aca="false">EURO(BB188,BC188,BD188,BE188,BF188,BG188,1,0)*BH188</f>
        <v>#NAME?</v>
      </c>
      <c r="BK188" s="433" t="n">
        <f aca="false">(AI188-AJ188)*N188</f>
        <v>0</v>
      </c>
      <c r="BM188" s="433" t="e">
        <f aca="false">BJ188-BK188</f>
        <v>#NAME?</v>
      </c>
    </row>
    <row r="189" customFormat="false" ht="16.5" hidden="false" customHeight="false" outlineLevel="0" collapsed="false">
      <c r="A189" s="59" t="n">
        <f aca="false">A188+1</f>
        <v>183</v>
      </c>
      <c r="C189" s="59" t="n">
        <v>31</v>
      </c>
      <c r="D189" s="59" t="s">
        <v>166</v>
      </c>
      <c r="E189" s="125" t="n">
        <f aca="false">E188+C188</f>
        <v>42064</v>
      </c>
      <c r="F189" s="425" t="n">
        <f aca="false">F141</f>
        <v>21</v>
      </c>
      <c r="G189" s="433" t="n">
        <f aca="false">C189-F189</f>
        <v>10</v>
      </c>
      <c r="H189" s="433"/>
      <c r="I189" s="433"/>
      <c r="J189" s="59" t="n">
        <f aca="false">K190-K189</f>
        <v>31</v>
      </c>
      <c r="K189" s="478" t="n">
        <v>42064</v>
      </c>
      <c r="L189" s="490" t="n">
        <v>0.074115771718412</v>
      </c>
      <c r="M189" s="491" t="n">
        <v>0.06429008824198</v>
      </c>
      <c r="N189" s="480" t="n">
        <f aca="false">(1+L189/2)^(-2*((K189+$T$1)-$K$1)/365.25)</f>
        <v>0.332986877788253</v>
      </c>
      <c r="O189" s="127" t="n">
        <f aca="false">VLOOKUP(K189,Inflation!$B$8:$C$266,2)</f>
        <v>1.50123701802808</v>
      </c>
      <c r="P189" s="480"/>
      <c r="Q189" s="481" t="n">
        <f aca="false">VLOOKUP(K189,'Fuel Curve'!$B$11:$F$268,5)</f>
        <v>4.59396551724138</v>
      </c>
      <c r="R189" s="482" t="n">
        <f aca="false">VLOOKUP(K189,'Fuel Curve Simulation'!$B$12:$J$258,9)</f>
        <v>4.59396551724138</v>
      </c>
      <c r="S189" s="481" t="n">
        <f aca="false">(R189*$S$2)/1000</f>
        <v>44.0055956896552</v>
      </c>
      <c r="T189" s="483"/>
      <c r="V189" s="128" t="n">
        <f aca="false">VLOOKUP(K189,PJM_01212000!$A$7:$C$259,3)</f>
        <v>30.8000007629395</v>
      </c>
      <c r="W189" s="128"/>
      <c r="X189" s="484" t="n">
        <f aca="false">'PJM Curve Simulation'!J189</f>
        <v>30.8000007629395</v>
      </c>
      <c r="Y189" s="489"/>
      <c r="Z189" s="483"/>
      <c r="AA189" s="59" t="n">
        <f aca="false">AA188</f>
        <v>315</v>
      </c>
      <c r="AB189" s="425" t="n">
        <f aca="false">AA189*F189*16</f>
        <v>105840</v>
      </c>
      <c r="AC189" s="425" t="n">
        <f aca="false">VLOOKUP(K189,'Company Volumes'!$B$20:$C$259,2)</f>
        <v>450.066859364889</v>
      </c>
      <c r="AD189" s="485" t="n">
        <f aca="false">IF(V189&gt;S189+($AM$5*1000*O189),AA189*F189*16,0)</f>
        <v>0</v>
      </c>
      <c r="AE189" s="425"/>
      <c r="AF189" s="425" t="n">
        <v>0</v>
      </c>
      <c r="AG189" s="425" t="n">
        <v>0</v>
      </c>
      <c r="AH189" s="425" t="n">
        <f aca="false">X189*AD189</f>
        <v>0</v>
      </c>
      <c r="AI189" s="425" t="n">
        <f aca="false">SUM(AF189:AH189)</f>
        <v>0</v>
      </c>
      <c r="AJ189" s="425" t="n">
        <f aca="false">(AD189*1000*$S$2)/1000000*R189</f>
        <v>0</v>
      </c>
      <c r="AK189" s="425" t="n">
        <f aca="false">($AK$5*O189)/12</f>
        <v>75061.850901404</v>
      </c>
      <c r="AL189" s="425" t="n">
        <f aca="false">($AL$5*O189)/12</f>
        <v>191407.71979858</v>
      </c>
      <c r="AM189" s="425" t="n">
        <f aca="false">AD189*$AM$5*1000*O189</f>
        <v>0</v>
      </c>
      <c r="AN189" s="425" t="n">
        <f aca="false">(($AN$5*O189)/12)*$S$4</f>
        <v>171641.432394544</v>
      </c>
      <c r="AO189" s="425" t="n">
        <f aca="false">($AO$5*O189)/12</f>
        <v>37530.925450702</v>
      </c>
      <c r="AP189" s="425" t="n">
        <f aca="false">AP188</f>
        <v>46500.5582152336</v>
      </c>
      <c r="AQ189" s="433" t="n">
        <f aca="false">SUM(AK189:AP189)</f>
        <v>522142.486760464</v>
      </c>
      <c r="AR189" s="425" t="n">
        <f aca="false">($AR$5*O189)/12</f>
        <v>18765.462725351</v>
      </c>
      <c r="AS189" s="433" t="n">
        <f aca="false">AS188</f>
        <v>30387.755</v>
      </c>
      <c r="AT189" s="425" t="n">
        <f aca="false">(AI189/100)*$AT$6*O189</f>
        <v>0</v>
      </c>
      <c r="AU189" s="433" t="n">
        <f aca="false">SUM(AJ189:AT189)-AQ189</f>
        <v>571295.704485815</v>
      </c>
      <c r="AV189" s="433" t="n">
        <f aca="false">AI189-AU189</f>
        <v>-571295.704485815</v>
      </c>
      <c r="AW189" s="493"/>
      <c r="AX189" s="423" t="n">
        <f aca="false">K189</f>
        <v>42064</v>
      </c>
      <c r="BA189" s="126"/>
      <c r="BB189" s="481" t="n">
        <f aca="false">X189</f>
        <v>30.8000007629395</v>
      </c>
      <c r="BC189" s="481" t="n">
        <f aca="false">'Curve Analysis - Base Case'!D181</f>
        <v>47.0080697257113</v>
      </c>
      <c r="BD189" s="479" t="n">
        <f aca="false">L189</f>
        <v>0.074115771718412</v>
      </c>
      <c r="BE189" s="479" t="n">
        <f aca="false">L189</f>
        <v>0.074115771718412</v>
      </c>
      <c r="BF189" s="489" t="n">
        <f aca="false">PJM_01212000!X189</f>
        <v>0.0950312833618469</v>
      </c>
      <c r="BG189" s="425" t="n">
        <f aca="false">(AX189+15)-$K$1</f>
        <v>5490</v>
      </c>
      <c r="BH189" s="433" t="n">
        <f aca="false">AD189</f>
        <v>0</v>
      </c>
      <c r="BJ189" s="486" t="e">
        <f aca="false">EURO(BB189,BC189,BD189,BE189,BF189,BG189,1,0)*BH189</f>
        <v>#NAME?</v>
      </c>
      <c r="BK189" s="433" t="n">
        <f aca="false">(AI189-AJ189)*N189</f>
        <v>0</v>
      </c>
      <c r="BM189" s="433" t="e">
        <f aca="false">BJ189-BK189</f>
        <v>#NAME?</v>
      </c>
    </row>
    <row r="190" customFormat="false" ht="16.5" hidden="false" customHeight="false" outlineLevel="0" collapsed="false">
      <c r="A190" s="59" t="n">
        <f aca="false">A189+1</f>
        <v>184</v>
      </c>
      <c r="C190" s="59" t="n">
        <v>30</v>
      </c>
      <c r="D190" s="59" t="s">
        <v>167</v>
      </c>
      <c r="E190" s="125" t="n">
        <f aca="false">E189+C189</f>
        <v>42095</v>
      </c>
      <c r="F190" s="425" t="n">
        <f aca="false">F142</f>
        <v>22</v>
      </c>
      <c r="G190" s="433" t="n">
        <f aca="false">C190-F190</f>
        <v>8</v>
      </c>
      <c r="H190" s="433"/>
      <c r="I190" s="433"/>
      <c r="J190" s="59" t="n">
        <f aca="false">K191-K190</f>
        <v>30</v>
      </c>
      <c r="K190" s="478" t="n">
        <v>42095</v>
      </c>
      <c r="L190" s="490" t="n">
        <v>0.074110598270029</v>
      </c>
      <c r="M190" s="491" t="n">
        <v>0.06430170046305</v>
      </c>
      <c r="N190" s="480" t="n">
        <f aca="false">(1+L190/2)^(-2*((K190+$T$1)-$K$1)/365.25)</f>
        <v>0.330961542613379</v>
      </c>
      <c r="O190" s="127" t="n">
        <f aca="false">VLOOKUP(K190,Inflation!$B$8:$C$266,2)</f>
        <v>1.50457370839965</v>
      </c>
      <c r="P190" s="480"/>
      <c r="Q190" s="481" t="n">
        <f aca="false">VLOOKUP(K190,'Fuel Curve'!$B$11:$F$268,5)</f>
        <v>4.49396551724138</v>
      </c>
      <c r="R190" s="482" t="n">
        <f aca="false">VLOOKUP(K190,'Fuel Curve Simulation'!$B$12:$J$258,9)</f>
        <v>4.49396551724138</v>
      </c>
      <c r="S190" s="481" t="n">
        <f aca="false">(R190*$S$2)/1000</f>
        <v>43.0476956896552</v>
      </c>
      <c r="T190" s="483"/>
      <c r="V190" s="128" t="n">
        <f aca="false">VLOOKUP(K190,PJM_01212000!$A$7:$C$259,3)</f>
        <v>30.5750007629395</v>
      </c>
      <c r="W190" s="128"/>
      <c r="X190" s="484" t="n">
        <f aca="false">'PJM Curve Simulation'!J190</f>
        <v>30.5750007629395</v>
      </c>
      <c r="Y190" s="489"/>
      <c r="Z190" s="483"/>
      <c r="AA190" s="59" t="n">
        <f aca="false">AA189</f>
        <v>315</v>
      </c>
      <c r="AB190" s="425" t="n">
        <f aca="false">AA190*F190*16</f>
        <v>110880</v>
      </c>
      <c r="AC190" s="425" t="n">
        <f aca="false">VLOOKUP(K190,'Company Volumes'!$B$20:$C$259,2)</f>
        <v>7389.92263650044</v>
      </c>
      <c r="AD190" s="485" t="n">
        <f aca="false">IF(V190&gt;S190+($AM$5*1000*O190),AA190*F190*16,0)</f>
        <v>0</v>
      </c>
      <c r="AE190" s="425"/>
      <c r="AF190" s="425" t="n">
        <v>0</v>
      </c>
      <c r="AG190" s="425" t="n">
        <v>0</v>
      </c>
      <c r="AH190" s="425" t="n">
        <f aca="false">X190*AD190</f>
        <v>0</v>
      </c>
      <c r="AI190" s="425" t="n">
        <f aca="false">SUM(AF190:AH190)</f>
        <v>0</v>
      </c>
      <c r="AJ190" s="425" t="n">
        <f aca="false">(AD190*1000*$S$2)/1000000*R190</f>
        <v>0</v>
      </c>
      <c r="AK190" s="425" t="n">
        <f aca="false">($AK$5*O190)/12</f>
        <v>75228.6854199824</v>
      </c>
      <c r="AL190" s="425" t="n">
        <f aca="false">($AL$5*O190)/12</f>
        <v>191833.147820955</v>
      </c>
      <c r="AM190" s="425" t="n">
        <f aca="false">AD190*$AM$5*1000*O190</f>
        <v>0</v>
      </c>
      <c r="AN190" s="425" t="n">
        <f aca="false">(($AN$5*O190)/12)*$S$4</f>
        <v>172022.927327026</v>
      </c>
      <c r="AO190" s="425" t="n">
        <f aca="false">($AO$5*O190)/12</f>
        <v>37614.3427099912</v>
      </c>
      <c r="AP190" s="425" t="n">
        <f aca="false">AP189</f>
        <v>46500.5582152336</v>
      </c>
      <c r="AQ190" s="433" t="n">
        <f aca="false">SUM(AK190:AP190)</f>
        <v>523199.661493189</v>
      </c>
      <c r="AR190" s="425" t="n">
        <f aca="false">($AR$5*O190)/12</f>
        <v>18807.1713549956</v>
      </c>
      <c r="AS190" s="433" t="n">
        <f aca="false">AS189</f>
        <v>30387.755</v>
      </c>
      <c r="AT190" s="425" t="n">
        <f aca="false">(AI190/100)*$AT$6*O190</f>
        <v>0</v>
      </c>
      <c r="AU190" s="433" t="n">
        <f aca="false">SUM(AJ190:AT190)-AQ190</f>
        <v>572394.587848184</v>
      </c>
      <c r="AV190" s="433" t="n">
        <f aca="false">AI190-AU190</f>
        <v>-572394.587848184</v>
      </c>
      <c r="AW190" s="493"/>
      <c r="AX190" s="423" t="n">
        <f aca="false">K190</f>
        <v>42095</v>
      </c>
      <c r="BA190" s="126"/>
      <c r="BB190" s="481" t="n">
        <f aca="false">X190</f>
        <v>30.5750007629395</v>
      </c>
      <c r="BC190" s="481" t="n">
        <f aca="false">'Curve Analysis - Base Case'!D182</f>
        <v>46.0568431064545</v>
      </c>
      <c r="BD190" s="479" t="n">
        <f aca="false">L190</f>
        <v>0.074110598270029</v>
      </c>
      <c r="BE190" s="479" t="n">
        <f aca="false">L190</f>
        <v>0.074110598270029</v>
      </c>
      <c r="BF190" s="489" t="n">
        <f aca="false">PJM_01212000!X190</f>
        <v>0.0902797191937545</v>
      </c>
      <c r="BG190" s="425" t="n">
        <f aca="false">(AX190+15)-$K$1</f>
        <v>5521</v>
      </c>
      <c r="BH190" s="433" t="n">
        <f aca="false">AD190</f>
        <v>0</v>
      </c>
      <c r="BJ190" s="486" t="e">
        <f aca="false">EURO(BB190,BC190,BD190,BE190,BF190,BG190,1,0)*BH190</f>
        <v>#NAME?</v>
      </c>
      <c r="BK190" s="433" t="n">
        <f aca="false">(AI190-AJ190)*N190</f>
        <v>0</v>
      </c>
      <c r="BM190" s="433" t="e">
        <f aca="false">BJ190-BK190</f>
        <v>#NAME?</v>
      </c>
    </row>
    <row r="191" customFormat="false" ht="16.5" hidden="false" customHeight="false" outlineLevel="0" collapsed="false">
      <c r="A191" s="59" t="n">
        <f aca="false">A190+1</f>
        <v>185</v>
      </c>
      <c r="C191" s="59" t="n">
        <v>31</v>
      </c>
      <c r="D191" s="59" t="s">
        <v>29</v>
      </c>
      <c r="E191" s="125" t="n">
        <f aca="false">E190+C190</f>
        <v>42125</v>
      </c>
      <c r="F191" s="425" t="n">
        <f aca="false">F143</f>
        <v>22</v>
      </c>
      <c r="G191" s="433" t="n">
        <f aca="false">C191-F191</f>
        <v>9</v>
      </c>
      <c r="H191" s="433"/>
      <c r="I191" s="433"/>
      <c r="J191" s="59" t="n">
        <f aca="false">K192-K191</f>
        <v>31</v>
      </c>
      <c r="K191" s="478" t="n">
        <v>42125</v>
      </c>
      <c r="L191" s="490" t="n">
        <v>0.074105591707086</v>
      </c>
      <c r="M191" s="491" t="n">
        <v>0.064312938097237</v>
      </c>
      <c r="N191" s="480" t="n">
        <f aca="false">(1+L191/2)^(-2*((K191+$T$1)-$K$1)/365.25)</f>
        <v>0.329013536022591</v>
      </c>
      <c r="O191" s="127" t="n">
        <f aca="false">VLOOKUP(K191,Inflation!$B$8:$C$266,2)</f>
        <v>1.50791781499031</v>
      </c>
      <c r="P191" s="480"/>
      <c r="Q191" s="481" t="n">
        <f aca="false">VLOOKUP(K191,'Fuel Curve'!$B$11:$F$268,5)</f>
        <v>4.42672413793104</v>
      </c>
      <c r="R191" s="482" t="n">
        <f aca="false">VLOOKUP(K191,'Fuel Curve Simulation'!$B$12:$J$258,9)</f>
        <v>4.42672413793104</v>
      </c>
      <c r="S191" s="481" t="n">
        <f aca="false">(R191*$S$2)/1000</f>
        <v>42.4035905172414</v>
      </c>
      <c r="T191" s="483"/>
      <c r="V191" s="128" t="n">
        <f aca="false">VLOOKUP(K191,PJM_01212000!$A$7:$C$259,3)</f>
        <v>38.575</v>
      </c>
      <c r="W191" s="128"/>
      <c r="X191" s="484" t="n">
        <f aca="false">'PJM Curve Simulation'!J191</f>
        <v>38.575</v>
      </c>
      <c r="Y191" s="489"/>
      <c r="Z191" s="483"/>
      <c r="AA191" s="59" t="n">
        <f aca="false">AA190</f>
        <v>315</v>
      </c>
      <c r="AB191" s="425" t="n">
        <f aca="false">AA191*F191*16</f>
        <v>110880</v>
      </c>
      <c r="AC191" s="425" t="n">
        <f aca="false">VLOOKUP(K191,'Company Volumes'!$B$20:$C$259,2)</f>
        <v>16992.5387319987</v>
      </c>
      <c r="AD191" s="485" t="n">
        <f aca="false">IF(V191&gt;S191+($AM$5*1000*O191),AA191*F191*16,0)</f>
        <v>0</v>
      </c>
      <c r="AE191" s="425"/>
      <c r="AF191" s="425" t="n">
        <v>0</v>
      </c>
      <c r="AG191" s="425" t="n">
        <v>0</v>
      </c>
      <c r="AH191" s="425" t="n">
        <f aca="false">X191*AD191</f>
        <v>0</v>
      </c>
      <c r="AI191" s="425" t="n">
        <f aca="false">SUM(AF191:AH191)</f>
        <v>0</v>
      </c>
      <c r="AJ191" s="425" t="n">
        <f aca="false">(AD191*1000*$S$2)/1000000*R191</f>
        <v>0</v>
      </c>
      <c r="AK191" s="425" t="n">
        <f aca="false">($AK$5*O191)/12</f>
        <v>75395.8907495155</v>
      </c>
      <c r="AL191" s="425" t="n">
        <f aca="false">($AL$5*O191)/12</f>
        <v>192259.521411264</v>
      </c>
      <c r="AM191" s="425" t="n">
        <f aca="false">AD191*$AM$5*1000*O191</f>
        <v>0</v>
      </c>
      <c r="AN191" s="425" t="n">
        <f aca="false">(($AN$5*O191)/12)*$S$4</f>
        <v>172405.270180559</v>
      </c>
      <c r="AO191" s="425" t="n">
        <f aca="false">($AO$5*O191)/12</f>
        <v>37697.9453747577</v>
      </c>
      <c r="AP191" s="425" t="n">
        <f aca="false">AP190</f>
        <v>46500.5582152336</v>
      </c>
      <c r="AQ191" s="433" t="n">
        <f aca="false">SUM(AK191:AP191)</f>
        <v>524259.18593133</v>
      </c>
      <c r="AR191" s="425" t="n">
        <f aca="false">($AR$5*O191)/12</f>
        <v>18848.9726873789</v>
      </c>
      <c r="AS191" s="433" t="n">
        <f aca="false">AS190</f>
        <v>30387.755</v>
      </c>
      <c r="AT191" s="425" t="n">
        <f aca="false">(AI191/100)*$AT$6*O191</f>
        <v>0</v>
      </c>
      <c r="AU191" s="433" t="n">
        <f aca="false">SUM(AJ191:AT191)-AQ191</f>
        <v>573495.913618709</v>
      </c>
      <c r="AV191" s="433" t="n">
        <f aca="false">AI191-AU191</f>
        <v>-573495.913618709</v>
      </c>
      <c r="AW191" s="493"/>
      <c r="AX191" s="423" t="n">
        <f aca="false">K191</f>
        <v>42125</v>
      </c>
      <c r="BA191" s="126"/>
      <c r="BB191" s="481" t="n">
        <f aca="false">X191</f>
        <v>38.575</v>
      </c>
      <c r="BC191" s="481" t="n">
        <f aca="false">'Curve Analysis - Base Case'!D183</f>
        <v>45.419426147222</v>
      </c>
      <c r="BD191" s="479" t="n">
        <f aca="false">L191</f>
        <v>0.074105591707086</v>
      </c>
      <c r="BE191" s="479" t="n">
        <f aca="false">L191</f>
        <v>0.074105591707086</v>
      </c>
      <c r="BF191" s="489" t="n">
        <f aca="false">PJM_01212000!X191</f>
        <v>0.0997828475299392</v>
      </c>
      <c r="BG191" s="425" t="n">
        <f aca="false">(AX191+15)-$K$1</f>
        <v>5551</v>
      </c>
      <c r="BH191" s="433" t="n">
        <f aca="false">AD191</f>
        <v>0</v>
      </c>
      <c r="BJ191" s="486" t="e">
        <f aca="false">EURO(BB191,BC191,BD191,BE191,BF191,BG191,1,0)*BH191</f>
        <v>#NAME?</v>
      </c>
      <c r="BK191" s="433" t="n">
        <f aca="false">(AI191-AJ191)*N191</f>
        <v>0</v>
      </c>
      <c r="BM191" s="433" t="e">
        <f aca="false">BJ191-BK191</f>
        <v>#NAME?</v>
      </c>
    </row>
    <row r="192" customFormat="false" ht="16.5" hidden="false" customHeight="false" outlineLevel="0" collapsed="false">
      <c r="A192" s="59" t="n">
        <f aca="false">A191+1</f>
        <v>186</v>
      </c>
      <c r="C192" s="59" t="n">
        <v>30</v>
      </c>
      <c r="D192" s="59" t="s">
        <v>168</v>
      </c>
      <c r="E192" s="125" t="n">
        <f aca="false">E191+C191</f>
        <v>42156</v>
      </c>
      <c r="F192" s="425" t="n">
        <f aca="false">F144</f>
        <v>21</v>
      </c>
      <c r="G192" s="433" t="n">
        <f aca="false">C192-F192</f>
        <v>9</v>
      </c>
      <c r="H192" s="433"/>
      <c r="I192" s="433"/>
      <c r="J192" s="59" t="n">
        <f aca="false">K193-K192</f>
        <v>30</v>
      </c>
      <c r="K192" s="478" t="n">
        <v>42156</v>
      </c>
      <c r="L192" s="490" t="n">
        <v>0.07410041825872</v>
      </c>
      <c r="M192" s="491" t="n">
        <v>0.064324550320154</v>
      </c>
      <c r="N192" s="480" t="n">
        <f aca="false">(1+L192/2)^(-2*((K192+$T$1)-$K$1)/365.25)</f>
        <v>0.327012913029758</v>
      </c>
      <c r="O192" s="127" t="n">
        <f aca="false">VLOOKUP(K192,Inflation!$B$8:$C$266,2)</f>
        <v>1.51126935428355</v>
      </c>
      <c r="P192" s="480"/>
      <c r="Q192" s="481" t="n">
        <f aca="false">VLOOKUP(K192,'Fuel Curve'!$B$11:$F$268,5)</f>
        <v>4.42017241379311</v>
      </c>
      <c r="R192" s="482" t="n">
        <f aca="false">VLOOKUP(K192,'Fuel Curve Simulation'!$B$12:$J$258,9)</f>
        <v>4.42017241379311</v>
      </c>
      <c r="S192" s="481" t="n">
        <f aca="false">(R192*$S$2)/1000</f>
        <v>42.3408315517242</v>
      </c>
      <c r="T192" s="483"/>
      <c r="V192" s="128" t="n">
        <f aca="false">VLOOKUP(K192,PJM_01212000!$A$7:$C$259,3)</f>
        <v>66.0999984741211</v>
      </c>
      <c r="W192" s="128"/>
      <c r="X192" s="484" t="n">
        <f aca="false">'PJM Curve Simulation'!J192</f>
        <v>66.0999984741211</v>
      </c>
      <c r="Y192" s="489"/>
      <c r="Z192" s="483"/>
      <c r="AA192" s="59" t="n">
        <f aca="false">AA191</f>
        <v>315</v>
      </c>
      <c r="AB192" s="425" t="n">
        <f aca="false">AA192*F192*16</f>
        <v>105840</v>
      </c>
      <c r="AC192" s="425" t="n">
        <f aca="false">VLOOKUP(K192,'Company Volumes'!$B$20:$C$259,2)</f>
        <v>33305.3653922391</v>
      </c>
      <c r="AD192" s="485" t="n">
        <f aca="false">IF(V192&gt;S192+($AM$5*1000*O192),AA192*F192*16,0)</f>
        <v>105840</v>
      </c>
      <c r="AE192" s="425"/>
      <c r="AF192" s="425" t="n">
        <v>0</v>
      </c>
      <c r="AG192" s="425" t="n">
        <v>0</v>
      </c>
      <c r="AH192" s="425" t="n">
        <f aca="false">X192*AD192</f>
        <v>6996023.83850098</v>
      </c>
      <c r="AI192" s="425" t="n">
        <f aca="false">SUM(AF192:AH192)</f>
        <v>6996023.83850098</v>
      </c>
      <c r="AJ192" s="425" t="n">
        <f aca="false">(AD192*1000*$S$2)/1000000*R192</f>
        <v>4481353.61143448</v>
      </c>
      <c r="AK192" s="425" t="n">
        <f aca="false">($AK$5*O192)/12</f>
        <v>75563.4677141777</v>
      </c>
      <c r="AL192" s="425" t="n">
        <f aca="false">($AL$5*O192)/12</f>
        <v>192686.842671153</v>
      </c>
      <c r="AM192" s="425" t="n">
        <f aca="false">AD192*$AM$5*1000*O192</f>
        <v>319905.496914743</v>
      </c>
      <c r="AN192" s="425" t="n">
        <f aca="false">(($AN$5*O192)/12)*$S$4</f>
        <v>172788.462839753</v>
      </c>
      <c r="AO192" s="425" t="n">
        <f aca="false">($AO$5*O192)/12</f>
        <v>37781.7338570889</v>
      </c>
      <c r="AP192" s="425" t="n">
        <f aca="false">AP191</f>
        <v>46500.5582152336</v>
      </c>
      <c r="AQ192" s="433" t="n">
        <f aca="false">SUM(AK192:AP192)</f>
        <v>845226.562212149</v>
      </c>
      <c r="AR192" s="425" t="n">
        <f aca="false">($AR$5*O192)/12</f>
        <v>18890.8669285444</v>
      </c>
      <c r="AS192" s="433" t="n">
        <f aca="false">AS191</f>
        <v>30387.755</v>
      </c>
      <c r="AT192" s="425" t="n">
        <f aca="false">(AI192/100)*$AT$6*O192</f>
        <v>63437.2585737824</v>
      </c>
      <c r="AU192" s="433" t="n">
        <f aca="false">SUM(AJ192:AT192)-AQ192</f>
        <v>5439296.05414896</v>
      </c>
      <c r="AV192" s="433" t="n">
        <f aca="false">AI192-AU192</f>
        <v>1556727.78435202</v>
      </c>
      <c r="AW192" s="493"/>
      <c r="AX192" s="423" t="n">
        <f aca="false">K192</f>
        <v>42156</v>
      </c>
      <c r="BA192" s="126"/>
      <c r="BB192" s="481" t="n">
        <f aca="false">X192</f>
        <v>66.0999984741211</v>
      </c>
      <c r="BC192" s="481" t="n">
        <f aca="false">'Curve Analysis - Base Case'!D184</f>
        <v>45.3633702602913</v>
      </c>
      <c r="BD192" s="479" t="n">
        <f aca="false">L192</f>
        <v>0.07410041825872</v>
      </c>
      <c r="BE192" s="479" t="n">
        <f aca="false">L192</f>
        <v>0.07410041825872</v>
      </c>
      <c r="BF192" s="489" t="n">
        <f aca="false">PJM_01212000!X192</f>
        <v>0.128292232538493</v>
      </c>
      <c r="BG192" s="425" t="n">
        <f aca="false">(AX192+15)-$K$1</f>
        <v>5582</v>
      </c>
      <c r="BH192" s="433" t="n">
        <f aca="false">AD192</f>
        <v>105840</v>
      </c>
      <c r="BJ192" s="486" t="e">
        <f aca="false">EURO(BB192,BC192,BD192,BE192,BF192,BG192,1,0)*BH192</f>
        <v>#NAME?</v>
      </c>
      <c r="BK192" s="433" t="n">
        <f aca="false">(AI192-AJ192)*N192</f>
        <v>822329.636262215</v>
      </c>
      <c r="BM192" s="433" t="e">
        <f aca="false">BJ192-BK192</f>
        <v>#NAME?</v>
      </c>
    </row>
    <row r="193" customFormat="false" ht="16.5" hidden="false" customHeight="false" outlineLevel="0" collapsed="false">
      <c r="A193" s="59" t="n">
        <f aca="false">A192+1</f>
        <v>187</v>
      </c>
      <c r="C193" s="59" t="n">
        <v>31</v>
      </c>
      <c r="D193" s="59" t="s">
        <v>169</v>
      </c>
      <c r="E193" s="125" t="n">
        <f aca="false">E192+C192</f>
        <v>42186</v>
      </c>
      <c r="F193" s="425" t="n">
        <f aca="false">F145</f>
        <v>23</v>
      </c>
      <c r="G193" s="433" t="n">
        <f aca="false">C193-F193</f>
        <v>8</v>
      </c>
      <c r="H193" s="433"/>
      <c r="I193" s="433"/>
      <c r="J193" s="59" t="n">
        <f aca="false">K194-K193</f>
        <v>31</v>
      </c>
      <c r="K193" s="478" t="n">
        <v>42186</v>
      </c>
      <c r="L193" s="490" t="n">
        <v>0.074095411695795</v>
      </c>
      <c r="M193" s="491" t="n">
        <v>0.064335787956129</v>
      </c>
      <c r="N193" s="480" t="n">
        <f aca="false">(1+L193/2)^(-2*((K193+$T$1)-$K$1)/365.25)</f>
        <v>0.325088672012529</v>
      </c>
      <c r="O193" s="127" t="n">
        <f aca="false">VLOOKUP(K193,Inflation!$B$8:$C$266,2)</f>
        <v>1.51462834279951</v>
      </c>
      <c r="P193" s="480"/>
      <c r="Q193" s="481" t="n">
        <f aca="false">VLOOKUP(K193,'Fuel Curve'!$B$11:$F$268,5)</f>
        <v>4.47741379310345</v>
      </c>
      <c r="R193" s="482" t="n">
        <f aca="false">VLOOKUP(K193,'Fuel Curve Simulation'!$B$12:$J$258,9)</f>
        <v>4.47741379310345</v>
      </c>
      <c r="S193" s="481" t="n">
        <f aca="false">(R193*$S$2)/1000</f>
        <v>42.8891467241379</v>
      </c>
      <c r="T193" s="483"/>
      <c r="V193" s="128" t="n">
        <f aca="false">VLOOKUP(K193,PJM_01212000!$A$7:$C$259,3)</f>
        <v>118.199996948242</v>
      </c>
      <c r="W193" s="128"/>
      <c r="X193" s="484" t="n">
        <f aca="false">'PJM Curve Simulation'!J193</f>
        <v>118.199996948242</v>
      </c>
      <c r="Y193" s="489"/>
      <c r="Z193" s="483"/>
      <c r="AA193" s="59" t="n">
        <f aca="false">AA192</f>
        <v>315</v>
      </c>
      <c r="AB193" s="425" t="n">
        <f aca="false">AA193*F193*16</f>
        <v>115920</v>
      </c>
      <c r="AC193" s="425" t="n">
        <f aca="false">VLOOKUP(K193,'Company Volumes'!$B$20:$C$259,2)</f>
        <v>51772.057010744</v>
      </c>
      <c r="AD193" s="485" t="n">
        <f aca="false">IF(V193&gt;S193+($AM$5*1000*O193),AA193*F193*16,0)</f>
        <v>115920</v>
      </c>
      <c r="AE193" s="425"/>
      <c r="AF193" s="425" t="n">
        <v>0</v>
      </c>
      <c r="AG193" s="425" t="n">
        <v>0</v>
      </c>
      <c r="AH193" s="425" t="n">
        <f aca="false">X193*AD193</f>
        <v>13701743.6462402</v>
      </c>
      <c r="AI193" s="425" t="n">
        <f aca="false">SUM(AF193:AH193)</f>
        <v>13701743.6462402</v>
      </c>
      <c r="AJ193" s="425" t="n">
        <f aca="false">(AD193*1000*$S$2)/1000000*R193</f>
        <v>4971709.88826207</v>
      </c>
      <c r="AK193" s="425" t="n">
        <f aca="false">($AK$5*O193)/12</f>
        <v>75731.4171399755</v>
      </c>
      <c r="AL193" s="425" t="n">
        <f aca="false">($AL$5*O193)/12</f>
        <v>193115.113706938</v>
      </c>
      <c r="AM193" s="425" t="n">
        <f aca="false">AD193*$AM$5*1000*O193</f>
        <v>351151.434994639</v>
      </c>
      <c r="AN193" s="425" t="n">
        <f aca="false">(($AN$5*O193)/12)*$S$4</f>
        <v>173172.507193411</v>
      </c>
      <c r="AO193" s="425" t="n">
        <f aca="false">($AO$5*O193)/12</f>
        <v>37865.7085699878</v>
      </c>
      <c r="AP193" s="425" t="n">
        <f aca="false">AP192</f>
        <v>46500.5582152336</v>
      </c>
      <c r="AQ193" s="433" t="n">
        <f aca="false">SUM(AK193:AP193)</f>
        <v>877536.739820184</v>
      </c>
      <c r="AR193" s="425" t="n">
        <f aca="false">($AR$5*O193)/12</f>
        <v>18932.8542849939</v>
      </c>
      <c r="AS193" s="433" t="n">
        <f aca="false">AS192</f>
        <v>30387.755</v>
      </c>
      <c r="AT193" s="425" t="n">
        <f aca="false">(AI193/100)*$AT$6*O193</f>
        <v>124518.295634211</v>
      </c>
      <c r="AU193" s="433" t="n">
        <f aca="false">SUM(AJ193:AT193)-AQ193</f>
        <v>6023085.53300146</v>
      </c>
      <c r="AV193" s="433" t="n">
        <f aca="false">AI193-AU193</f>
        <v>7678658.11323878</v>
      </c>
      <c r="AW193" s="493"/>
      <c r="AX193" s="423" t="n">
        <f aca="false">K193</f>
        <v>42186</v>
      </c>
      <c r="BA193" s="126"/>
      <c r="BB193" s="481" t="n">
        <f aca="false">X193</f>
        <v>118.199996948242</v>
      </c>
      <c r="BC193" s="481" t="n">
        <f aca="false">'Curve Analysis - Base Case'!D185</f>
        <v>45.918403409737</v>
      </c>
      <c r="BD193" s="479" t="n">
        <f aca="false">L193</f>
        <v>0.074095411695795</v>
      </c>
      <c r="BE193" s="479" t="n">
        <f aca="false">L193</f>
        <v>0.074095411695795</v>
      </c>
      <c r="BF193" s="489" t="n">
        <f aca="false">PJM_01212000!X193</f>
        <v>0.156801617547047</v>
      </c>
      <c r="BG193" s="425" t="n">
        <f aca="false">(AX193+15)-$K$1</f>
        <v>5612</v>
      </c>
      <c r="BH193" s="433" t="n">
        <f aca="false">AD193</f>
        <v>115920</v>
      </c>
      <c r="BJ193" s="486" t="e">
        <f aca="false">EURO(BB193,BC193,BD193,BE193,BF193,BG193,1,0)*BH193</f>
        <v>#NAME?</v>
      </c>
      <c r="BK193" s="433" t="n">
        <f aca="false">(AI193-AJ193)*N193</f>
        <v>2838035.08100567</v>
      </c>
      <c r="BM193" s="433" t="e">
        <f aca="false">BJ193-BK193</f>
        <v>#NAME?</v>
      </c>
    </row>
    <row r="194" customFormat="false" ht="16.5" hidden="false" customHeight="false" outlineLevel="0" collapsed="false">
      <c r="A194" s="59" t="n">
        <f aca="false">A193+1</f>
        <v>188</v>
      </c>
      <c r="C194" s="59" t="n">
        <v>31</v>
      </c>
      <c r="D194" s="59" t="s">
        <v>170</v>
      </c>
      <c r="E194" s="125" t="n">
        <f aca="false">E193+C193</f>
        <v>42217</v>
      </c>
      <c r="F194" s="425" t="n">
        <f aca="false">F146</f>
        <v>21</v>
      </c>
      <c r="G194" s="433" t="n">
        <f aca="false">C194-F194</f>
        <v>10</v>
      </c>
      <c r="H194" s="433"/>
      <c r="I194" s="433"/>
      <c r="J194" s="59" t="n">
        <f aca="false">K195-K194</f>
        <v>31</v>
      </c>
      <c r="K194" s="478" t="n">
        <v>42217</v>
      </c>
      <c r="L194" s="490" t="n">
        <v>0.074090238247446</v>
      </c>
      <c r="M194" s="491" t="n">
        <v>0.064347400180894</v>
      </c>
      <c r="N194" s="480" t="n">
        <f aca="false">(1+L194/2)^(-2*((K194+$T$1)-$K$1)/365.25)</f>
        <v>0.323112453345802</v>
      </c>
      <c r="O194" s="127" t="n">
        <f aca="false">VLOOKUP(K194,Inflation!$B$8:$C$266,2)</f>
        <v>1.51799479709502</v>
      </c>
      <c r="P194" s="480"/>
      <c r="Q194" s="481" t="n">
        <f aca="false">VLOOKUP(K194,'Fuel Curve'!$B$11:$F$268,5)</f>
        <v>4.56793103448276</v>
      </c>
      <c r="R194" s="482" t="n">
        <f aca="false">VLOOKUP(K194,'Fuel Curve Simulation'!$B$12:$J$258,9)</f>
        <v>4.56793103448276</v>
      </c>
      <c r="S194" s="481" t="n">
        <f aca="false">(R194*$S$2)/1000</f>
        <v>43.7562113793104</v>
      </c>
      <c r="T194" s="483"/>
      <c r="V194" s="128" t="n">
        <f aca="false">VLOOKUP(K194,PJM_01212000!$A$7:$C$259,3)</f>
        <v>105.199996948242</v>
      </c>
      <c r="W194" s="128"/>
      <c r="X194" s="484" t="n">
        <f aca="false">'PJM Curve Simulation'!J194</f>
        <v>105.199996948242</v>
      </c>
      <c r="Y194" s="489"/>
      <c r="Z194" s="483"/>
      <c r="AA194" s="59" t="n">
        <f aca="false">AA193</f>
        <v>315</v>
      </c>
      <c r="AB194" s="425" t="n">
        <f aca="false">AA194*F194*16</f>
        <v>105840</v>
      </c>
      <c r="AC194" s="425" t="n">
        <f aca="false">VLOOKUP(K194,'Company Volumes'!$B$20:$C$259,2)</f>
        <v>34514.7046738293</v>
      </c>
      <c r="AD194" s="485" t="n">
        <f aca="false">IF(V194&gt;S194+($AM$5*1000*O194),AA194*F194*16,0)</f>
        <v>105840</v>
      </c>
      <c r="AE194" s="425"/>
      <c r="AF194" s="425" t="n">
        <v>0</v>
      </c>
      <c r="AG194" s="425" t="n">
        <v>0</v>
      </c>
      <c r="AH194" s="425" t="n">
        <f aca="false">X194*AD194</f>
        <v>11134367.677002</v>
      </c>
      <c r="AI194" s="425" t="n">
        <f aca="false">SUM(AF194:AH194)</f>
        <v>11134367.677002</v>
      </c>
      <c r="AJ194" s="425" t="n">
        <f aca="false">(AD194*1000*$S$2)/1000000*R194</f>
        <v>4631157.41238621</v>
      </c>
      <c r="AK194" s="425" t="n">
        <f aca="false">($AK$5*O194)/12</f>
        <v>75899.7398547512</v>
      </c>
      <c r="AL194" s="425" t="n">
        <f aca="false">($AL$5*O194)/12</f>
        <v>193544.336629616</v>
      </c>
      <c r="AM194" s="425" t="n">
        <f aca="false">AD194*$AM$5*1000*O194</f>
        <v>321329.138649075</v>
      </c>
      <c r="AN194" s="425" t="n">
        <f aca="false">(($AN$5*O194)/12)*$S$4</f>
        <v>173557.405134531</v>
      </c>
      <c r="AO194" s="425" t="n">
        <f aca="false">($AO$5*O194)/12</f>
        <v>37949.8699273756</v>
      </c>
      <c r="AP194" s="425" t="n">
        <f aca="false">AP193</f>
        <v>46500.5582152336</v>
      </c>
      <c r="AQ194" s="433" t="n">
        <f aca="false">SUM(AK194:AP194)</f>
        <v>848781.048410582</v>
      </c>
      <c r="AR194" s="425" t="n">
        <f aca="false">($AR$5*O194)/12</f>
        <v>18974.9349636878</v>
      </c>
      <c r="AS194" s="433" t="n">
        <f aca="false">AS193</f>
        <v>30387.755</v>
      </c>
      <c r="AT194" s="425" t="n">
        <f aca="false">(AI194/100)*$AT$6*O194</f>
        <v>101411.473215792</v>
      </c>
      <c r="AU194" s="433" t="n">
        <f aca="false">SUM(AJ194:AT194)-AQ194</f>
        <v>5630712.62397627</v>
      </c>
      <c r="AV194" s="433" t="n">
        <f aca="false">AI194-AU194</f>
        <v>5503655.05302568</v>
      </c>
      <c r="AW194" s="493"/>
      <c r="AX194" s="423" t="n">
        <f aca="false">K194</f>
        <v>42217</v>
      </c>
      <c r="BA194" s="126"/>
      <c r="BB194" s="481" t="n">
        <f aca="false">X194</f>
        <v>105.199996948242</v>
      </c>
      <c r="BC194" s="481" t="n">
        <f aca="false">'Curve Analysis - Base Case'!D186</f>
        <v>46.7922009735004</v>
      </c>
      <c r="BD194" s="479" t="n">
        <f aca="false">L194</f>
        <v>0.074090238247446</v>
      </c>
      <c r="BE194" s="479" t="n">
        <f aca="false">L194</f>
        <v>0.074090238247446</v>
      </c>
      <c r="BF194" s="489" t="n">
        <f aca="false">PJM_01212000!X194</f>
        <v>0.156801617547047</v>
      </c>
      <c r="BG194" s="425" t="n">
        <f aca="false">(AX194+15)-$K$1</f>
        <v>5643</v>
      </c>
      <c r="BH194" s="433" t="n">
        <f aca="false">AD194</f>
        <v>105840</v>
      </c>
      <c r="BJ194" s="486" t="e">
        <f aca="false">EURO(BB194,BC194,BD194,BE194,BF194,BG194,1,0)*BH194</f>
        <v>#NAME?</v>
      </c>
      <c r="BK194" s="433" t="n">
        <f aca="false">(AI194-AJ194)*N194</f>
        <v>2101268.2232236</v>
      </c>
      <c r="BM194" s="433" t="e">
        <f aca="false">BJ194-BK194</f>
        <v>#NAME?</v>
      </c>
    </row>
    <row r="195" customFormat="false" ht="16.5" hidden="false" customHeight="false" outlineLevel="0" collapsed="false">
      <c r="A195" s="59" t="n">
        <f aca="false">A194+1</f>
        <v>189</v>
      </c>
      <c r="C195" s="59" t="n">
        <v>30</v>
      </c>
      <c r="D195" s="59" t="s">
        <v>171</v>
      </c>
      <c r="E195" s="125" t="n">
        <f aca="false">E194+C194</f>
        <v>42248</v>
      </c>
      <c r="F195" s="425" t="n">
        <f aca="false">F147</f>
        <v>22</v>
      </c>
      <c r="G195" s="433" t="n">
        <f aca="false">C195-F195</f>
        <v>8</v>
      </c>
      <c r="H195" s="433"/>
      <c r="I195" s="433"/>
      <c r="J195" s="59" t="n">
        <f aca="false">K196-K195</f>
        <v>30</v>
      </c>
      <c r="K195" s="478" t="n">
        <v>42248</v>
      </c>
      <c r="L195" s="490" t="n">
        <v>0.074085064799107</v>
      </c>
      <c r="M195" s="491" t="n">
        <v>0.064359012406598</v>
      </c>
      <c r="N195" s="480" t="n">
        <f aca="false">(1+L195/2)^(-2*((K195+$T$1)-$K$1)/365.25)</f>
        <v>0.321148520152884</v>
      </c>
      <c r="O195" s="127" t="n">
        <f aca="false">VLOOKUP(K195,Inflation!$B$8:$C$266,2)</f>
        <v>1.52136873376374</v>
      </c>
      <c r="P195" s="480"/>
      <c r="Q195" s="481" t="n">
        <f aca="false">VLOOKUP(K195,'Fuel Curve'!$B$11:$F$268,5)</f>
        <v>4.66275862068966</v>
      </c>
      <c r="R195" s="482" t="n">
        <f aca="false">VLOOKUP(K195,'Fuel Curve Simulation'!$B$12:$J$258,9)</f>
        <v>4.66275862068966</v>
      </c>
      <c r="S195" s="481" t="n">
        <f aca="false">(R195*$S$2)/1000</f>
        <v>44.6645648275862</v>
      </c>
      <c r="T195" s="483"/>
      <c r="V195" s="128" t="n">
        <f aca="false">VLOOKUP(K195,PJM_01212000!$A$7:$C$259,3)</f>
        <v>38.9249984741211</v>
      </c>
      <c r="W195" s="128"/>
      <c r="X195" s="484" t="n">
        <f aca="false">'PJM Curve Simulation'!J195</f>
        <v>38.9249984741211</v>
      </c>
      <c r="Y195" s="489"/>
      <c r="Z195" s="483"/>
      <c r="AA195" s="59" t="n">
        <f aca="false">AA194</f>
        <v>315</v>
      </c>
      <c r="AB195" s="425" t="n">
        <f aca="false">AA195*F195*16</f>
        <v>110880</v>
      </c>
      <c r="AC195" s="425" t="n">
        <f aca="false">VLOOKUP(K195,'Company Volumes'!$B$20:$C$259,2)</f>
        <v>20768.6584495631</v>
      </c>
      <c r="AD195" s="485" t="n">
        <f aca="false">IF(V195&gt;S195+($AM$5*1000*O195),AA195*F195*16,0)</f>
        <v>0</v>
      </c>
      <c r="AE195" s="425"/>
      <c r="AF195" s="425" t="n">
        <v>0</v>
      </c>
      <c r="AG195" s="425" t="n">
        <v>0</v>
      </c>
      <c r="AH195" s="425" t="n">
        <f aca="false">X195*AD195</f>
        <v>0</v>
      </c>
      <c r="AI195" s="425" t="n">
        <f aca="false">SUM(AF195:AH195)</f>
        <v>0</v>
      </c>
      <c r="AJ195" s="425" t="n">
        <f aca="false">(AD195*1000*$S$2)/1000000*R195</f>
        <v>0</v>
      </c>
      <c r="AK195" s="425" t="n">
        <f aca="false">($AK$5*O195)/12</f>
        <v>76068.436688187</v>
      </c>
      <c r="AL195" s="425" t="n">
        <f aca="false">($AL$5*O195)/12</f>
        <v>193974.513554877</v>
      </c>
      <c r="AM195" s="425" t="n">
        <f aca="false">AD195*$AM$5*1000*O195</f>
        <v>0</v>
      </c>
      <c r="AN195" s="425" t="n">
        <f aca="false">(($AN$5*O195)/12)*$S$4</f>
        <v>173943.158560321</v>
      </c>
      <c r="AO195" s="425" t="n">
        <f aca="false">($AO$5*O195)/12</f>
        <v>38034.2183440935</v>
      </c>
      <c r="AP195" s="425" t="n">
        <f aca="false">AP194</f>
        <v>46500.5582152336</v>
      </c>
      <c r="AQ195" s="433" t="n">
        <f aca="false">SUM(AK195:AP195)</f>
        <v>528520.885362712</v>
      </c>
      <c r="AR195" s="425" t="n">
        <f aca="false">($AR$5*O195)/12</f>
        <v>19017.1091720467</v>
      </c>
      <c r="AS195" s="433" t="n">
        <f aca="false">AS194</f>
        <v>30387.755</v>
      </c>
      <c r="AT195" s="425" t="n">
        <f aca="false">(AI195/100)*$AT$6*O195</f>
        <v>0</v>
      </c>
      <c r="AU195" s="433" t="n">
        <f aca="false">SUM(AJ195:AT195)-AQ195</f>
        <v>577925.749534758</v>
      </c>
      <c r="AV195" s="433" t="n">
        <f aca="false">AI195-AU195</f>
        <v>-577925.749534758</v>
      </c>
      <c r="AW195" s="493"/>
      <c r="AX195" s="423" t="n">
        <f aca="false">K195</f>
        <v>42248</v>
      </c>
      <c r="BA195" s="126"/>
      <c r="BB195" s="481" t="n">
        <f aca="false">X195</f>
        <v>38.9249984741211</v>
      </c>
      <c r="BC195" s="481" t="n">
        <f aca="false">'Curve Analysis - Base Case'!D187</f>
        <v>47.7073022951137</v>
      </c>
      <c r="BD195" s="479" t="n">
        <f aca="false">L195</f>
        <v>0.074085064799107</v>
      </c>
      <c r="BE195" s="479" t="n">
        <f aca="false">L195</f>
        <v>0.074085064799107</v>
      </c>
      <c r="BF195" s="489" t="n">
        <f aca="false">PJM_01212000!X195</f>
        <v>0.100790755080747</v>
      </c>
      <c r="BG195" s="425" t="n">
        <f aca="false">(AX195+15)-$K$1</f>
        <v>5674</v>
      </c>
      <c r="BH195" s="433" t="n">
        <f aca="false">AD195</f>
        <v>0</v>
      </c>
      <c r="BJ195" s="486" t="e">
        <f aca="false">EURO(BB195,BC195,BD195,BE195,BF195,BG195,1,0)*BH195</f>
        <v>#NAME?</v>
      </c>
      <c r="BK195" s="433" t="n">
        <f aca="false">(AI195-AJ195)*N195</f>
        <v>0</v>
      </c>
      <c r="BM195" s="433" t="e">
        <f aca="false">BJ195-BK195</f>
        <v>#NAME?</v>
      </c>
    </row>
    <row r="196" customFormat="false" ht="16.5" hidden="false" customHeight="false" outlineLevel="0" collapsed="false">
      <c r="A196" s="59" t="n">
        <f aca="false">A195+1</f>
        <v>190</v>
      </c>
      <c r="C196" s="59" t="n">
        <v>31</v>
      </c>
      <c r="D196" s="59" t="s">
        <v>172</v>
      </c>
      <c r="E196" s="125" t="n">
        <f aca="false">E195+C195</f>
        <v>42278</v>
      </c>
      <c r="F196" s="425" t="n">
        <f aca="false">F148</f>
        <v>23</v>
      </c>
      <c r="G196" s="433" t="n">
        <f aca="false">C196-F196</f>
        <v>8</v>
      </c>
      <c r="H196" s="433"/>
      <c r="I196" s="433"/>
      <c r="J196" s="59" t="n">
        <f aca="false">K197-K196</f>
        <v>31</v>
      </c>
      <c r="K196" s="478" t="n">
        <v>42278</v>
      </c>
      <c r="L196" s="490" t="n">
        <v>0.074080058236206</v>
      </c>
      <c r="M196" s="491" t="n">
        <v>0.06437025004527</v>
      </c>
      <c r="N196" s="480" t="n">
        <f aca="false">(1+L196/2)^(-2*((K196+$T$1)-$K$1)/365.25)</f>
        <v>0.319259563589729</v>
      </c>
      <c r="O196" s="127" t="n">
        <f aca="false">VLOOKUP(K196,Inflation!$B$8:$C$266,2)</f>
        <v>1.52475016943618</v>
      </c>
      <c r="P196" s="480"/>
      <c r="Q196" s="481" t="n">
        <f aca="false">VLOOKUP(K196,'Fuel Curve'!$B$11:$F$268,5)</f>
        <v>4.75534482758621</v>
      </c>
      <c r="R196" s="482" t="n">
        <f aca="false">VLOOKUP(K196,'Fuel Curve Simulation'!$B$12:$J$258,9)</f>
        <v>4.75534482758621</v>
      </c>
      <c r="S196" s="481" t="n">
        <f aca="false">(R196*$S$2)/1000</f>
        <v>45.5514481034483</v>
      </c>
      <c r="T196" s="483"/>
      <c r="V196" s="128" t="n">
        <f aca="false">VLOOKUP(K196,PJM_01212000!$A$7:$C$259,3)</f>
        <v>31.3250003814697</v>
      </c>
      <c r="W196" s="128"/>
      <c r="X196" s="484" t="n">
        <f aca="false">'PJM Curve Simulation'!J196</f>
        <v>31.3250003814697</v>
      </c>
      <c r="Y196" s="489"/>
      <c r="Z196" s="483"/>
      <c r="AA196" s="59" t="n">
        <f aca="false">AA195</f>
        <v>315</v>
      </c>
      <c r="AB196" s="425" t="n">
        <f aca="false">AA196*F196*16</f>
        <v>115920</v>
      </c>
      <c r="AC196" s="425" t="n">
        <f aca="false">VLOOKUP(K196,'Company Volumes'!$B$20:$C$259,2)</f>
        <v>3006.38726958578</v>
      </c>
      <c r="AD196" s="485" t="n">
        <f aca="false">IF(V196&gt;S196+($AM$5*1000*O196),AA196*F196*16,0)</f>
        <v>0</v>
      </c>
      <c r="AE196" s="425"/>
      <c r="AF196" s="425" t="n">
        <v>0</v>
      </c>
      <c r="AG196" s="425" t="n">
        <v>0</v>
      </c>
      <c r="AH196" s="425" t="n">
        <f aca="false">X196*AD196</f>
        <v>0</v>
      </c>
      <c r="AI196" s="425" t="n">
        <f aca="false">SUM(AF196:AH196)</f>
        <v>0</v>
      </c>
      <c r="AJ196" s="425" t="n">
        <f aca="false">(AD196*1000*$S$2)/1000000*R196</f>
        <v>0</v>
      </c>
      <c r="AK196" s="425" t="n">
        <f aca="false">($AK$5*O196)/12</f>
        <v>76237.5084718092</v>
      </c>
      <c r="AL196" s="425" t="n">
        <f aca="false">($AL$5*O196)/12</f>
        <v>194405.646603113</v>
      </c>
      <c r="AM196" s="425" t="n">
        <f aca="false">AD196*$AM$5*1000*O196</f>
        <v>0</v>
      </c>
      <c r="AN196" s="425" t="n">
        <f aca="false">(($AN$5*O196)/12)*$S$4</f>
        <v>174329.769372204</v>
      </c>
      <c r="AO196" s="425" t="n">
        <f aca="false">($AO$5*O196)/12</f>
        <v>38118.7542359046</v>
      </c>
      <c r="AP196" s="425" t="n">
        <f aca="false">AP195</f>
        <v>46500.5582152336</v>
      </c>
      <c r="AQ196" s="433" t="n">
        <f aca="false">SUM(AK196:AP196)</f>
        <v>529592.236898265</v>
      </c>
      <c r="AR196" s="425" t="n">
        <f aca="false">($AR$5*O196)/12</f>
        <v>19059.3771179523</v>
      </c>
      <c r="AS196" s="433" t="n">
        <f aca="false">AS195</f>
        <v>30387.755</v>
      </c>
      <c r="AT196" s="425" t="n">
        <f aca="false">(AI196/100)*$AT$6*O196</f>
        <v>0</v>
      </c>
      <c r="AU196" s="433" t="n">
        <f aca="false">SUM(AJ196:AT196)-AQ196</f>
        <v>579039.369016217</v>
      </c>
      <c r="AV196" s="433" t="n">
        <f aca="false">AI196-AU196</f>
        <v>-579039.369016217</v>
      </c>
      <c r="AW196" s="493"/>
      <c r="AX196" s="423" t="n">
        <f aca="false">K196</f>
        <v>42278</v>
      </c>
      <c r="BA196" s="126"/>
      <c r="BB196" s="481" t="n">
        <f aca="false">X196</f>
        <v>31.3250003814697</v>
      </c>
      <c r="BC196" s="481" t="n">
        <f aca="false">'Curve Analysis - Base Case'!D188</f>
        <v>48.6009484423206</v>
      </c>
      <c r="BD196" s="479" t="n">
        <f aca="false">L196</f>
        <v>0.074080058236206</v>
      </c>
      <c r="BE196" s="479" t="n">
        <f aca="false">L196</f>
        <v>0.074080058236206</v>
      </c>
      <c r="BF196" s="489" t="n">
        <f aca="false">PJM_01212000!X196</f>
        <v>0.0712734625213851</v>
      </c>
      <c r="BG196" s="425" t="n">
        <f aca="false">(AX196+15)-$K$1</f>
        <v>5704</v>
      </c>
      <c r="BH196" s="433" t="n">
        <f aca="false">AD196</f>
        <v>0</v>
      </c>
      <c r="BJ196" s="486" t="e">
        <f aca="false">EURO(BB196,BC196,BD196,BE196,BF196,BG196,1,0)*BH196</f>
        <v>#NAME?</v>
      </c>
      <c r="BK196" s="433" t="n">
        <f aca="false">(AI196-AJ196)*N196</f>
        <v>0</v>
      </c>
      <c r="BM196" s="433" t="e">
        <f aca="false">BJ196-BK196</f>
        <v>#NAME?</v>
      </c>
    </row>
    <row r="197" customFormat="false" ht="16.5" hidden="false" customHeight="false" outlineLevel="0" collapsed="false">
      <c r="A197" s="59" t="n">
        <f aca="false">A196+1</f>
        <v>191</v>
      </c>
      <c r="C197" s="59" t="n">
        <v>30</v>
      </c>
      <c r="D197" s="59" t="s">
        <v>173</v>
      </c>
      <c r="E197" s="125" t="n">
        <f aca="false">E196+C196</f>
        <v>42309</v>
      </c>
      <c r="F197" s="425" t="n">
        <f aca="false">F149</f>
        <v>20</v>
      </c>
      <c r="G197" s="433" t="n">
        <f aca="false">C197-F197</f>
        <v>10</v>
      </c>
      <c r="H197" s="433"/>
      <c r="I197" s="433"/>
      <c r="J197" s="59" t="n">
        <f aca="false">K198-K197</f>
        <v>30</v>
      </c>
      <c r="K197" s="478" t="n">
        <v>42309</v>
      </c>
      <c r="L197" s="490" t="n">
        <v>0.074074884787884</v>
      </c>
      <c r="M197" s="491" t="n">
        <v>0.06438186227282</v>
      </c>
      <c r="N197" s="480" t="n">
        <f aca="false">(1+L197/2)^(-2*((K197+$T$1)-$K$1)/365.25)</f>
        <v>0.317319577796264</v>
      </c>
      <c r="O197" s="127" t="n">
        <f aca="false">VLOOKUP(K197,Inflation!$B$8:$C$266,2)</f>
        <v>1.52813912077985</v>
      </c>
      <c r="P197" s="480"/>
      <c r="Q197" s="481" t="n">
        <f aca="false">VLOOKUP(K197,'Fuel Curve'!$B$11:$F$268,5)</f>
        <v>4.80465517241379</v>
      </c>
      <c r="R197" s="482" t="n">
        <f aca="false">VLOOKUP(K197,'Fuel Curve Simulation'!$B$12:$J$258,9)</f>
        <v>4.80465517241379</v>
      </c>
      <c r="S197" s="481" t="n">
        <f aca="false">(R197*$S$2)/1000</f>
        <v>46.0237918965517</v>
      </c>
      <c r="T197" s="483"/>
      <c r="V197" s="128" t="n">
        <f aca="false">VLOOKUP(K197,PJM_01212000!$A$7:$C$259,3)</f>
        <v>30.9974990844727</v>
      </c>
      <c r="W197" s="128"/>
      <c r="X197" s="484" t="n">
        <f aca="false">'PJM Curve Simulation'!J197</f>
        <v>30.9974990844727</v>
      </c>
      <c r="Y197" s="489"/>
      <c r="Z197" s="483"/>
      <c r="AA197" s="59" t="n">
        <f aca="false">AA196</f>
        <v>315</v>
      </c>
      <c r="AB197" s="425" t="n">
        <f aca="false">AA197*F197*16</f>
        <v>100800</v>
      </c>
      <c r="AC197" s="425" t="n">
        <f aca="false">VLOOKUP(K197,'Company Volumes'!$B$20:$C$259,2)</f>
        <v>7520.635146164</v>
      </c>
      <c r="AD197" s="485" t="n">
        <f aca="false">IF(V197&gt;S197+($AM$5*1000*O197),AA197*F197*16,0)</f>
        <v>0</v>
      </c>
      <c r="AE197" s="425"/>
      <c r="AF197" s="425" t="n">
        <v>0</v>
      </c>
      <c r="AG197" s="425" t="n">
        <v>0</v>
      </c>
      <c r="AH197" s="425" t="n">
        <f aca="false">X197*AD197</f>
        <v>0</v>
      </c>
      <c r="AI197" s="425" t="n">
        <f aca="false">SUM(AF197:AH197)</f>
        <v>0</v>
      </c>
      <c r="AJ197" s="425" t="n">
        <f aca="false">(AD197*1000*$S$2)/1000000*R197</f>
        <v>0</v>
      </c>
      <c r="AK197" s="425" t="n">
        <f aca="false">($AK$5*O197)/12</f>
        <v>76406.9560389924</v>
      </c>
      <c r="AL197" s="425" t="n">
        <f aca="false">($AL$5*O197)/12</f>
        <v>194837.737899431</v>
      </c>
      <c r="AM197" s="425" t="n">
        <f aca="false">AD197*$AM$5*1000*O197</f>
        <v>0</v>
      </c>
      <c r="AN197" s="425" t="n">
        <f aca="false">(($AN$5*O197)/12)*$S$4</f>
        <v>174717.239475829</v>
      </c>
      <c r="AO197" s="425" t="n">
        <f aca="false">($AO$5*O197)/12</f>
        <v>38203.4780194962</v>
      </c>
      <c r="AP197" s="425" t="n">
        <f aca="false">AP196</f>
        <v>46500.5582152336</v>
      </c>
      <c r="AQ197" s="433" t="n">
        <f aca="false">SUM(AK197:AP197)</f>
        <v>530665.969648982</v>
      </c>
      <c r="AR197" s="425" t="n">
        <f aca="false">($AR$5*O197)/12</f>
        <v>19101.7390097481</v>
      </c>
      <c r="AS197" s="433" t="n">
        <f aca="false">AS196</f>
        <v>30387.755</v>
      </c>
      <c r="AT197" s="425" t="n">
        <f aca="false">(AI197/100)*$AT$6*O197</f>
        <v>0</v>
      </c>
      <c r="AU197" s="433" t="n">
        <f aca="false">SUM(AJ197:AT197)-AQ197</f>
        <v>580155.46365873</v>
      </c>
      <c r="AV197" s="433" t="n">
        <f aca="false">AI197-AU197</f>
        <v>-580155.46365873</v>
      </c>
      <c r="AW197" s="493"/>
      <c r="AX197" s="423" t="n">
        <f aca="false">K197</f>
        <v>42309</v>
      </c>
      <c r="BA197" s="126"/>
      <c r="BB197" s="481" t="n">
        <f aca="false">X197</f>
        <v>30.9974990844727</v>
      </c>
      <c r="BC197" s="481" t="n">
        <f aca="false">'Curve Analysis - Base Case'!D189</f>
        <v>49.0800701381114</v>
      </c>
      <c r="BD197" s="479" t="n">
        <f aca="false">L197</f>
        <v>0.074074884787884</v>
      </c>
      <c r="BE197" s="479" t="n">
        <f aca="false">L197</f>
        <v>0.074074884787884</v>
      </c>
      <c r="BF197" s="489" t="n">
        <f aca="false">PJM_01212000!X197</f>
        <v>0.0712734625213851</v>
      </c>
      <c r="BG197" s="425" t="n">
        <f aca="false">(AX197+15)-$K$1</f>
        <v>5735</v>
      </c>
      <c r="BH197" s="433" t="n">
        <f aca="false">AD197</f>
        <v>0</v>
      </c>
      <c r="BJ197" s="486" t="e">
        <f aca="false">EURO(BB197,BC197,BD197,BE197,BF197,BG197,1,0)*BH197</f>
        <v>#NAME?</v>
      </c>
      <c r="BK197" s="433" t="n">
        <f aca="false">(AI197-AJ197)*N197</f>
        <v>0</v>
      </c>
      <c r="BM197" s="433" t="e">
        <f aca="false">BJ197-BK197</f>
        <v>#NAME?</v>
      </c>
    </row>
    <row r="198" customFormat="false" ht="16.5" hidden="false" customHeight="false" outlineLevel="0" collapsed="false">
      <c r="A198" s="59" t="n">
        <f aca="false">A197+1</f>
        <v>192</v>
      </c>
      <c r="C198" s="59" t="n">
        <v>31</v>
      </c>
      <c r="D198" s="59" t="s">
        <v>174</v>
      </c>
      <c r="E198" s="125" t="n">
        <f aca="false">E197+C197</f>
        <v>42339</v>
      </c>
      <c r="F198" s="425" t="n">
        <f aca="false">F150</f>
        <v>23</v>
      </c>
      <c r="G198" s="433" t="n">
        <f aca="false">C198-F198</f>
        <v>8</v>
      </c>
      <c r="H198" s="433" t="n">
        <f aca="false">SUM(F187:G198)</f>
        <v>365</v>
      </c>
      <c r="I198" s="433"/>
      <c r="J198" s="59" t="n">
        <f aca="false">K199-K198</f>
        <v>31</v>
      </c>
      <c r="K198" s="478" t="n">
        <v>42339</v>
      </c>
      <c r="L198" s="490" t="n">
        <v>0.074069878225</v>
      </c>
      <c r="M198" s="491" t="n">
        <v>0.06439309991328</v>
      </c>
      <c r="N198" s="480" t="n">
        <f aca="false">(1+L198/2)^(-2*((K198+$T$1)-$K$1)/365.25)</f>
        <v>0.315453651409921</v>
      </c>
      <c r="O198" s="127" t="n">
        <f aca="false">VLOOKUP(K198,Inflation!$B$8:$C$266,2)</f>
        <v>1.53153560449927</v>
      </c>
      <c r="P198" s="480"/>
      <c r="Q198" s="481" t="n">
        <f aca="false">VLOOKUP(K198,'Fuel Curve'!$B$11:$F$268,5)</f>
        <v>4.84741379310345</v>
      </c>
      <c r="R198" s="482" t="n">
        <f aca="false">VLOOKUP(K198,'Fuel Curve Simulation'!$B$12:$J$258,9)</f>
        <v>4.84741379310345</v>
      </c>
      <c r="S198" s="481" t="n">
        <f aca="false">(R198*$S$2)/1000</f>
        <v>46.4333767241379</v>
      </c>
      <c r="T198" s="483"/>
      <c r="V198" s="128" t="n">
        <f aca="false">VLOOKUP(K198,PJM_01212000!$A$7:$C$259,3)</f>
        <v>32.7499996185303</v>
      </c>
      <c r="W198" s="128"/>
      <c r="X198" s="484" t="n">
        <f aca="false">'PJM Curve Simulation'!J198</f>
        <v>32.7499996185303</v>
      </c>
      <c r="Y198" s="489"/>
      <c r="Z198" s="483"/>
      <c r="AA198" s="59" t="n">
        <f aca="false">AA197</f>
        <v>315</v>
      </c>
      <c r="AB198" s="425" t="n">
        <f aca="false">AA198*F198*16</f>
        <v>115920</v>
      </c>
      <c r="AC198" s="425" t="n">
        <f aca="false">VLOOKUP(K198,'Company Volumes'!$B$20:$C$259,2)</f>
        <v>7520.635146164</v>
      </c>
      <c r="AD198" s="485" t="n">
        <f aca="false">IF(V198&gt;S198+($AM$5*1000*O198),AA198*F198*16,0)</f>
        <v>0</v>
      </c>
      <c r="AE198" s="425"/>
      <c r="AF198" s="425" t="n">
        <v>0</v>
      </c>
      <c r="AG198" s="425" t="n">
        <v>0</v>
      </c>
      <c r="AH198" s="425" t="n">
        <f aca="false">X198*AD198</f>
        <v>0</v>
      </c>
      <c r="AI198" s="425" t="n">
        <f aca="false">SUM(AF198:AH198)</f>
        <v>0</v>
      </c>
      <c r="AJ198" s="425" t="n">
        <f aca="false">(AD198*1000*$S$2)/1000000*R198</f>
        <v>0</v>
      </c>
      <c r="AK198" s="425" t="n">
        <f aca="false">($AK$5*O198)/12</f>
        <v>76576.7802249634</v>
      </c>
      <c r="AL198" s="425" t="n">
        <f aca="false">($AL$5*O198)/12</f>
        <v>195270.789573657</v>
      </c>
      <c r="AM198" s="425" t="n">
        <f aca="false">AD198*$AM$5*1000*O198</f>
        <v>0</v>
      </c>
      <c r="AN198" s="425" t="n">
        <f aca="false">(($AN$5*O198)/12)*$S$4</f>
        <v>175105.570781083</v>
      </c>
      <c r="AO198" s="425" t="n">
        <f aca="false">($AO$5*O198)/12</f>
        <v>38288.3901124817</v>
      </c>
      <c r="AP198" s="425" t="n">
        <f aca="false">AP197</f>
        <v>46500.5582152336</v>
      </c>
      <c r="AQ198" s="433" t="n">
        <f aca="false">SUM(AK198:AP198)</f>
        <v>531742.088907419</v>
      </c>
      <c r="AR198" s="425" t="n">
        <f aca="false">($AR$5*O198)/12</f>
        <v>19144.1950562409</v>
      </c>
      <c r="AS198" s="433" t="n">
        <f aca="false">AS197</f>
        <v>30387.755</v>
      </c>
      <c r="AT198" s="425" t="n">
        <f aca="false">(AI198/100)*$AT$6*O198</f>
        <v>0</v>
      </c>
      <c r="AU198" s="433" t="n">
        <f aca="false">SUM(AJ198:AT198)-AQ198</f>
        <v>581274.038963659</v>
      </c>
      <c r="AV198" s="433" t="n">
        <f aca="false">AI198-AU198</f>
        <v>-581274.038963659</v>
      </c>
      <c r="AW198" s="493"/>
      <c r="AX198" s="423" t="n">
        <f aca="false">K198</f>
        <v>42339</v>
      </c>
      <c r="AY198" s="425" t="n">
        <f aca="false">'Debt Amortization'!W8</f>
        <v>7683858.71240756</v>
      </c>
      <c r="AZ198" s="425" t="n">
        <f aca="false">AY198*N198</f>
        <v>2423901.2877469</v>
      </c>
      <c r="BA198" s="126"/>
      <c r="BB198" s="481" t="n">
        <f aca="false">X198</f>
        <v>32.7499996185303</v>
      </c>
      <c r="BC198" s="481" t="n">
        <f aca="false">'Curve Analysis - Base Case'!D190</f>
        <v>49.4964479331365</v>
      </c>
      <c r="BD198" s="479" t="n">
        <f aca="false">L198</f>
        <v>0.074069878225</v>
      </c>
      <c r="BE198" s="479" t="n">
        <f aca="false">L198</f>
        <v>0.074069878225</v>
      </c>
      <c r="BF198" s="489" t="n">
        <f aca="false">PJM_01212000!X198</f>
        <v>0.0712734625213851</v>
      </c>
      <c r="BG198" s="425" t="n">
        <f aca="false">(AX198+15)-$K$1</f>
        <v>5765</v>
      </c>
      <c r="BH198" s="433" t="n">
        <f aca="false">AD198</f>
        <v>0</v>
      </c>
      <c r="BJ198" s="486" t="e">
        <f aca="false">EURO(BB198,BC198,BD198,BE198,BF198,BG198,1,0)*BH198</f>
        <v>#NAME?</v>
      </c>
      <c r="BK198" s="433" t="n">
        <f aca="false">(AI198-AJ198)*N198</f>
        <v>0</v>
      </c>
      <c r="BM198" s="433" t="e">
        <f aca="false">BJ198-BK198</f>
        <v>#NAME?</v>
      </c>
    </row>
    <row r="199" customFormat="false" ht="16.5" hidden="false" customHeight="false" outlineLevel="0" collapsed="false">
      <c r="A199" s="59" t="n">
        <f aca="false">A198+1</f>
        <v>193</v>
      </c>
      <c r="C199" s="59" t="n">
        <v>31</v>
      </c>
      <c r="D199" s="59" t="s">
        <v>164</v>
      </c>
      <c r="E199" s="125" t="n">
        <f aca="false">E198+C198</f>
        <v>42370</v>
      </c>
      <c r="F199" s="425" t="n">
        <f aca="false">F151</f>
        <v>22</v>
      </c>
      <c r="G199" s="433" t="n">
        <f aca="false">C199-F199</f>
        <v>9</v>
      </c>
      <c r="H199" s="433"/>
      <c r="I199" s="433"/>
      <c r="J199" s="59" t="n">
        <f aca="false">K200-K199</f>
        <v>31</v>
      </c>
      <c r="K199" s="478" t="n">
        <v>42370</v>
      </c>
      <c r="L199" s="490" t="n">
        <v>0.074064704776695</v>
      </c>
      <c r="M199" s="491" t="n">
        <v>0.064404712142678</v>
      </c>
      <c r="N199" s="480" t="n">
        <f aca="false">(1+L199/2)^(-2*((K199+$T$1)-$K$1)/365.25)</f>
        <v>0.313537314873403</v>
      </c>
      <c r="O199" s="127" t="n">
        <f aca="false">VLOOKUP(K199,Inflation!$B$8:$C$266,2)</f>
        <v>1.53493963733611</v>
      </c>
      <c r="P199" s="480"/>
      <c r="Q199" s="481" t="n">
        <f aca="false">VLOOKUP(K199,'Fuel Curve'!$B$11:$F$268,5)</f>
        <v>4.79017241379311</v>
      </c>
      <c r="R199" s="482" t="n">
        <f aca="false">VLOOKUP(K199,'Fuel Curve Simulation'!$B$12:$J$258,9)</f>
        <v>4.79017241379311</v>
      </c>
      <c r="S199" s="481" t="n">
        <f aca="false">(R199*$S$2)/1000</f>
        <v>45.8850615517242</v>
      </c>
      <c r="T199" s="483"/>
      <c r="V199" s="128" t="n">
        <f aca="false">VLOOKUP(K199,PJM_01212000!$A$7:$C$259,3)</f>
        <v>41.3249984741211</v>
      </c>
      <c r="W199" s="128"/>
      <c r="X199" s="484" t="n">
        <f aca="false">'PJM Curve Simulation'!J199</f>
        <v>41.3249984741211</v>
      </c>
      <c r="Y199" s="489"/>
      <c r="Z199" s="483"/>
      <c r="AA199" s="59" t="n">
        <f aca="false">AA198</f>
        <v>315</v>
      </c>
      <c r="AB199" s="425" t="n">
        <f aca="false">AA199*F199*16</f>
        <v>110880</v>
      </c>
      <c r="AC199" s="425" t="n">
        <f aca="false">VLOOKUP(K199,'Company Volumes'!$B$20:$C$259,2)</f>
        <v>13836.2099636662</v>
      </c>
      <c r="AD199" s="485" t="n">
        <f aca="false">IF(V199&gt;S199+($AM$5*1000*O199),AA199*F199*16,0)</f>
        <v>0</v>
      </c>
      <c r="AE199" s="425"/>
      <c r="AF199" s="425" t="n">
        <v>0</v>
      </c>
      <c r="AG199" s="425" t="n">
        <v>0</v>
      </c>
      <c r="AH199" s="425" t="n">
        <f aca="false">X199*AD199</f>
        <v>0</v>
      </c>
      <c r="AI199" s="425" t="n">
        <f aca="false">SUM(AF199:AH199)</f>
        <v>0</v>
      </c>
      <c r="AJ199" s="425" t="n">
        <f aca="false">(AD199*1000*$S$2)/1000000*R199</f>
        <v>0</v>
      </c>
      <c r="AK199" s="425" t="n">
        <f aca="false">($AK$5*O199)/12</f>
        <v>76746.9818668054</v>
      </c>
      <c r="AL199" s="425" t="n">
        <f aca="false">($AL$5*O199)/12</f>
        <v>195704.803760354</v>
      </c>
      <c r="AM199" s="425" t="n">
        <f aca="false">AD199*$AM$5*1000*O199</f>
        <v>0</v>
      </c>
      <c r="AN199" s="425" t="n">
        <f aca="false">(($AN$5*O199)/12)*$S$4</f>
        <v>175494.765202095</v>
      </c>
      <c r="AO199" s="425" t="n">
        <f aca="false">($AO$5*O199)/12</f>
        <v>38373.4909334027</v>
      </c>
      <c r="AP199" s="425" t="n">
        <f aca="false">AP198</f>
        <v>46500.5582152336</v>
      </c>
      <c r="AQ199" s="433" t="n">
        <f aca="false">SUM(AK199:AP199)</f>
        <v>532820.599977891</v>
      </c>
      <c r="AR199" s="425" t="n">
        <f aca="false">($AR$5*O199)/12</f>
        <v>19186.7454667014</v>
      </c>
      <c r="AS199" s="433" t="n">
        <f aca="false">AS198</f>
        <v>30387.755</v>
      </c>
      <c r="AT199" s="425" t="n">
        <f aca="false">(AI199/100)*$AT$6*O199</f>
        <v>0</v>
      </c>
      <c r="AU199" s="433" t="n">
        <f aca="false">SUM(AJ199:AT199)-AQ199</f>
        <v>582395.100444592</v>
      </c>
      <c r="AV199" s="433" t="n">
        <f aca="false">AI199-AU199</f>
        <v>-582395.100444592</v>
      </c>
      <c r="AW199" s="493"/>
      <c r="AX199" s="423" t="n">
        <f aca="false">K199</f>
        <v>42370</v>
      </c>
      <c r="BA199" s="126"/>
      <c r="BB199" s="481" t="n">
        <f aca="false">X199</f>
        <v>41.3249984741211</v>
      </c>
      <c r="BC199" s="481" t="n">
        <f aca="false">'Curve Analysis - Base Case'!D191</f>
        <v>48.9549408263964</v>
      </c>
      <c r="BD199" s="479" t="n">
        <f aca="false">L199</f>
        <v>0.074064704776695</v>
      </c>
      <c r="BE199" s="479" t="n">
        <f aca="false">L199</f>
        <v>0.074064704776695</v>
      </c>
      <c r="BF199" s="489" t="n">
        <f aca="false">PJM_01212000!X199</f>
        <v>0.109476038432848</v>
      </c>
      <c r="BG199" s="425" t="n">
        <f aca="false">(AX199+15)-$K$1</f>
        <v>5796</v>
      </c>
      <c r="BH199" s="433" t="n">
        <f aca="false">AD199</f>
        <v>0</v>
      </c>
      <c r="BJ199" s="486" t="e">
        <f aca="false">EURO(BB199,BC199,BD199,BE199,BF199,BG199,1,0)*BH199</f>
        <v>#NAME?</v>
      </c>
      <c r="BK199" s="433" t="n">
        <f aca="false">(AI199-AJ199)*N199</f>
        <v>0</v>
      </c>
      <c r="BM199" s="433" t="e">
        <f aca="false">BJ199-BK199</f>
        <v>#NAME?</v>
      </c>
    </row>
    <row r="200" customFormat="false" ht="16.5" hidden="false" customHeight="false" outlineLevel="0" collapsed="false">
      <c r="A200" s="59" t="n">
        <f aca="false">A199+1</f>
        <v>194</v>
      </c>
      <c r="C200" s="496" t="n">
        <v>29</v>
      </c>
      <c r="D200" s="497" t="s">
        <v>165</v>
      </c>
      <c r="E200" s="125" t="n">
        <f aca="false">E199+C199</f>
        <v>42401</v>
      </c>
      <c r="F200" s="425" t="n">
        <f aca="false">F152</f>
        <v>20</v>
      </c>
      <c r="G200" s="433" t="n">
        <f aca="false">C200-F200</f>
        <v>9</v>
      </c>
      <c r="H200" s="433"/>
      <c r="I200" s="433"/>
      <c r="J200" s="59" t="n">
        <f aca="false">K201-K200</f>
        <v>29</v>
      </c>
      <c r="K200" s="478" t="n">
        <v>42401</v>
      </c>
      <c r="L200" s="490" t="n">
        <v>0.074059531328399</v>
      </c>
      <c r="M200" s="491" t="n">
        <v>0.064416324373016</v>
      </c>
      <c r="N200" s="480" t="n">
        <f aca="false">(1+L200/2)^(-2*((K200+$T$1)-$K$1)/365.25)</f>
        <v>0.311632883769179</v>
      </c>
      <c r="O200" s="127" t="n">
        <f aca="false">VLOOKUP(K200,Inflation!$B$8:$C$266,2)</f>
        <v>1.53835123606924</v>
      </c>
      <c r="P200" s="480"/>
      <c r="Q200" s="481" t="n">
        <f aca="false">VLOOKUP(K200,'Fuel Curve'!$B$11:$F$268,5)</f>
        <v>4.69103448275862</v>
      </c>
      <c r="R200" s="482" t="n">
        <f aca="false">VLOOKUP(K200,'Fuel Curve Simulation'!$B$12:$J$258,9)</f>
        <v>4.69103448275862</v>
      </c>
      <c r="S200" s="481" t="n">
        <f aca="false">(R200*$S$2)/1000</f>
        <v>44.9354193103448</v>
      </c>
      <c r="T200" s="483"/>
      <c r="V200" s="128" t="n">
        <f aca="false">VLOOKUP(K200,PJM_01212000!$A$7:$C$259,3)</f>
        <v>41.3249984741211</v>
      </c>
      <c r="W200" s="128"/>
      <c r="X200" s="484" t="n">
        <f aca="false">'PJM Curve Simulation'!J200</f>
        <v>41.3249984741211</v>
      </c>
      <c r="Y200" s="489"/>
      <c r="Z200" s="483"/>
      <c r="AA200" s="59" t="n">
        <f aca="false">AA199</f>
        <v>315</v>
      </c>
      <c r="AB200" s="425" t="n">
        <f aca="false">AA200*F200*16</f>
        <v>100800</v>
      </c>
      <c r="AC200" s="425" t="n">
        <f aca="false">VLOOKUP(K200,'Company Volumes'!$B$20:$C$259,2)</f>
        <v>462.161908422667</v>
      </c>
      <c r="AD200" s="485" t="n">
        <f aca="false">IF(V200&gt;S200+($AM$5*1000*O200),AA200*F200*16,0)</f>
        <v>0</v>
      </c>
      <c r="AE200" s="425"/>
      <c r="AF200" s="425" t="n">
        <v>0</v>
      </c>
      <c r="AG200" s="425" t="n">
        <v>0</v>
      </c>
      <c r="AH200" s="425" t="n">
        <f aca="false">X200*AD200</f>
        <v>0</v>
      </c>
      <c r="AI200" s="425" t="n">
        <f aca="false">SUM(AF200:AH200)</f>
        <v>0</v>
      </c>
      <c r="AJ200" s="425" t="n">
        <f aca="false">(AD200*1000*$S$2)/1000000*R200</f>
        <v>0</v>
      </c>
      <c r="AK200" s="425" t="n">
        <f aca="false">($AK$5*O200)/12</f>
        <v>76917.5618034621</v>
      </c>
      <c r="AL200" s="425" t="n">
        <f aca="false">($AL$5*O200)/12</f>
        <v>196139.782598828</v>
      </c>
      <c r="AM200" s="425" t="n">
        <f aca="false">AD200*$AM$5*1000*O200</f>
        <v>0</v>
      </c>
      <c r="AN200" s="425" t="n">
        <f aca="false">(($AN$5*O200)/12)*$S$4</f>
        <v>175884.82465725</v>
      </c>
      <c r="AO200" s="425" t="n">
        <f aca="false">($AO$5*O200)/12</f>
        <v>38458.7809017311</v>
      </c>
      <c r="AP200" s="425" t="n">
        <f aca="false">AP199</f>
        <v>46500.5582152336</v>
      </c>
      <c r="AQ200" s="433" t="n">
        <f aca="false">SUM(AK200:AP200)</f>
        <v>533901.508176505</v>
      </c>
      <c r="AR200" s="425" t="n">
        <f aca="false">($AR$5*O200)/12</f>
        <v>19229.3904508655</v>
      </c>
      <c r="AS200" s="433" t="n">
        <f aca="false">AS199</f>
        <v>30387.755</v>
      </c>
      <c r="AT200" s="425" t="n">
        <f aca="false">(AI200/100)*$AT$6*O200</f>
        <v>0</v>
      </c>
      <c r="AU200" s="433" t="n">
        <f aca="false">SUM(AJ200:AT200)-AQ200</f>
        <v>583518.653627371</v>
      </c>
      <c r="AV200" s="433" t="n">
        <f aca="false">AI200-AU200</f>
        <v>-583518.653627371</v>
      </c>
      <c r="AW200" s="493"/>
      <c r="AX200" s="423" t="n">
        <f aca="false">K200</f>
        <v>42401</v>
      </c>
      <c r="BA200" s="126"/>
      <c r="BB200" s="481" t="n">
        <f aca="false">X200</f>
        <v>41.3249984741211</v>
      </c>
      <c r="BC200" s="481" t="n">
        <f aca="false">'Curve Analysis - Base Case'!D192</f>
        <v>48.0121217824833</v>
      </c>
      <c r="BD200" s="479" t="n">
        <f aca="false">L200</f>
        <v>0.074059531328399</v>
      </c>
      <c r="BE200" s="479" t="n">
        <f aca="false">L200</f>
        <v>0.074059531328399</v>
      </c>
      <c r="BF200" s="489" t="n">
        <f aca="false">PJM_01212000!X200</f>
        <v>0.109476038432848</v>
      </c>
      <c r="BG200" s="425" t="n">
        <f aca="false">(AX200+15)-$K$1</f>
        <v>5827</v>
      </c>
      <c r="BH200" s="433" t="n">
        <f aca="false">AD200</f>
        <v>0</v>
      </c>
      <c r="BJ200" s="486" t="e">
        <f aca="false">EURO(BB200,BC200,BD200,BE200,BF200,BG200,1,0)*BH200</f>
        <v>#NAME?</v>
      </c>
      <c r="BK200" s="433" t="n">
        <f aca="false">(AI200-AJ200)*N200</f>
        <v>0</v>
      </c>
      <c r="BM200" s="433" t="e">
        <f aca="false">BJ200-BK200</f>
        <v>#NAME?</v>
      </c>
    </row>
    <row r="201" customFormat="false" ht="16.5" hidden="false" customHeight="false" outlineLevel="0" collapsed="false">
      <c r="A201" s="59" t="n">
        <f aca="false">A200+1</f>
        <v>195</v>
      </c>
      <c r="C201" s="59" t="n">
        <v>31</v>
      </c>
      <c r="D201" s="59" t="s">
        <v>166</v>
      </c>
      <c r="E201" s="125" t="n">
        <f aca="false">E200+C200</f>
        <v>42430</v>
      </c>
      <c r="F201" s="425" t="n">
        <f aca="false">F153</f>
        <v>23</v>
      </c>
      <c r="G201" s="433" t="n">
        <f aca="false">C201-F201</f>
        <v>8</v>
      </c>
      <c r="H201" s="433"/>
      <c r="I201" s="433"/>
      <c r="J201" s="59" t="n">
        <f aca="false">K202-K201</f>
        <v>31</v>
      </c>
      <c r="K201" s="478" t="n">
        <v>42430</v>
      </c>
      <c r="L201" s="490" t="n">
        <v>0.07405469165097</v>
      </c>
      <c r="M201" s="491" t="n">
        <v>0.064427187428052</v>
      </c>
      <c r="N201" s="480" t="n">
        <f aca="false">(1+L201/2)^(-2*((K201+$T$1)-$K$1)/365.25)</f>
        <v>0.309862030345046</v>
      </c>
      <c r="O201" s="127" t="n">
        <f aca="false">VLOOKUP(K201,Inflation!$B$8:$C$266,2)</f>
        <v>1.54177041751484</v>
      </c>
      <c r="P201" s="480"/>
      <c r="Q201" s="481" t="n">
        <f aca="false">VLOOKUP(K201,'Fuel Curve'!$B$11:$F$268,5)</f>
        <v>4.59396551724138</v>
      </c>
      <c r="R201" s="482" t="n">
        <f aca="false">VLOOKUP(K201,'Fuel Curve Simulation'!$B$12:$J$258,9)</f>
        <v>4.59396551724138</v>
      </c>
      <c r="S201" s="481" t="n">
        <f aca="false">(R201*$S$2)/1000</f>
        <v>44.0055956896552</v>
      </c>
      <c r="T201" s="483"/>
      <c r="V201" s="128" t="n">
        <f aca="false">VLOOKUP(K201,PJM_01212000!$A$7:$C$259,3)</f>
        <v>31.0500007629395</v>
      </c>
      <c r="W201" s="128"/>
      <c r="X201" s="484" t="n">
        <f aca="false">'PJM Curve Simulation'!J201</f>
        <v>31.0500007629395</v>
      </c>
      <c r="Y201" s="489"/>
      <c r="Z201" s="483"/>
      <c r="AA201" s="59" t="n">
        <f aca="false">AA200</f>
        <v>315</v>
      </c>
      <c r="AB201" s="425" t="n">
        <f aca="false">AA201*F201*16</f>
        <v>115920</v>
      </c>
      <c r="AC201" s="425" t="n">
        <f aca="false">VLOOKUP(K201,'Company Volumes'!$B$20:$C$259,2)</f>
        <v>462.161908422667</v>
      </c>
      <c r="AD201" s="485" t="n">
        <f aca="false">IF(V201&gt;S201+($AM$5*1000*O201),AA201*F201*16,0)</f>
        <v>0</v>
      </c>
      <c r="AE201" s="425"/>
      <c r="AF201" s="425" t="n">
        <v>0</v>
      </c>
      <c r="AG201" s="425" t="n">
        <v>0</v>
      </c>
      <c r="AH201" s="425" t="n">
        <f aca="false">X201*AD201</f>
        <v>0</v>
      </c>
      <c r="AI201" s="425" t="n">
        <f aca="false">SUM(AF201:AH201)</f>
        <v>0</v>
      </c>
      <c r="AJ201" s="425" t="n">
        <f aca="false">(AD201*1000*$S$2)/1000000*R201</f>
        <v>0</v>
      </c>
      <c r="AK201" s="425" t="n">
        <f aca="false">($AK$5*O201)/12</f>
        <v>77088.5208757419</v>
      </c>
      <c r="AL201" s="425" t="n">
        <f aca="false">($AL$5*O201)/12</f>
        <v>196575.728233142</v>
      </c>
      <c r="AM201" s="425" t="n">
        <f aca="false">AD201*$AM$5*1000*O201</f>
        <v>0</v>
      </c>
      <c r="AN201" s="425" t="n">
        <f aca="false">(($AN$5*O201)/12)*$S$4</f>
        <v>176275.751069196</v>
      </c>
      <c r="AO201" s="425" t="n">
        <f aca="false">($AO$5*O201)/12</f>
        <v>38544.2604378709</v>
      </c>
      <c r="AP201" s="425" t="n">
        <f aca="false">AP200</f>
        <v>46500.5582152336</v>
      </c>
      <c r="AQ201" s="433" t="n">
        <f aca="false">SUM(AK201:AP201)</f>
        <v>534984.818831185</v>
      </c>
      <c r="AR201" s="425" t="n">
        <f aca="false">($AR$5*O201)/12</f>
        <v>19272.1302189355</v>
      </c>
      <c r="AS201" s="433" t="n">
        <f aca="false">AS200</f>
        <v>30387.755</v>
      </c>
      <c r="AT201" s="425" t="n">
        <f aca="false">(AI201/100)*$AT$6*O201</f>
        <v>0</v>
      </c>
      <c r="AU201" s="433" t="n">
        <f aca="false">SUM(AJ201:AT201)-AQ201</f>
        <v>584644.70405012</v>
      </c>
      <c r="AV201" s="433" t="n">
        <f aca="false">AI201-AU201</f>
        <v>-584644.70405012</v>
      </c>
      <c r="AW201" s="493"/>
      <c r="AX201" s="423" t="n">
        <f aca="false">K201</f>
        <v>42430</v>
      </c>
      <c r="BA201" s="126"/>
      <c r="BB201" s="481" t="n">
        <f aca="false">X201</f>
        <v>31.0500007629395</v>
      </c>
      <c r="BC201" s="481" t="n">
        <f aca="false">'Curve Analysis - Base Case'!D193</f>
        <v>47.0891365246849</v>
      </c>
      <c r="BD201" s="479" t="n">
        <f aca="false">L201</f>
        <v>0.07405469165097</v>
      </c>
      <c r="BE201" s="479" t="n">
        <f aca="false">L201</f>
        <v>0.07405469165097</v>
      </c>
      <c r="BF201" s="489" t="n">
        <f aca="false">PJM_01212000!X201</f>
        <v>0.091230032027373</v>
      </c>
      <c r="BG201" s="425" t="n">
        <f aca="false">(AX201+15)-$K$1</f>
        <v>5856</v>
      </c>
      <c r="BH201" s="433" t="n">
        <f aca="false">AD201</f>
        <v>0</v>
      </c>
      <c r="BJ201" s="486" t="e">
        <f aca="false">EURO(BB201,BC201,BD201,BE201,BF201,BG201,1,0)*BH201</f>
        <v>#NAME?</v>
      </c>
      <c r="BK201" s="433" t="n">
        <f aca="false">(AI201-AJ201)*N201</f>
        <v>0</v>
      </c>
      <c r="BM201" s="433" t="e">
        <f aca="false">BJ201-BK201</f>
        <v>#NAME?</v>
      </c>
    </row>
    <row r="202" customFormat="false" ht="16.5" hidden="false" customHeight="false" outlineLevel="0" collapsed="false">
      <c r="A202" s="59" t="n">
        <f aca="false">A201+1</f>
        <v>196</v>
      </c>
      <c r="C202" s="59" t="n">
        <v>30</v>
      </c>
      <c r="D202" s="59" t="s">
        <v>167</v>
      </c>
      <c r="E202" s="125" t="n">
        <f aca="false">E201+C201</f>
        <v>42461</v>
      </c>
      <c r="F202" s="425" t="n">
        <f aca="false">F154</f>
        <v>22</v>
      </c>
      <c r="G202" s="433" t="n">
        <f aca="false">C202-F202</f>
        <v>8</v>
      </c>
      <c r="H202" s="433"/>
      <c r="I202" s="433"/>
      <c r="J202" s="59" t="n">
        <f aca="false">K203-K202</f>
        <v>30</v>
      </c>
      <c r="K202" s="478" t="n">
        <v>42461</v>
      </c>
      <c r="L202" s="490" t="n">
        <v>0.074049518202691</v>
      </c>
      <c r="M202" s="491" t="n">
        <v>0.064438799660207</v>
      </c>
      <c r="N202" s="480" t="n">
        <f aca="false">(1+L202/2)^(-2*((K202+$T$1)-$K$1)/365.25)</f>
        <v>0.307980427883324</v>
      </c>
      <c r="O202" s="127" t="n">
        <f aca="false">VLOOKUP(K202,Inflation!$B$8:$C$266,2)</f>
        <v>1.54519719852644</v>
      </c>
      <c r="P202" s="480"/>
      <c r="Q202" s="481" t="n">
        <f aca="false">VLOOKUP(K202,'Fuel Curve'!$B$11:$F$268,5)</f>
        <v>4.49396551724138</v>
      </c>
      <c r="R202" s="482" t="n">
        <f aca="false">VLOOKUP(K202,'Fuel Curve Simulation'!$B$12:$J$258,9)</f>
        <v>4.49396551724138</v>
      </c>
      <c r="S202" s="481" t="n">
        <f aca="false">(R202*$S$2)/1000</f>
        <v>43.0476956896552</v>
      </c>
      <c r="T202" s="483"/>
      <c r="V202" s="128" t="n">
        <f aca="false">VLOOKUP(K202,PJM_01212000!$A$7:$C$259,3)</f>
        <v>30.8250007629395</v>
      </c>
      <c r="W202" s="128"/>
      <c r="X202" s="484" t="n">
        <f aca="false">'PJM Curve Simulation'!J202</f>
        <v>30.8250007629395</v>
      </c>
      <c r="Y202" s="489"/>
      <c r="Z202" s="483"/>
      <c r="AA202" s="59" t="n">
        <f aca="false">AA201</f>
        <v>315</v>
      </c>
      <c r="AB202" s="425" t="n">
        <f aca="false">AA202*F202*16</f>
        <v>110880</v>
      </c>
      <c r="AC202" s="425" t="n">
        <f aca="false">VLOOKUP(K202,'Company Volumes'!$B$20:$C$259,2)</f>
        <v>6991.63044670222</v>
      </c>
      <c r="AD202" s="485" t="n">
        <f aca="false">IF(V202&gt;S202+($AM$5*1000*O202),AA202*F202*16,0)</f>
        <v>0</v>
      </c>
      <c r="AE202" s="425"/>
      <c r="AF202" s="425" t="n">
        <v>0</v>
      </c>
      <c r="AG202" s="425" t="n">
        <v>0</v>
      </c>
      <c r="AH202" s="425" t="n">
        <f aca="false">X202*AD202</f>
        <v>0</v>
      </c>
      <c r="AI202" s="425" t="n">
        <f aca="false">SUM(AF202:AH202)</f>
        <v>0</v>
      </c>
      <c r="AJ202" s="425" t="n">
        <f aca="false">(AD202*1000*$S$2)/1000000*R202</f>
        <v>0</v>
      </c>
      <c r="AK202" s="425" t="n">
        <f aca="false">($AK$5*O202)/12</f>
        <v>77259.8599263219</v>
      </c>
      <c r="AL202" s="425" t="n">
        <f aca="false">($AL$5*O202)/12</f>
        <v>197012.642812121</v>
      </c>
      <c r="AM202" s="425" t="n">
        <f aca="false">AD202*$AM$5*1000*O202</f>
        <v>0</v>
      </c>
      <c r="AN202" s="425" t="n">
        <f aca="false">(($AN$5*O202)/12)*$S$4</f>
        <v>176667.546364856</v>
      </c>
      <c r="AO202" s="425" t="n">
        <f aca="false">($AO$5*O202)/12</f>
        <v>38629.929963161</v>
      </c>
      <c r="AP202" s="425" t="n">
        <f aca="false">AP201</f>
        <v>46500.5582152336</v>
      </c>
      <c r="AQ202" s="433" t="n">
        <f aca="false">SUM(AK202:AP202)</f>
        <v>536070.537281694</v>
      </c>
      <c r="AR202" s="425" t="n">
        <f aca="false">($AR$5*O202)/12</f>
        <v>19314.9649815805</v>
      </c>
      <c r="AS202" s="433" t="n">
        <f aca="false">AS201</f>
        <v>30387.755</v>
      </c>
      <c r="AT202" s="425" t="n">
        <f aca="false">(AI202/100)*$AT$6*O202</f>
        <v>0</v>
      </c>
      <c r="AU202" s="433" t="n">
        <f aca="false">SUM(AJ202:AT202)-AQ202</f>
        <v>585773.257263274</v>
      </c>
      <c r="AV202" s="433" t="n">
        <f aca="false">AI202-AU202</f>
        <v>-585773.257263274</v>
      </c>
      <c r="AW202" s="493"/>
      <c r="AX202" s="423" t="n">
        <f aca="false">K202</f>
        <v>42461</v>
      </c>
      <c r="BA202" s="126"/>
      <c r="BB202" s="481" t="n">
        <f aca="false">X202</f>
        <v>30.8250007629395</v>
      </c>
      <c r="BC202" s="481" t="n">
        <f aca="false">'Curve Analysis - Base Case'!D194</f>
        <v>46.1380900867081</v>
      </c>
      <c r="BD202" s="479" t="n">
        <f aca="false">L202</f>
        <v>0.074049518202691</v>
      </c>
      <c r="BE202" s="479" t="n">
        <f aca="false">L202</f>
        <v>0.074049518202691</v>
      </c>
      <c r="BF202" s="489" t="n">
        <f aca="false">PJM_01212000!X202</f>
        <v>0.0866685304260044</v>
      </c>
      <c r="BG202" s="425" t="n">
        <f aca="false">(AX202+15)-$K$1</f>
        <v>5887</v>
      </c>
      <c r="BH202" s="433" t="n">
        <f aca="false">AD202</f>
        <v>0</v>
      </c>
      <c r="BJ202" s="486" t="e">
        <f aca="false">EURO(BB202,BC202,BD202,BE202,BF202,BG202,1,0)*BH202</f>
        <v>#NAME?</v>
      </c>
      <c r="BK202" s="433" t="n">
        <f aca="false">(AI202-AJ202)*N202</f>
        <v>0</v>
      </c>
      <c r="BM202" s="433" t="e">
        <f aca="false">BJ202-BK202</f>
        <v>#NAME?</v>
      </c>
    </row>
    <row r="203" customFormat="false" ht="16.5" hidden="false" customHeight="false" outlineLevel="0" collapsed="false">
      <c r="A203" s="59" t="n">
        <f aca="false">A202+1</f>
        <v>197</v>
      </c>
      <c r="C203" s="59" t="n">
        <v>31</v>
      </c>
      <c r="D203" s="59" t="s">
        <v>29</v>
      </c>
      <c r="E203" s="125" t="n">
        <f aca="false">E202+C202</f>
        <v>42491</v>
      </c>
      <c r="F203" s="425" t="n">
        <f aca="false">F155</f>
        <v>21</v>
      </c>
      <c r="G203" s="433" t="n">
        <f aca="false">C203-F203</f>
        <v>10</v>
      </c>
      <c r="H203" s="433"/>
      <c r="I203" s="433"/>
      <c r="J203" s="59" t="n">
        <f aca="false">K204-K203</f>
        <v>31</v>
      </c>
      <c r="K203" s="478" t="n">
        <v>42491</v>
      </c>
      <c r="L203" s="490" t="n">
        <v>0.074044511639849</v>
      </c>
      <c r="M203" s="491" t="n">
        <v>0.064450037305121</v>
      </c>
      <c r="N203" s="480" t="n">
        <f aca="false">(1+L203/2)^(-2*((K203+$T$1)-$K$1)/365.25)</f>
        <v>0.306170648809578</v>
      </c>
      <c r="O203" s="127" t="n">
        <f aca="false">VLOOKUP(K203,Inflation!$B$8:$C$266,2)</f>
        <v>1.54863159599505</v>
      </c>
      <c r="P203" s="480"/>
      <c r="Q203" s="481" t="n">
        <f aca="false">VLOOKUP(K203,'Fuel Curve'!$B$11:$F$268,5)</f>
        <v>4.42672413793104</v>
      </c>
      <c r="R203" s="482" t="n">
        <f aca="false">VLOOKUP(K203,'Fuel Curve Simulation'!$B$12:$J$258,9)</f>
        <v>4.42672413793104</v>
      </c>
      <c r="S203" s="481" t="n">
        <f aca="false">(R203*$S$2)/1000</f>
        <v>42.4035905172414</v>
      </c>
      <c r="T203" s="483"/>
      <c r="V203" s="128" t="n">
        <f aca="false">VLOOKUP(K203,PJM_01212000!$A$7:$C$259,3)</f>
        <v>38.825</v>
      </c>
      <c r="W203" s="128"/>
      <c r="X203" s="484" t="n">
        <f aca="false">'PJM Curve Simulation'!J203</f>
        <v>38.825</v>
      </c>
      <c r="Y203" s="489"/>
      <c r="Z203" s="483"/>
      <c r="AA203" s="59" t="n">
        <f aca="false">AA202</f>
        <v>315</v>
      </c>
      <c r="AB203" s="425" t="n">
        <f aca="false">AA203*F203*16</f>
        <v>105840</v>
      </c>
      <c r="AC203" s="425" t="n">
        <f aca="false">VLOOKUP(K203,'Company Volumes'!$B$20:$C$259,2)</f>
        <v>17781.5048920787</v>
      </c>
      <c r="AD203" s="485" t="n">
        <f aca="false">IF(V203&gt;S203+($AM$5*1000*O203),AA203*F203*16,0)</f>
        <v>0</v>
      </c>
      <c r="AE203" s="425"/>
      <c r="AF203" s="425" t="n">
        <v>0</v>
      </c>
      <c r="AG203" s="425" t="n">
        <v>0</v>
      </c>
      <c r="AH203" s="425" t="n">
        <f aca="false">X203*AD203</f>
        <v>0</v>
      </c>
      <c r="AI203" s="425" t="n">
        <f aca="false">SUM(AF203:AH203)</f>
        <v>0</v>
      </c>
      <c r="AJ203" s="425" t="n">
        <f aca="false">(AD203*1000*$S$2)/1000000*R203</f>
        <v>0</v>
      </c>
      <c r="AK203" s="425" t="n">
        <f aca="false">($AK$5*O203)/12</f>
        <v>77431.5797997524</v>
      </c>
      <c r="AL203" s="425" t="n">
        <f aca="false">($AL$5*O203)/12</f>
        <v>197450.528489369</v>
      </c>
      <c r="AM203" s="425" t="n">
        <f aca="false">AD203*$AM$5*1000*O203</f>
        <v>0</v>
      </c>
      <c r="AN203" s="425" t="n">
        <f aca="false">(($AN$5*O203)/12)*$S$4</f>
        <v>177060.212475434</v>
      </c>
      <c r="AO203" s="425" t="n">
        <f aca="false">($AO$5*O203)/12</f>
        <v>38715.7898998762</v>
      </c>
      <c r="AP203" s="425" t="n">
        <f aca="false">AP202</f>
        <v>46500.5582152336</v>
      </c>
      <c r="AQ203" s="433" t="n">
        <f aca="false">SUM(AK203:AP203)</f>
        <v>537158.668879665</v>
      </c>
      <c r="AR203" s="425" t="n">
        <f aca="false">($AR$5*O203)/12</f>
        <v>19357.8949499381</v>
      </c>
      <c r="AS203" s="433" t="n">
        <f aca="false">AS202</f>
        <v>30387.755</v>
      </c>
      <c r="AT203" s="425" t="n">
        <f aca="false">(AI203/100)*$AT$6*O203</f>
        <v>0</v>
      </c>
      <c r="AU203" s="433" t="n">
        <f aca="false">SUM(AJ203:AT203)-AQ203</f>
        <v>586904.318829603</v>
      </c>
      <c r="AV203" s="433" t="n">
        <f aca="false">AI203-AU203</f>
        <v>-586904.318829603</v>
      </c>
      <c r="AW203" s="493"/>
      <c r="AX203" s="423" t="n">
        <f aca="false">K203</f>
        <v>42491</v>
      </c>
      <c r="BA203" s="126"/>
      <c r="BB203" s="481" t="n">
        <f aca="false">X203</f>
        <v>38.825</v>
      </c>
      <c r="BC203" s="481" t="n">
        <f aca="false">'Curve Analysis - Base Case'!D195</f>
        <v>45.5008537092315</v>
      </c>
      <c r="BD203" s="479" t="n">
        <f aca="false">L203</f>
        <v>0.074044511639849</v>
      </c>
      <c r="BE203" s="479" t="n">
        <f aca="false">L203</f>
        <v>0.074044511639849</v>
      </c>
      <c r="BF203" s="489" t="n">
        <f aca="false">PJM_01212000!X203</f>
        <v>0.0957915336287416</v>
      </c>
      <c r="BG203" s="425" t="n">
        <f aca="false">(AX203+15)-$K$1</f>
        <v>5917</v>
      </c>
      <c r="BH203" s="433" t="n">
        <f aca="false">AD203</f>
        <v>0</v>
      </c>
      <c r="BJ203" s="486" t="e">
        <f aca="false">EURO(BB203,BC203,BD203,BE203,BF203,BG203,1,0)*BH203</f>
        <v>#NAME?</v>
      </c>
      <c r="BK203" s="433" t="n">
        <f aca="false">(AI203-AJ203)*N203</f>
        <v>0</v>
      </c>
      <c r="BM203" s="433" t="e">
        <f aca="false">BJ203-BK203</f>
        <v>#NAME?</v>
      </c>
    </row>
    <row r="204" customFormat="false" ht="16.5" hidden="false" customHeight="false" outlineLevel="0" collapsed="false">
      <c r="A204" s="59" t="n">
        <f aca="false">A203+1</f>
        <v>198</v>
      </c>
      <c r="C204" s="59" t="n">
        <v>30</v>
      </c>
      <c r="D204" s="59" t="s">
        <v>168</v>
      </c>
      <c r="E204" s="125" t="n">
        <f aca="false">E203+C203</f>
        <v>42522</v>
      </c>
      <c r="F204" s="425" t="n">
        <f aca="false">F156</f>
        <v>22</v>
      </c>
      <c r="G204" s="433" t="n">
        <f aca="false">C204-F204</f>
        <v>8</v>
      </c>
      <c r="H204" s="433"/>
      <c r="I204" s="433"/>
      <c r="J204" s="59" t="n">
        <f aca="false">K205-K204</f>
        <v>30</v>
      </c>
      <c r="K204" s="478" t="n">
        <v>42522</v>
      </c>
      <c r="L204" s="490" t="n">
        <v>0.074039338191588</v>
      </c>
      <c r="M204" s="491" t="n">
        <v>0.064461649539123</v>
      </c>
      <c r="N204" s="480" t="n">
        <f aca="false">(1+L204/2)^(-2*((K204+$T$1)-$K$1)/365.25)</f>
        <v>0.304311969053413</v>
      </c>
      <c r="O204" s="127" t="n">
        <f aca="false">VLOOKUP(K204,Inflation!$B$8:$C$266,2)</f>
        <v>1.55207362684921</v>
      </c>
      <c r="P204" s="480"/>
      <c r="Q204" s="481" t="n">
        <f aca="false">VLOOKUP(K204,'Fuel Curve'!$B$11:$F$268,5)</f>
        <v>4.42017241379311</v>
      </c>
      <c r="R204" s="482" t="n">
        <f aca="false">VLOOKUP(K204,'Fuel Curve Simulation'!$B$12:$J$258,9)</f>
        <v>4.42017241379311</v>
      </c>
      <c r="S204" s="481" t="n">
        <f aca="false">(R204*$S$2)/1000</f>
        <v>42.3408315517242</v>
      </c>
      <c r="T204" s="483"/>
      <c r="V204" s="128" t="n">
        <f aca="false">VLOOKUP(K204,PJM_01212000!$A$7:$C$259,3)</f>
        <v>66.8499984741211</v>
      </c>
      <c r="W204" s="128"/>
      <c r="X204" s="484" t="n">
        <f aca="false">'PJM Curve Simulation'!J204</f>
        <v>66.8499984741211</v>
      </c>
      <c r="Y204" s="489"/>
      <c r="Z204" s="483"/>
      <c r="AA204" s="59" t="n">
        <f aca="false">AA203</f>
        <v>315</v>
      </c>
      <c r="AB204" s="425" t="n">
        <f aca="false">AA204*F204*16</f>
        <v>110880</v>
      </c>
      <c r="AC204" s="425" t="n">
        <f aca="false">VLOOKUP(K204,'Company Volumes'!$B$20:$C$259,2)</f>
        <v>34009.0458633022</v>
      </c>
      <c r="AD204" s="485" t="n">
        <f aca="false">IF(V204&gt;S204+($AM$5*1000*O204),AA204*F204*16,0)</f>
        <v>110880</v>
      </c>
      <c r="AE204" s="425"/>
      <c r="AF204" s="425" t="n">
        <v>0</v>
      </c>
      <c r="AG204" s="425" t="n">
        <v>0</v>
      </c>
      <c r="AH204" s="425" t="n">
        <f aca="false">X204*AD204</f>
        <v>7412327.83081055</v>
      </c>
      <c r="AI204" s="425" t="n">
        <f aca="false">SUM(AF204:AH204)</f>
        <v>7412327.83081055</v>
      </c>
      <c r="AJ204" s="425" t="n">
        <f aca="false">(AD204*1000*$S$2)/1000000*R204</f>
        <v>4694751.40245517</v>
      </c>
      <c r="AK204" s="425" t="n">
        <f aca="false">($AK$5*O204)/12</f>
        <v>77603.6813424605</v>
      </c>
      <c r="AL204" s="425" t="n">
        <f aca="false">($AL$5*O204)/12</f>
        <v>197889.387423274</v>
      </c>
      <c r="AM204" s="425" t="n">
        <f aca="false">AD204*$AM$5*1000*O204</f>
        <v>344187.847490081</v>
      </c>
      <c r="AN204" s="425" t="n">
        <f aca="false">(($AN$5*O204)/12)*$S$4</f>
        <v>177453.751336426</v>
      </c>
      <c r="AO204" s="425" t="n">
        <f aca="false">($AO$5*O204)/12</f>
        <v>38801.8406712303</v>
      </c>
      <c r="AP204" s="425" t="n">
        <f aca="false">AP203</f>
        <v>46500.5582152336</v>
      </c>
      <c r="AQ204" s="433" t="n">
        <f aca="false">SUM(AK204:AP204)</f>
        <v>882437.066478706</v>
      </c>
      <c r="AR204" s="425" t="n">
        <f aca="false">($AR$5*O204)/12</f>
        <v>19400.9203356151</v>
      </c>
      <c r="AS204" s="433" t="n">
        <f aca="false">AS203</f>
        <v>30387.755</v>
      </c>
      <c r="AT204" s="425" t="n">
        <f aca="false">(AI204/100)*$AT$6*O204</f>
        <v>69026.8712385688</v>
      </c>
      <c r="AU204" s="433" t="n">
        <f aca="false">SUM(AJ204:AT204)-AQ204</f>
        <v>5696004.01550806</v>
      </c>
      <c r="AV204" s="433" t="n">
        <f aca="false">AI204-AU204</f>
        <v>1716323.81530248</v>
      </c>
      <c r="AW204" s="493"/>
      <c r="AX204" s="423" t="n">
        <f aca="false">K204</f>
        <v>42522</v>
      </c>
      <c r="BA204" s="126"/>
      <c r="BB204" s="481" t="n">
        <f aca="false">X204</f>
        <v>66.8499984741211</v>
      </c>
      <c r="BC204" s="481" t="n">
        <f aca="false">'Curve Analysis - Base Case'!D196</f>
        <v>45.4449788054226</v>
      </c>
      <c r="BD204" s="479" t="n">
        <f aca="false">L204</f>
        <v>0.074039338191588</v>
      </c>
      <c r="BE204" s="479" t="n">
        <f aca="false">L204</f>
        <v>0.074039338191588</v>
      </c>
      <c r="BF204" s="489" t="n">
        <f aca="false">PJM_01212000!X204</f>
        <v>0.123160543236954</v>
      </c>
      <c r="BG204" s="425" t="n">
        <f aca="false">(AX204+15)-$K$1</f>
        <v>5948</v>
      </c>
      <c r="BH204" s="433" t="n">
        <f aca="false">AD204</f>
        <v>110880</v>
      </c>
      <c r="BJ204" s="486" t="e">
        <f aca="false">EURO(BB204,BC204,BD204,BE204,BF204,BG204,1,0)*BH204</f>
        <v>#NAME?</v>
      </c>
      <c r="BK204" s="433" t="n">
        <f aca="false">(AI204-AJ204)*N204</f>
        <v>826991.033965964</v>
      </c>
      <c r="BM204" s="433" t="e">
        <f aca="false">BJ204-BK204</f>
        <v>#NAME?</v>
      </c>
    </row>
    <row r="205" customFormat="false" ht="16.5" hidden="false" customHeight="false" outlineLevel="0" collapsed="false">
      <c r="A205" s="59" t="n">
        <f aca="false">A204+1</f>
        <v>199</v>
      </c>
      <c r="C205" s="59" t="n">
        <v>31</v>
      </c>
      <c r="D205" s="59" t="s">
        <v>169</v>
      </c>
      <c r="E205" s="125" t="n">
        <f aca="false">E204+C204</f>
        <v>42552</v>
      </c>
      <c r="F205" s="425" t="n">
        <f aca="false">F157</f>
        <v>22</v>
      </c>
      <c r="G205" s="433" t="n">
        <f aca="false">C205-F205</f>
        <v>9</v>
      </c>
      <c r="H205" s="433"/>
      <c r="I205" s="433"/>
      <c r="J205" s="59" t="n">
        <f aca="false">K206-K205</f>
        <v>31</v>
      </c>
      <c r="K205" s="478" t="n">
        <v>42552</v>
      </c>
      <c r="L205" s="490" t="n">
        <v>0.074034331628763</v>
      </c>
      <c r="M205" s="491" t="n">
        <v>0.064472887185825</v>
      </c>
      <c r="N205" s="480" t="n">
        <f aca="false">(1+L205/2)^(-2*((K205+$T$1)-$K$1)/365.25)</f>
        <v>0.302524234830668</v>
      </c>
      <c r="O205" s="127" t="n">
        <f aca="false">VLOOKUP(K205,Inflation!$B$8:$C$266,2)</f>
        <v>1.5555233080551</v>
      </c>
      <c r="P205" s="480"/>
      <c r="Q205" s="481" t="n">
        <f aca="false">VLOOKUP(K205,'Fuel Curve'!$B$11:$F$268,5)</f>
        <v>4.47741379310345</v>
      </c>
      <c r="R205" s="482" t="n">
        <f aca="false">VLOOKUP(K205,'Fuel Curve Simulation'!$B$12:$J$258,9)</f>
        <v>4.47741379310345</v>
      </c>
      <c r="S205" s="481" t="n">
        <f aca="false">(R205*$S$2)/1000</f>
        <v>42.8891467241379</v>
      </c>
      <c r="T205" s="483"/>
      <c r="V205" s="128" t="n">
        <f aca="false">VLOOKUP(K205,PJM_01212000!$A$7:$C$259,3)</f>
        <v>120.449996948242</v>
      </c>
      <c r="W205" s="128"/>
      <c r="X205" s="484" t="n">
        <f aca="false">'PJM Curve Simulation'!J205</f>
        <v>120.449996948242</v>
      </c>
      <c r="Y205" s="489"/>
      <c r="Z205" s="483"/>
      <c r="AA205" s="59" t="n">
        <f aca="false">AA204</f>
        <v>315</v>
      </c>
      <c r="AB205" s="425" t="n">
        <f aca="false">AA205*F205*16</f>
        <v>110880</v>
      </c>
      <c r="AC205" s="425" t="n">
        <f aca="false">VLOOKUP(K205,'Company Volumes'!$B$20:$C$259,2)</f>
        <v>52207.7993917511</v>
      </c>
      <c r="AD205" s="485" t="n">
        <f aca="false">IF(V205&gt;S205+($AM$5*1000*O205),AA205*F205*16,0)</f>
        <v>110880</v>
      </c>
      <c r="AE205" s="425"/>
      <c r="AF205" s="425" t="n">
        <v>0</v>
      </c>
      <c r="AG205" s="425" t="n">
        <v>0</v>
      </c>
      <c r="AH205" s="425" t="n">
        <f aca="false">X205*AD205</f>
        <v>13355495.6616211</v>
      </c>
      <c r="AI205" s="425" t="n">
        <f aca="false">SUM(AF205:AH205)</f>
        <v>13355495.6616211</v>
      </c>
      <c r="AJ205" s="425" t="n">
        <f aca="false">(AD205*1000*$S$2)/1000000*R205</f>
        <v>4755548.58877241</v>
      </c>
      <c r="AK205" s="425" t="n">
        <f aca="false">($AK$5*O205)/12</f>
        <v>77776.1654027549</v>
      </c>
      <c r="AL205" s="425" t="n">
        <f aca="false">($AL$5*O205)/12</f>
        <v>198329.221777025</v>
      </c>
      <c r="AM205" s="425" t="n">
        <f aca="false">AD205*$AM$5*1000*O205</f>
        <v>344952.848794298</v>
      </c>
      <c r="AN205" s="425" t="n">
        <f aca="false">(($AN$5*O205)/12)*$S$4</f>
        <v>177848.164887633</v>
      </c>
      <c r="AO205" s="425" t="n">
        <f aca="false">($AO$5*O205)/12</f>
        <v>38888.0827013774</v>
      </c>
      <c r="AP205" s="425" t="n">
        <f aca="false">AP204</f>
        <v>46500.5582152336</v>
      </c>
      <c r="AQ205" s="433" t="n">
        <f aca="false">SUM(AK205:AP205)</f>
        <v>884295.041778322</v>
      </c>
      <c r="AR205" s="425" t="n">
        <f aca="false">($AR$5*O205)/12</f>
        <v>19444.0413506887</v>
      </c>
      <c r="AS205" s="433" t="n">
        <f aca="false">AS204</f>
        <v>30387.755</v>
      </c>
      <c r="AT205" s="425" t="n">
        <f aca="false">(AI205/100)*$AT$6*O205</f>
        <v>124648.708753682</v>
      </c>
      <c r="AU205" s="433" t="n">
        <f aca="false">SUM(AJ205:AT205)-AQ205</f>
        <v>5814324.13565511</v>
      </c>
      <c r="AV205" s="433" t="n">
        <f aca="false">AI205-AU205</f>
        <v>7541171.52596599</v>
      </c>
      <c r="AW205" s="493"/>
      <c r="AX205" s="423" t="n">
        <f aca="false">K205</f>
        <v>42552</v>
      </c>
      <c r="BA205" s="126"/>
      <c r="BB205" s="481" t="n">
        <f aca="false">X205</f>
        <v>120.449996948242</v>
      </c>
      <c r="BC205" s="481" t="n">
        <f aca="false">'Curve Analysis - Base Case'!D197</f>
        <v>46.0001933402481</v>
      </c>
      <c r="BD205" s="479" t="n">
        <f aca="false">L205</f>
        <v>0.074034331628763</v>
      </c>
      <c r="BE205" s="479" t="n">
        <f aca="false">L205</f>
        <v>0.074034331628763</v>
      </c>
      <c r="BF205" s="489" t="n">
        <f aca="false">PJM_01212000!X205</f>
        <v>0.150529552845165</v>
      </c>
      <c r="BG205" s="425" t="n">
        <f aca="false">(AX205+15)-$K$1</f>
        <v>5978</v>
      </c>
      <c r="BH205" s="433" t="n">
        <f aca="false">AD205</f>
        <v>110880</v>
      </c>
      <c r="BJ205" s="486" t="e">
        <f aca="false">EURO(BB205,BC205,BD205,BE205,BF205,BG205,1,0)*BH205</f>
        <v>#NAME?</v>
      </c>
      <c r="BK205" s="433" t="n">
        <f aca="false">(AI205-AJ205)*N205</f>
        <v>2601692.40779779</v>
      </c>
      <c r="BM205" s="433" t="e">
        <f aca="false">BJ205-BK205</f>
        <v>#NAME?</v>
      </c>
    </row>
    <row r="206" customFormat="false" ht="16.5" hidden="false" customHeight="false" outlineLevel="0" collapsed="false">
      <c r="A206" s="59" t="n">
        <f aca="false">A205+1</f>
        <v>200</v>
      </c>
      <c r="C206" s="59" t="n">
        <v>31</v>
      </c>
      <c r="D206" s="59" t="s">
        <v>170</v>
      </c>
      <c r="E206" s="125" t="n">
        <f aca="false">E205+C205</f>
        <v>42583</v>
      </c>
      <c r="F206" s="425" t="n">
        <f aca="false">F158</f>
        <v>22</v>
      </c>
      <c r="G206" s="433" t="n">
        <f aca="false">C206-F206</f>
        <v>9</v>
      </c>
      <c r="H206" s="433"/>
      <c r="I206" s="433"/>
      <c r="J206" s="59" t="n">
        <f aca="false">K207-K206</f>
        <v>31</v>
      </c>
      <c r="K206" s="478" t="n">
        <v>42583</v>
      </c>
      <c r="L206" s="490" t="n">
        <v>0.074029158180519</v>
      </c>
      <c r="M206" s="491" t="n">
        <v>0.064484499421675</v>
      </c>
      <c r="N206" s="480" t="n">
        <f aca="false">(1+L206/2)^(-2*((K206+$T$1)-$K$1)/365.25)</f>
        <v>0.30068819264278</v>
      </c>
      <c r="O206" s="127" t="n">
        <f aca="false">VLOOKUP(K206,Inflation!$B$8:$C$266,2)</f>
        <v>1.55898065661659</v>
      </c>
      <c r="P206" s="480"/>
      <c r="Q206" s="481" t="n">
        <f aca="false">VLOOKUP(K206,'Fuel Curve'!$B$11:$F$268,5)</f>
        <v>4.56793103448276</v>
      </c>
      <c r="R206" s="482" t="n">
        <f aca="false">VLOOKUP(K206,'Fuel Curve Simulation'!$B$12:$J$258,9)</f>
        <v>4.56793103448276</v>
      </c>
      <c r="S206" s="481" t="n">
        <f aca="false">(R206*$S$2)/1000</f>
        <v>43.7562113793104</v>
      </c>
      <c r="T206" s="483"/>
      <c r="V206" s="128" t="n">
        <f aca="false">VLOOKUP(K206,PJM_01212000!$A$7:$C$259,3)</f>
        <v>107.449996948242</v>
      </c>
      <c r="W206" s="128"/>
      <c r="X206" s="484" t="n">
        <f aca="false">'PJM Curve Simulation'!J206</f>
        <v>107.449996948242</v>
      </c>
      <c r="Y206" s="489"/>
      <c r="Z206" s="483"/>
      <c r="AA206" s="59" t="n">
        <f aca="false">AA205</f>
        <v>315</v>
      </c>
      <c r="AB206" s="425" t="n">
        <f aca="false">AA206*F206*16</f>
        <v>110880</v>
      </c>
      <c r="AC206" s="425" t="n">
        <f aca="false">VLOOKUP(K206,'Company Volumes'!$B$20:$C$259,2)</f>
        <v>34805.199594172</v>
      </c>
      <c r="AD206" s="485" t="n">
        <f aca="false">IF(V206&gt;S206+($AM$5*1000*O206),AA206*F206*16,0)</f>
        <v>110880</v>
      </c>
      <c r="AE206" s="425"/>
      <c r="AF206" s="425" t="n">
        <v>0</v>
      </c>
      <c r="AG206" s="425" t="n">
        <v>0</v>
      </c>
      <c r="AH206" s="425" t="n">
        <f aca="false">X206*AD206</f>
        <v>11914055.6616211</v>
      </c>
      <c r="AI206" s="425" t="n">
        <f aca="false">SUM(AF206:AH206)</f>
        <v>11914055.6616211</v>
      </c>
      <c r="AJ206" s="425" t="n">
        <f aca="false">(AD206*1000*$S$2)/1000000*R206</f>
        <v>4851688.71773793</v>
      </c>
      <c r="AK206" s="425" t="n">
        <f aca="false">($AK$5*O206)/12</f>
        <v>77949.0328308295</v>
      </c>
      <c r="AL206" s="425" t="n">
        <f aca="false">($AL$5*O206)/12</f>
        <v>198770.033718615</v>
      </c>
      <c r="AM206" s="425" t="n">
        <f aca="false">AD206*$AM$5*1000*O206</f>
        <v>345719.550411295</v>
      </c>
      <c r="AN206" s="425" t="n">
        <f aca="false">(($AN$5*O206)/12)*$S$4</f>
        <v>178243.455073163</v>
      </c>
      <c r="AO206" s="425" t="n">
        <f aca="false">($AO$5*O206)/12</f>
        <v>38974.5164154147</v>
      </c>
      <c r="AP206" s="425" t="n">
        <f aca="false">AP205</f>
        <v>46500.5582152336</v>
      </c>
      <c r="AQ206" s="433" t="n">
        <f aca="false">SUM(AK206:AP206)</f>
        <v>886157.146664551</v>
      </c>
      <c r="AR206" s="425" t="n">
        <f aca="false">($AR$5*O206)/12</f>
        <v>19487.2582077074</v>
      </c>
      <c r="AS206" s="433" t="n">
        <f aca="false">AS205</f>
        <v>30387.755</v>
      </c>
      <c r="AT206" s="425" t="n">
        <f aca="false">(AI206/100)*$AT$6*O206</f>
        <v>111442.693909924</v>
      </c>
      <c r="AU206" s="433" t="n">
        <f aca="false">SUM(AJ206:AT206)-AQ206</f>
        <v>5899163.57152011</v>
      </c>
      <c r="AV206" s="433" t="n">
        <f aca="false">AI206-AU206</f>
        <v>6014892.09010098</v>
      </c>
      <c r="AW206" s="493"/>
      <c r="AX206" s="423" t="n">
        <f aca="false">K206</f>
        <v>42583</v>
      </c>
      <c r="BA206" s="126"/>
      <c r="BB206" s="481" t="n">
        <f aca="false">X206</f>
        <v>107.449996948242</v>
      </c>
      <c r="BC206" s="481" t="n">
        <f aca="false">'Curve Analysis - Base Case'!D198</f>
        <v>46.8741726925435</v>
      </c>
      <c r="BD206" s="479" t="n">
        <f aca="false">L206</f>
        <v>0.074029158180519</v>
      </c>
      <c r="BE206" s="479" t="n">
        <f aca="false">L206</f>
        <v>0.074029158180519</v>
      </c>
      <c r="BF206" s="489" t="n">
        <f aca="false">PJM_01212000!X206</f>
        <v>0.150529552845165</v>
      </c>
      <c r="BG206" s="425" t="n">
        <f aca="false">(AX206+15)-$K$1</f>
        <v>6009</v>
      </c>
      <c r="BH206" s="433" t="n">
        <f aca="false">AD206</f>
        <v>110880</v>
      </c>
      <c r="BJ206" s="486" t="e">
        <f aca="false">EURO(BB206,BC206,BD206,BE206,BF206,BG206,1,0)*BH206</f>
        <v>#NAME?</v>
      </c>
      <c r="BK206" s="433" t="n">
        <f aca="false">(AI206-AJ206)*N206</f>
        <v>2123570.35213634</v>
      </c>
      <c r="BM206" s="433" t="e">
        <f aca="false">BJ206-BK206</f>
        <v>#NAME?</v>
      </c>
    </row>
    <row r="207" customFormat="false" ht="16.5" hidden="false" customHeight="false" outlineLevel="0" collapsed="false">
      <c r="A207" s="59" t="n">
        <f aca="false">A206+1</f>
        <v>201</v>
      </c>
      <c r="C207" s="59" t="n">
        <v>30</v>
      </c>
      <c r="D207" s="59" t="s">
        <v>171</v>
      </c>
      <c r="E207" s="125" t="n">
        <f aca="false">E206+C206</f>
        <v>42614</v>
      </c>
      <c r="F207" s="425" t="n">
        <f aca="false">F159</f>
        <v>22</v>
      </c>
      <c r="G207" s="433" t="n">
        <f aca="false">C207-F207</f>
        <v>8</v>
      </c>
      <c r="H207" s="433"/>
      <c r="I207" s="433"/>
      <c r="J207" s="59" t="n">
        <f aca="false">K208-K207</f>
        <v>30</v>
      </c>
      <c r="K207" s="478" t="n">
        <v>42614</v>
      </c>
      <c r="L207" s="490" t="n">
        <v>0.074023984732284</v>
      </c>
      <c r="M207" s="491" t="n">
        <v>0.064496111658463</v>
      </c>
      <c r="N207" s="480" t="n">
        <f aca="false">(1+L207/2)^(-2*((K207+$T$1)-$K$1)/365.25)</f>
        <v>0.298863546680356</v>
      </c>
      <c r="O207" s="127" t="n">
        <f aca="false">VLOOKUP(K207,Inflation!$B$8:$C$266,2)</f>
        <v>1.56244568957536</v>
      </c>
      <c r="P207" s="480"/>
      <c r="Q207" s="481" t="n">
        <f aca="false">VLOOKUP(K207,'Fuel Curve'!$B$11:$F$268,5)</f>
        <v>4.66275862068966</v>
      </c>
      <c r="R207" s="482" t="n">
        <f aca="false">VLOOKUP(K207,'Fuel Curve Simulation'!$B$12:$J$258,9)</f>
        <v>4.66275862068966</v>
      </c>
      <c r="S207" s="481" t="n">
        <f aca="false">(R207*$S$2)/1000</f>
        <v>44.6645648275862</v>
      </c>
      <c r="T207" s="483"/>
      <c r="V207" s="128" t="n">
        <f aca="false">VLOOKUP(K207,PJM_01212000!$A$7:$C$259,3)</f>
        <v>39.4249984741211</v>
      </c>
      <c r="W207" s="128"/>
      <c r="X207" s="484" t="n">
        <f aca="false">'PJM Curve Simulation'!J207</f>
        <v>39.4249984741211</v>
      </c>
      <c r="Y207" s="489"/>
      <c r="Z207" s="483"/>
      <c r="AA207" s="59" t="n">
        <f aca="false">AA206</f>
        <v>315</v>
      </c>
      <c r="AB207" s="425" t="n">
        <f aca="false">AA207*F207*16</f>
        <v>110880</v>
      </c>
      <c r="AC207" s="425" t="n">
        <f aca="false">VLOOKUP(K207,'Company Volumes'!$B$20:$C$259,2)</f>
        <v>21732.9504229942</v>
      </c>
      <c r="AD207" s="485" t="n">
        <f aca="false">IF(V207&gt;S207+($AM$5*1000*O207),AA207*F207*16,0)</f>
        <v>0</v>
      </c>
      <c r="AE207" s="425"/>
      <c r="AF207" s="425" t="n">
        <v>0</v>
      </c>
      <c r="AG207" s="425" t="n">
        <v>0</v>
      </c>
      <c r="AH207" s="425" t="n">
        <f aca="false">X207*AD207</f>
        <v>0</v>
      </c>
      <c r="AI207" s="425" t="n">
        <f aca="false">SUM(AF207:AH207)</f>
        <v>0</v>
      </c>
      <c r="AJ207" s="425" t="n">
        <f aca="false">(AD207*1000*$S$2)/1000000*R207</f>
        <v>0</v>
      </c>
      <c r="AK207" s="425" t="n">
        <f aca="false">($AK$5*O207)/12</f>
        <v>78122.284478768</v>
      </c>
      <c r="AL207" s="425" t="n">
        <f aca="false">($AL$5*O207)/12</f>
        <v>199211.825420858</v>
      </c>
      <c r="AM207" s="425" t="n">
        <f aca="false">AD207*$AM$5*1000*O207</f>
        <v>0</v>
      </c>
      <c r="AN207" s="425" t="n">
        <f aca="false">(($AN$5*O207)/12)*$S$4</f>
        <v>178639.62384145</v>
      </c>
      <c r="AO207" s="425" t="n">
        <f aca="false">($AO$5*O207)/12</f>
        <v>39061.142239384</v>
      </c>
      <c r="AP207" s="425" t="n">
        <f aca="false">AP206</f>
        <v>46500.5582152336</v>
      </c>
      <c r="AQ207" s="433" t="n">
        <f aca="false">SUM(AK207:AP207)</f>
        <v>541535.434195694</v>
      </c>
      <c r="AR207" s="425" t="n">
        <f aca="false">($AR$5*O207)/12</f>
        <v>19530.571119692</v>
      </c>
      <c r="AS207" s="433" t="n">
        <f aca="false">AS206</f>
        <v>30387.755</v>
      </c>
      <c r="AT207" s="425" t="n">
        <f aca="false">(AI207/100)*$AT$6*O207</f>
        <v>0</v>
      </c>
      <c r="AU207" s="433" t="n">
        <f aca="false">SUM(AJ207:AT207)-AQ207</f>
        <v>591453.760315385</v>
      </c>
      <c r="AV207" s="433" t="n">
        <f aca="false">AI207-AU207</f>
        <v>-591453.760315385</v>
      </c>
      <c r="AW207" s="493"/>
      <c r="AX207" s="423" t="n">
        <f aca="false">K207</f>
        <v>42614</v>
      </c>
      <c r="BA207" s="126"/>
      <c r="BB207" s="481" t="n">
        <f aca="false">X207</f>
        <v>39.4249984741211</v>
      </c>
      <c r="BC207" s="481" t="n">
        <f aca="false">'Curve Analysis - Base Case'!D199</f>
        <v>47.7894562067369</v>
      </c>
      <c r="BD207" s="479" t="n">
        <f aca="false">L207</f>
        <v>0.074023984732284</v>
      </c>
      <c r="BE207" s="479" t="n">
        <f aca="false">L207</f>
        <v>0.074023984732284</v>
      </c>
      <c r="BF207" s="489" t="n">
        <f aca="false">PJM_01212000!X207</f>
        <v>0.0967591248775168</v>
      </c>
      <c r="BG207" s="425" t="n">
        <f aca="false">(AX207+15)-$K$1</f>
        <v>6040</v>
      </c>
      <c r="BH207" s="433" t="n">
        <f aca="false">AD207</f>
        <v>0</v>
      </c>
      <c r="BJ207" s="486" t="e">
        <f aca="false">EURO(BB207,BC207,BD207,BE207,BF207,BG207,1,0)*BH207</f>
        <v>#NAME?</v>
      </c>
      <c r="BK207" s="433" t="n">
        <f aca="false">(AI207-AJ207)*N207</f>
        <v>0</v>
      </c>
      <c r="BM207" s="433" t="e">
        <f aca="false">BJ207-BK207</f>
        <v>#NAME?</v>
      </c>
    </row>
    <row r="208" customFormat="false" ht="16.5" hidden="false" customHeight="false" outlineLevel="0" collapsed="false">
      <c r="A208" s="59" t="n">
        <f aca="false">A207+1</f>
        <v>202</v>
      </c>
      <c r="C208" s="59" t="n">
        <v>31</v>
      </c>
      <c r="D208" s="59" t="s">
        <v>172</v>
      </c>
      <c r="E208" s="125" t="n">
        <f aca="false">E207+C207</f>
        <v>42644</v>
      </c>
      <c r="F208" s="425" t="n">
        <f aca="false">F160</f>
        <v>21</v>
      </c>
      <c r="G208" s="433" t="n">
        <f aca="false">C208-F208</f>
        <v>10</v>
      </c>
      <c r="H208" s="433"/>
      <c r="I208" s="433"/>
      <c r="J208" s="59" t="n">
        <f aca="false">K209-K208</f>
        <v>31</v>
      </c>
      <c r="K208" s="478" t="n">
        <v>42644</v>
      </c>
      <c r="L208" s="490" t="n">
        <v>0.074018978169484</v>
      </c>
      <c r="M208" s="491" t="n">
        <v>0.064507349307862</v>
      </c>
      <c r="N208" s="480" t="n">
        <f aca="false">(1+L208/2)^(-2*((K208+$T$1)-$K$1)/365.25)</f>
        <v>0.297108542947644</v>
      </c>
      <c r="O208" s="127" t="n">
        <f aca="false">VLOOKUP(K208,Inflation!$B$8:$C$266,2)</f>
        <v>1.56591842401096</v>
      </c>
      <c r="P208" s="480"/>
      <c r="Q208" s="481" t="n">
        <f aca="false">VLOOKUP(K208,'Fuel Curve'!$B$11:$F$268,5)</f>
        <v>4.75534482758621</v>
      </c>
      <c r="R208" s="482" t="n">
        <f aca="false">VLOOKUP(K208,'Fuel Curve Simulation'!$B$12:$J$258,9)</f>
        <v>4.75534482758621</v>
      </c>
      <c r="S208" s="481" t="n">
        <f aca="false">(R208*$S$2)/1000</f>
        <v>45.5514481034483</v>
      </c>
      <c r="T208" s="483"/>
      <c r="V208" s="128" t="n">
        <f aca="false">VLOOKUP(K208,PJM_01212000!$A$7:$C$259,3)</f>
        <v>31.5750003814697</v>
      </c>
      <c r="W208" s="128"/>
      <c r="X208" s="484" t="n">
        <f aca="false">'PJM Curve Simulation'!J208</f>
        <v>31.5750003814697</v>
      </c>
      <c r="Y208" s="489"/>
      <c r="Z208" s="483"/>
      <c r="AA208" s="59" t="n">
        <f aca="false">AA207</f>
        <v>315</v>
      </c>
      <c r="AB208" s="425" t="n">
        <f aca="false">AA208*F208*16</f>
        <v>105840</v>
      </c>
      <c r="AC208" s="425" t="n">
        <f aca="false">VLOOKUP(K208,'Company Volumes'!$B$20:$C$259,2)</f>
        <v>2847.45208691378</v>
      </c>
      <c r="AD208" s="485" t="n">
        <f aca="false">IF(V208&gt;S208+($AM$5*1000*O208),AA208*F208*16,0)</f>
        <v>0</v>
      </c>
      <c r="AE208" s="425"/>
      <c r="AF208" s="425" t="n">
        <v>0</v>
      </c>
      <c r="AG208" s="425" t="n">
        <v>0</v>
      </c>
      <c r="AH208" s="425" t="n">
        <f aca="false">X208*AD208</f>
        <v>0</v>
      </c>
      <c r="AI208" s="425" t="n">
        <f aca="false">SUM(AF208:AH208)</f>
        <v>0</v>
      </c>
      <c r="AJ208" s="425" t="n">
        <f aca="false">(AD208*1000*$S$2)/1000000*R208</f>
        <v>0</v>
      </c>
      <c r="AK208" s="425" t="n">
        <f aca="false">($AK$5*O208)/12</f>
        <v>78295.9212005481</v>
      </c>
      <c r="AL208" s="425" t="n">
        <f aca="false">($AL$5*O208)/12</f>
        <v>199654.599061398</v>
      </c>
      <c r="AM208" s="425" t="n">
        <f aca="false">AD208*$AM$5*1000*O208</f>
        <v>0</v>
      </c>
      <c r="AN208" s="425" t="n">
        <f aca="false">(($AN$5*O208)/12)*$S$4</f>
        <v>179036.673145253</v>
      </c>
      <c r="AO208" s="425" t="n">
        <f aca="false">($AO$5*O208)/12</f>
        <v>39147.960600274</v>
      </c>
      <c r="AP208" s="425" t="n">
        <f aca="false">AP207</f>
        <v>46500.5582152336</v>
      </c>
      <c r="AQ208" s="433" t="n">
        <f aca="false">SUM(AK208:AP208)</f>
        <v>542635.712222706</v>
      </c>
      <c r="AR208" s="425" t="n">
        <f aca="false">($AR$5*O208)/12</f>
        <v>19573.980300137</v>
      </c>
      <c r="AS208" s="433" t="n">
        <f aca="false">AS207</f>
        <v>30387.755</v>
      </c>
      <c r="AT208" s="425" t="n">
        <f aca="false">(AI208/100)*$AT$6*O208</f>
        <v>0</v>
      </c>
      <c r="AU208" s="433" t="n">
        <f aca="false">SUM(AJ208:AT208)-AQ208</f>
        <v>592597.447522843</v>
      </c>
      <c r="AV208" s="433" t="n">
        <f aca="false">AI208-AU208</f>
        <v>-592597.447522843</v>
      </c>
      <c r="AW208" s="493"/>
      <c r="AX208" s="423" t="n">
        <f aca="false">K208</f>
        <v>42644</v>
      </c>
      <c r="BA208" s="126"/>
      <c r="BB208" s="481" t="n">
        <f aca="false">X208</f>
        <v>31.5750003814697</v>
      </c>
      <c r="BC208" s="481" t="n">
        <f aca="false">'Curve Analysis - Base Case'!D200</f>
        <v>48.6832849514702</v>
      </c>
      <c r="BD208" s="479" t="n">
        <f aca="false">L208</f>
        <v>0.074018978169484</v>
      </c>
      <c r="BE208" s="479" t="n">
        <f aca="false">L208</f>
        <v>0.074018978169484</v>
      </c>
      <c r="BF208" s="489" t="n">
        <f aca="false">PJM_01212000!X208</f>
        <v>0.0684225240205297</v>
      </c>
      <c r="BG208" s="425" t="n">
        <f aca="false">(AX208+15)-$K$1</f>
        <v>6070</v>
      </c>
      <c r="BH208" s="433" t="n">
        <f aca="false">AD208</f>
        <v>0</v>
      </c>
      <c r="BJ208" s="486" t="e">
        <f aca="false">EURO(BB208,BC208,BD208,BE208,BF208,BG208,1,0)*BH208</f>
        <v>#NAME?</v>
      </c>
      <c r="BK208" s="433" t="n">
        <f aca="false">(AI208-AJ208)*N208</f>
        <v>0</v>
      </c>
      <c r="BM208" s="433" t="e">
        <f aca="false">BJ208-BK208</f>
        <v>#NAME?</v>
      </c>
    </row>
    <row r="209" customFormat="false" ht="16.5" hidden="false" customHeight="false" outlineLevel="0" collapsed="false">
      <c r="A209" s="59" t="n">
        <f aca="false">A208+1</f>
        <v>203</v>
      </c>
      <c r="C209" s="59" t="n">
        <v>30</v>
      </c>
      <c r="D209" s="59" t="s">
        <v>173</v>
      </c>
      <c r="E209" s="125" t="n">
        <f aca="false">E208+C208</f>
        <v>42675</v>
      </c>
      <c r="F209" s="425" t="n">
        <f aca="false">F161</f>
        <v>22</v>
      </c>
      <c r="G209" s="433" t="n">
        <f aca="false">C209-F209</f>
        <v>8</v>
      </c>
      <c r="H209" s="433"/>
      <c r="I209" s="433"/>
      <c r="J209" s="59" t="n">
        <f aca="false">K210-K209</f>
        <v>30</v>
      </c>
      <c r="K209" s="478" t="n">
        <v>42675</v>
      </c>
      <c r="L209" s="490" t="n">
        <v>0.074013804721266</v>
      </c>
      <c r="M209" s="491" t="n">
        <v>0.064518961546497</v>
      </c>
      <c r="N209" s="480" t="n">
        <f aca="false">(1+L209/2)^(-2*((K209+$T$1)-$K$1)/365.25)</f>
        <v>0.295306111336586</v>
      </c>
      <c r="O209" s="127" t="n">
        <f aca="false">VLOOKUP(K209,Inflation!$B$8:$C$266,2)</f>
        <v>1.5693988770409</v>
      </c>
      <c r="P209" s="480"/>
      <c r="Q209" s="481" t="n">
        <f aca="false">VLOOKUP(K209,'Fuel Curve'!$B$11:$F$268,5)</f>
        <v>4.80465517241379</v>
      </c>
      <c r="R209" s="482" t="n">
        <f aca="false">VLOOKUP(K209,'Fuel Curve Simulation'!$B$12:$J$258,9)</f>
        <v>4.80465517241379</v>
      </c>
      <c r="S209" s="481" t="n">
        <f aca="false">(R209*$S$2)/1000</f>
        <v>46.0237918965517</v>
      </c>
      <c r="T209" s="483"/>
      <c r="V209" s="128" t="n">
        <f aca="false">VLOOKUP(K209,PJM_01212000!$A$7:$C$259,3)</f>
        <v>31.2474990844727</v>
      </c>
      <c r="W209" s="128"/>
      <c r="X209" s="484" t="n">
        <f aca="false">'PJM Curve Simulation'!J209</f>
        <v>31.2474990844727</v>
      </c>
      <c r="Y209" s="489"/>
      <c r="Z209" s="483"/>
      <c r="AA209" s="59" t="n">
        <f aca="false">AA208</f>
        <v>315</v>
      </c>
      <c r="AB209" s="425" t="n">
        <f aca="false">AA209*F209*16</f>
        <v>110880</v>
      </c>
      <c r="AC209" s="425" t="n">
        <f aca="false">VLOOKUP(K209,'Company Volumes'!$B$20:$C$259,2)</f>
        <v>7520.635146164</v>
      </c>
      <c r="AD209" s="485" t="n">
        <f aca="false">IF(V209&gt;S209+($AM$5*1000*O209),AA209*F209*16,0)</f>
        <v>0</v>
      </c>
      <c r="AE209" s="425"/>
      <c r="AF209" s="425" t="n">
        <v>0</v>
      </c>
      <c r="AG209" s="425" t="n">
        <v>0</v>
      </c>
      <c r="AH209" s="425" t="n">
        <f aca="false">X209*AD209</f>
        <v>0</v>
      </c>
      <c r="AI209" s="425" t="n">
        <f aca="false">SUM(AF209:AH209)</f>
        <v>0</v>
      </c>
      <c r="AJ209" s="425" t="n">
        <f aca="false">(AD209*1000*$S$2)/1000000*R209</f>
        <v>0</v>
      </c>
      <c r="AK209" s="425" t="n">
        <f aca="false">($AK$5*O209)/12</f>
        <v>78469.9438520452</v>
      </c>
      <c r="AL209" s="425" t="n">
        <f aca="false">($AL$5*O209)/12</f>
        <v>200098.356822715</v>
      </c>
      <c r="AM209" s="425" t="n">
        <f aca="false">AD209*$AM$5*1000*O209</f>
        <v>0</v>
      </c>
      <c r="AN209" s="425" t="n">
        <f aca="false">(($AN$5*O209)/12)*$S$4</f>
        <v>179434.604941677</v>
      </c>
      <c r="AO209" s="425" t="n">
        <f aca="false">($AO$5*O209)/12</f>
        <v>39234.9719260226</v>
      </c>
      <c r="AP209" s="425" t="n">
        <f aca="false">AP208</f>
        <v>46500.5582152336</v>
      </c>
      <c r="AQ209" s="433" t="n">
        <f aca="false">SUM(AK209:AP209)</f>
        <v>543738.435757694</v>
      </c>
      <c r="AR209" s="425" t="n">
        <f aca="false">($AR$5*O209)/12</f>
        <v>19617.4859630113</v>
      </c>
      <c r="AS209" s="433" t="n">
        <f aca="false">AS208</f>
        <v>30387.755</v>
      </c>
      <c r="AT209" s="425" t="n">
        <f aca="false">(AI209/100)*$AT$6*O209</f>
        <v>0</v>
      </c>
      <c r="AU209" s="433" t="n">
        <f aca="false">SUM(AJ209:AT209)-AQ209</f>
        <v>593743.676720705</v>
      </c>
      <c r="AV209" s="433" t="n">
        <f aca="false">AI209-AU209</f>
        <v>-593743.676720705</v>
      </c>
      <c r="AW209" s="493"/>
      <c r="AX209" s="423" t="n">
        <f aca="false">K209</f>
        <v>42675</v>
      </c>
      <c r="BA209" s="126"/>
      <c r="BB209" s="481" t="n">
        <f aca="false">X209</f>
        <v>31.2474990844727</v>
      </c>
      <c r="BC209" s="481" t="n">
        <f aca="false">'Curve Analysis - Base Case'!D201</f>
        <v>49.1625896506335</v>
      </c>
      <c r="BD209" s="479" t="n">
        <f aca="false">L209</f>
        <v>0.074013804721266</v>
      </c>
      <c r="BE209" s="479" t="n">
        <f aca="false">L209</f>
        <v>0.074013804721266</v>
      </c>
      <c r="BF209" s="489" t="n">
        <f aca="false">PJM_01212000!X209</f>
        <v>0.0684225240205297</v>
      </c>
      <c r="BG209" s="425" t="n">
        <f aca="false">(AX209+15)-$K$1</f>
        <v>6101</v>
      </c>
      <c r="BH209" s="433" t="n">
        <f aca="false">AD209</f>
        <v>0</v>
      </c>
      <c r="BJ209" s="486" t="e">
        <f aca="false">EURO(BB209,BC209,BD209,BE209,BF209,BG209,1,0)*BH209</f>
        <v>#NAME?</v>
      </c>
      <c r="BK209" s="433" t="n">
        <f aca="false">(AI209-AJ209)*N209</f>
        <v>0</v>
      </c>
      <c r="BM209" s="433" t="e">
        <f aca="false">BJ209-BK209</f>
        <v>#NAME?</v>
      </c>
    </row>
    <row r="210" customFormat="false" ht="16.5" hidden="false" customHeight="false" outlineLevel="0" collapsed="false">
      <c r="A210" s="59" t="n">
        <f aca="false">A209+1</f>
        <v>204</v>
      </c>
      <c r="C210" s="59" t="n">
        <v>31</v>
      </c>
      <c r="D210" s="59" t="s">
        <v>174</v>
      </c>
      <c r="E210" s="125" t="n">
        <f aca="false">E209+C209</f>
        <v>42705</v>
      </c>
      <c r="F210" s="425" t="n">
        <f aca="false">F162</f>
        <v>23</v>
      </c>
      <c r="G210" s="433" t="n">
        <f aca="false">C210-F210</f>
        <v>8</v>
      </c>
      <c r="H210" s="433" t="n">
        <f aca="false">SUM(F199:G210)</f>
        <v>366</v>
      </c>
      <c r="I210" s="433"/>
      <c r="J210" s="59" t="n">
        <f aca="false">K211-K210</f>
        <v>31</v>
      </c>
      <c r="K210" s="478" t="n">
        <v>42705</v>
      </c>
      <c r="L210" s="490" t="n">
        <v>0.074008798158483</v>
      </c>
      <c r="M210" s="491" t="n">
        <v>0.064530199197684</v>
      </c>
      <c r="N210" s="480" t="n">
        <f aca="false">(1+L210/2)^(-2*((K210+$T$1)-$K$1)/365.25)</f>
        <v>0.293572471312034</v>
      </c>
      <c r="O210" s="127" t="n">
        <f aca="false">VLOOKUP(K210,Inflation!$B$8:$C$266,2)</f>
        <v>1.57288706582075</v>
      </c>
      <c r="P210" s="480"/>
      <c r="Q210" s="481" t="n">
        <f aca="false">VLOOKUP(K210,'Fuel Curve'!$B$11:$F$268,5)</f>
        <v>4.84741379310345</v>
      </c>
      <c r="R210" s="482" t="n">
        <f aca="false">VLOOKUP(K210,'Fuel Curve Simulation'!$B$12:$J$258,9)</f>
        <v>4.84741379310345</v>
      </c>
      <c r="S210" s="481" t="n">
        <f aca="false">(R210*$S$2)/1000</f>
        <v>46.4333767241379</v>
      </c>
      <c r="T210" s="483"/>
      <c r="V210" s="128" t="n">
        <f aca="false">VLOOKUP(K210,PJM_01212000!$A$7:$C$259,3)</f>
        <v>32.9999996185303</v>
      </c>
      <c r="W210" s="128"/>
      <c r="X210" s="484" t="n">
        <f aca="false">'PJM Curve Simulation'!J210</f>
        <v>32.9999996185303</v>
      </c>
      <c r="Y210" s="489"/>
      <c r="Z210" s="483"/>
      <c r="AA210" s="59" t="n">
        <f aca="false">AA209</f>
        <v>315</v>
      </c>
      <c r="AB210" s="425" t="n">
        <f aca="false">AA210*F210*16</f>
        <v>115920</v>
      </c>
      <c r="AC210" s="425" t="n">
        <f aca="false">VLOOKUP(K210,'Company Volumes'!$B$20:$C$259,2)</f>
        <v>7520.635146164</v>
      </c>
      <c r="AD210" s="485" t="n">
        <f aca="false">IF(V210&gt;S210+($AM$5*1000*O210),AA210*F210*16,0)</f>
        <v>0</v>
      </c>
      <c r="AE210" s="425"/>
      <c r="AF210" s="425" t="n">
        <v>0</v>
      </c>
      <c r="AG210" s="425" t="n">
        <v>0</v>
      </c>
      <c r="AH210" s="425" t="n">
        <f aca="false">X210*AD210</f>
        <v>0</v>
      </c>
      <c r="AI210" s="425" t="n">
        <f aca="false">SUM(AF210:AH210)</f>
        <v>0</v>
      </c>
      <c r="AJ210" s="425" t="n">
        <f aca="false">(AD210*1000*$S$2)/1000000*R210</f>
        <v>0</v>
      </c>
      <c r="AK210" s="425" t="n">
        <f aca="false">($AK$5*O210)/12</f>
        <v>78644.3532910375</v>
      </c>
      <c r="AL210" s="425" t="n">
        <f aca="false">($AL$5*O210)/12</f>
        <v>200543.100892146</v>
      </c>
      <c r="AM210" s="425" t="n">
        <f aca="false">AD210*$AM$5*1000*O210</f>
        <v>0</v>
      </c>
      <c r="AN210" s="425" t="n">
        <f aca="false">(($AN$5*O210)/12)*$S$4</f>
        <v>179833.421192172</v>
      </c>
      <c r="AO210" s="425" t="n">
        <f aca="false">($AO$5*O210)/12</f>
        <v>39322.1766455187</v>
      </c>
      <c r="AP210" s="425" t="n">
        <f aca="false">AP209</f>
        <v>46500.5582152336</v>
      </c>
      <c r="AQ210" s="433" t="n">
        <f aca="false">SUM(AK210:AP210)</f>
        <v>544843.610236108</v>
      </c>
      <c r="AR210" s="425" t="n">
        <f aca="false">($AR$5*O210)/12</f>
        <v>19661.0883227594</v>
      </c>
      <c r="AS210" s="433" t="n">
        <f aca="false">AS209</f>
        <v>30387.755</v>
      </c>
      <c r="AT210" s="425" t="n">
        <f aca="false">(AI210/100)*$AT$6*O210</f>
        <v>0</v>
      </c>
      <c r="AU210" s="433" t="n">
        <f aca="false">SUM(AJ210:AT210)-AQ210</f>
        <v>594892.453558867</v>
      </c>
      <c r="AV210" s="433" t="n">
        <f aca="false">AI210-AU210</f>
        <v>-594892.453558867</v>
      </c>
      <c r="AW210" s="493"/>
      <c r="AX210" s="423" t="n">
        <f aca="false">K210</f>
        <v>42705</v>
      </c>
      <c r="AY210" s="425" t="n">
        <f aca="false">'Debt Amortization'!X8</f>
        <v>8356131.0186135</v>
      </c>
      <c r="AZ210" s="425" t="n">
        <f aca="false">AY210*N210</f>
        <v>2453130.03374151</v>
      </c>
      <c r="BA210" s="126"/>
      <c r="BB210" s="481" t="n">
        <f aca="false">X210</f>
        <v>32.9999996185303</v>
      </c>
      <c r="BC210" s="481" t="n">
        <f aca="false">'Curve Analysis - Base Case'!D202</f>
        <v>49.5791508557794</v>
      </c>
      <c r="BD210" s="479" t="n">
        <f aca="false">L210</f>
        <v>0.074008798158483</v>
      </c>
      <c r="BE210" s="479" t="n">
        <f aca="false">L210</f>
        <v>0.074008798158483</v>
      </c>
      <c r="BF210" s="489" t="n">
        <f aca="false">PJM_01212000!X210</f>
        <v>0.0684225240205297</v>
      </c>
      <c r="BG210" s="425" t="n">
        <f aca="false">(AX210+15)-$K$1</f>
        <v>6131</v>
      </c>
      <c r="BH210" s="433" t="n">
        <f aca="false">AD210</f>
        <v>0</v>
      </c>
      <c r="BJ210" s="486" t="e">
        <f aca="false">EURO(BB210,BC210,BD210,BE210,BF210,BG210,1,0)*BH210</f>
        <v>#NAME?</v>
      </c>
      <c r="BK210" s="433" t="n">
        <f aca="false">(AI210-AJ210)*N210</f>
        <v>0</v>
      </c>
      <c r="BM210" s="433" t="e">
        <f aca="false">BJ210-BK210</f>
        <v>#NAME?</v>
      </c>
    </row>
    <row r="211" customFormat="false" ht="16.5" hidden="false" customHeight="false" outlineLevel="0" collapsed="false">
      <c r="A211" s="59" t="n">
        <f aca="false">A210+1</f>
        <v>205</v>
      </c>
      <c r="C211" s="59" t="n">
        <v>31</v>
      </c>
      <c r="D211" s="59" t="s">
        <v>164</v>
      </c>
      <c r="E211" s="125" t="n">
        <f aca="false">E210+C210</f>
        <v>42736</v>
      </c>
      <c r="F211" s="425" t="n">
        <f aca="false">F163</f>
        <v>23</v>
      </c>
      <c r="G211" s="433" t="n">
        <f aca="false">C211-F211</f>
        <v>8</v>
      </c>
      <c r="H211" s="433"/>
      <c r="I211" s="433"/>
      <c r="J211" s="59" t="n">
        <f aca="false">K212-K211</f>
        <v>31</v>
      </c>
      <c r="K211" s="478" t="n">
        <v>42736</v>
      </c>
      <c r="L211" s="490" t="n">
        <v>0.074003624710283</v>
      </c>
      <c r="M211" s="491" t="n">
        <v>0.064541811438167</v>
      </c>
      <c r="N211" s="480" t="n">
        <f aca="false">(1+L211/2)^(-2*((K211+$T$1)-$K$1)/365.25)</f>
        <v>0.291791977898877</v>
      </c>
      <c r="O211" s="127" t="n">
        <f aca="false">VLOOKUP(K211,Inflation!$B$8:$C$266,2)</f>
        <v>1.57638300754418</v>
      </c>
      <c r="P211" s="480"/>
      <c r="Q211" s="481" t="n">
        <f aca="false">VLOOKUP(K211,'Fuel Curve'!$B$11:$F$268,5)</f>
        <v>4.79017241379311</v>
      </c>
      <c r="R211" s="482" t="n">
        <f aca="false">VLOOKUP(K211,'Fuel Curve Simulation'!$B$12:$J$258,9)</f>
        <v>4.79017241379311</v>
      </c>
      <c r="S211" s="481" t="n">
        <f aca="false">(R211*$S$2)/1000</f>
        <v>45.8850615517242</v>
      </c>
      <c r="T211" s="483"/>
      <c r="V211" s="128" t="n">
        <f aca="false">VLOOKUP(K211,PJM_01212000!$A$7:$C$259,3)</f>
        <v>41.5749984741211</v>
      </c>
      <c r="W211" s="128"/>
      <c r="X211" s="484" t="n">
        <f aca="false">'PJM Curve Simulation'!J211</f>
        <v>41.5749984741211</v>
      </c>
      <c r="Y211" s="489"/>
      <c r="Z211" s="483"/>
      <c r="AA211" s="59" t="n">
        <f aca="false">AA210</f>
        <v>315</v>
      </c>
      <c r="AB211" s="425" t="n">
        <f aca="false">AA211*F211*16</f>
        <v>115920</v>
      </c>
      <c r="AC211" s="425" t="n">
        <f aca="false">VLOOKUP(K211,'Company Volumes'!$B$20:$C$259,2)</f>
        <v>14369.0338688431</v>
      </c>
      <c r="AD211" s="485" t="n">
        <f aca="false">IF(V211&gt;S211+($AM$5*1000*O211),AA211*F211*16,0)</f>
        <v>0</v>
      </c>
      <c r="AE211" s="425"/>
      <c r="AF211" s="425" t="n">
        <v>0</v>
      </c>
      <c r="AG211" s="425" t="n">
        <v>0</v>
      </c>
      <c r="AH211" s="425" t="n">
        <f aca="false">X211*AD211</f>
        <v>0</v>
      </c>
      <c r="AI211" s="425" t="n">
        <f aca="false">SUM(AF211:AH211)</f>
        <v>0</v>
      </c>
      <c r="AJ211" s="425" t="n">
        <f aca="false">(AD211*1000*$S$2)/1000000*R211</f>
        <v>0</v>
      </c>
      <c r="AK211" s="425" t="n">
        <f aca="false">($AK$5*O211)/12</f>
        <v>78819.1503772092</v>
      </c>
      <c r="AL211" s="425" t="n">
        <f aca="false">($AL$5*O211)/12</f>
        <v>200988.833461883</v>
      </c>
      <c r="AM211" s="425" t="n">
        <f aca="false">AD211*$AM$5*1000*O211</f>
        <v>0</v>
      </c>
      <c r="AN211" s="425" t="n">
        <f aca="false">(($AN$5*O211)/12)*$S$4</f>
        <v>180233.123862552</v>
      </c>
      <c r="AO211" s="425" t="n">
        <f aca="false">($AO$5*O211)/12</f>
        <v>39409.5751886046</v>
      </c>
      <c r="AP211" s="425" t="n">
        <f aca="false">AP210</f>
        <v>46500.5582152336</v>
      </c>
      <c r="AQ211" s="433" t="n">
        <f aca="false">SUM(AK211:AP211)</f>
        <v>545951.241105482</v>
      </c>
      <c r="AR211" s="425" t="n">
        <f aca="false">($AR$5*O211)/12</f>
        <v>19704.7875943023</v>
      </c>
      <c r="AS211" s="433" t="n">
        <f aca="false">AS210</f>
        <v>30387.755</v>
      </c>
      <c r="AT211" s="425" t="n">
        <f aca="false">(AI211/100)*$AT$6*O211</f>
        <v>0</v>
      </c>
      <c r="AU211" s="433" t="n">
        <f aca="false">SUM(AJ211:AT211)-AQ211</f>
        <v>596043.783699785</v>
      </c>
      <c r="AV211" s="433" t="n">
        <f aca="false">AI211-AU211</f>
        <v>-596043.783699785</v>
      </c>
      <c r="AW211" s="493"/>
      <c r="AX211" s="423" t="n">
        <f aca="false">K211</f>
        <v>42736</v>
      </c>
      <c r="BA211" s="126"/>
      <c r="BB211" s="481" t="n">
        <f aca="false">X211</f>
        <v>41.5749984741211</v>
      </c>
      <c r="BC211" s="481" t="n">
        <f aca="false">'Curve Analysis - Base Case'!D203</f>
        <v>49.0378275668125</v>
      </c>
      <c r="BD211" s="479" t="n">
        <f aca="false">L211</f>
        <v>0.074003624710283</v>
      </c>
      <c r="BE211" s="479" t="n">
        <f aca="false">L211</f>
        <v>0.074003624710283</v>
      </c>
      <c r="BF211" s="489" t="n">
        <f aca="false">PJM_01212000!X211</f>
        <v>0.105096996895534</v>
      </c>
      <c r="BG211" s="425" t="n">
        <f aca="false">(AX211+15)-$K$1</f>
        <v>6162</v>
      </c>
      <c r="BH211" s="433" t="n">
        <f aca="false">AD211</f>
        <v>0</v>
      </c>
      <c r="BJ211" s="486" t="e">
        <f aca="false">EURO(BB211,BC211,BD211,BE211,BF211,BG211,1,0)*BH211</f>
        <v>#NAME?</v>
      </c>
      <c r="BK211" s="433" t="n">
        <f aca="false">(AI211-AJ211)*N211</f>
        <v>0</v>
      </c>
      <c r="BM211" s="433" t="e">
        <f aca="false">BJ211-BK211</f>
        <v>#NAME?</v>
      </c>
    </row>
    <row r="212" customFormat="false" ht="16.5" hidden="false" customHeight="false" outlineLevel="0" collapsed="false">
      <c r="A212" s="59" t="n">
        <f aca="false">A211+1</f>
        <v>206</v>
      </c>
      <c r="C212" s="59" t="n">
        <v>28</v>
      </c>
      <c r="D212" s="59" t="s">
        <v>165</v>
      </c>
      <c r="E212" s="125" t="n">
        <f aca="false">E211+C211</f>
        <v>42767</v>
      </c>
      <c r="F212" s="425" t="n">
        <f aca="false">F164</f>
        <v>20</v>
      </c>
      <c r="G212" s="433" t="n">
        <f aca="false">C212-F212</f>
        <v>8</v>
      </c>
      <c r="H212" s="433"/>
      <c r="I212" s="433"/>
      <c r="J212" s="59" t="n">
        <f aca="false">K213-K212</f>
        <v>28</v>
      </c>
      <c r="K212" s="478" t="n">
        <v>42767</v>
      </c>
      <c r="L212" s="490" t="n">
        <v>0.073998451262091</v>
      </c>
      <c r="M212" s="491" t="n">
        <v>0.064553423679588</v>
      </c>
      <c r="N212" s="480" t="n">
        <f aca="false">(1+L212/2)^(-2*((K212+$T$1)-$K$1)/365.25)</f>
        <v>0.290022528699086</v>
      </c>
      <c r="O212" s="127" t="n">
        <f aca="false">VLOOKUP(K212,Inflation!$B$8:$C$266,2)</f>
        <v>1.57988671944311</v>
      </c>
      <c r="P212" s="480"/>
      <c r="Q212" s="481" t="n">
        <f aca="false">VLOOKUP(K212,'Fuel Curve'!$B$11:$F$268,5)</f>
        <v>4.69103448275862</v>
      </c>
      <c r="R212" s="482" t="n">
        <f aca="false">VLOOKUP(K212,'Fuel Curve Simulation'!$B$12:$J$258,9)</f>
        <v>4.69103448275862</v>
      </c>
      <c r="S212" s="481" t="n">
        <f aca="false">(R212*$S$2)/1000</f>
        <v>44.9354193103448</v>
      </c>
      <c r="T212" s="483"/>
      <c r="V212" s="128" t="n">
        <f aca="false">VLOOKUP(K212,PJM_01212000!$A$7:$C$259,3)</f>
        <v>41.5749984741211</v>
      </c>
      <c r="W212" s="128"/>
      <c r="X212" s="484" t="n">
        <f aca="false">'PJM Curve Simulation'!J212</f>
        <v>41.5749984741211</v>
      </c>
      <c r="Y212" s="489"/>
      <c r="Z212" s="483"/>
      <c r="AA212" s="59" t="n">
        <f aca="false">AA211</f>
        <v>315</v>
      </c>
      <c r="AB212" s="425" t="n">
        <f aca="false">AA212*F212*16</f>
        <v>100800</v>
      </c>
      <c r="AC212" s="425" t="n">
        <f aca="false">VLOOKUP(K212,'Company Volumes'!$B$20:$C$259,2)</f>
        <v>451.658228528889</v>
      </c>
      <c r="AD212" s="485" t="n">
        <f aca="false">IF(V212&gt;S212+($AM$5*1000*O212),AA212*F212*16,0)</f>
        <v>0</v>
      </c>
      <c r="AE212" s="425"/>
      <c r="AF212" s="425" t="n">
        <v>0</v>
      </c>
      <c r="AG212" s="425" t="n">
        <v>0</v>
      </c>
      <c r="AH212" s="425" t="n">
        <f aca="false">X212*AD212</f>
        <v>0</v>
      </c>
      <c r="AI212" s="425" t="n">
        <f aca="false">SUM(AF212:AH212)</f>
        <v>0</v>
      </c>
      <c r="AJ212" s="425" t="n">
        <f aca="false">(AD212*1000*$S$2)/1000000*R212</f>
        <v>0</v>
      </c>
      <c r="AK212" s="425" t="n">
        <f aca="false">($AK$5*O212)/12</f>
        <v>78994.3359721556</v>
      </c>
      <c r="AL212" s="425" t="n">
        <f aca="false">($AL$5*O212)/12</f>
        <v>201435.556728997</v>
      </c>
      <c r="AM212" s="425" t="n">
        <f aca="false">AD212*$AM$5*1000*O212</f>
        <v>0</v>
      </c>
      <c r="AN212" s="425" t="n">
        <f aca="false">(($AN$5*O212)/12)*$S$4</f>
        <v>180633.714922996</v>
      </c>
      <c r="AO212" s="425" t="n">
        <f aca="false">($AO$5*O212)/12</f>
        <v>39497.1679860778</v>
      </c>
      <c r="AP212" s="425" t="n">
        <f aca="false">AP211</f>
        <v>46500.5582152336</v>
      </c>
      <c r="AQ212" s="433" t="n">
        <f aca="false">SUM(AK212:AP212)</f>
        <v>547061.33382546</v>
      </c>
      <c r="AR212" s="425" t="n">
        <f aca="false">($AR$5*O212)/12</f>
        <v>19748.5839930389</v>
      </c>
      <c r="AS212" s="433" t="n">
        <f aca="false">AS211</f>
        <v>30387.755</v>
      </c>
      <c r="AT212" s="425" t="n">
        <f aca="false">(AI212/100)*$AT$6*O212</f>
        <v>0</v>
      </c>
      <c r="AU212" s="433" t="n">
        <f aca="false">SUM(AJ212:AT212)-AQ212</f>
        <v>597197.672818498</v>
      </c>
      <c r="AV212" s="433" t="n">
        <f aca="false">AI212-AU212</f>
        <v>-597197.672818498</v>
      </c>
      <c r="AW212" s="493"/>
      <c r="AX212" s="423" t="n">
        <f aca="false">K212</f>
        <v>42767</v>
      </c>
      <c r="BA212" s="126"/>
      <c r="BB212" s="481" t="n">
        <f aca="false">X212</f>
        <v>41.5749984741211</v>
      </c>
      <c r="BC212" s="481" t="n">
        <f aca="false">'Curve Analysis - Base Case'!D204</f>
        <v>48.0951927492311</v>
      </c>
      <c r="BD212" s="479" t="n">
        <f aca="false">L212</f>
        <v>0.073998451262091</v>
      </c>
      <c r="BE212" s="479" t="n">
        <f aca="false">L212</f>
        <v>0.073998451262091</v>
      </c>
      <c r="BF212" s="489" t="n">
        <f aca="false">PJM_01212000!X212</f>
        <v>0.105096996895534</v>
      </c>
      <c r="BG212" s="425" t="n">
        <f aca="false">(AX212+15)-$K$1</f>
        <v>6193</v>
      </c>
      <c r="BH212" s="433" t="n">
        <f aca="false">AD212</f>
        <v>0</v>
      </c>
      <c r="BJ212" s="486" t="e">
        <f aca="false">EURO(BB212,BC212,BD212,BE212,BF212,BG212,1,0)*BH212</f>
        <v>#NAME?</v>
      </c>
      <c r="BK212" s="433" t="n">
        <f aca="false">(AI212-AJ212)*N212</f>
        <v>0</v>
      </c>
      <c r="BM212" s="433" t="e">
        <f aca="false">BJ212-BK212</f>
        <v>#NAME?</v>
      </c>
    </row>
    <row r="213" customFormat="false" ht="16.5" hidden="false" customHeight="false" outlineLevel="0" collapsed="false">
      <c r="A213" s="59" t="n">
        <f aca="false">A212+1</f>
        <v>207</v>
      </c>
      <c r="C213" s="59" t="n">
        <v>31</v>
      </c>
      <c r="D213" s="59" t="s">
        <v>166</v>
      </c>
      <c r="E213" s="125" t="n">
        <f aca="false">E212+C212</f>
        <v>42795</v>
      </c>
      <c r="F213" s="425" t="n">
        <f aca="false">F165</f>
        <v>22</v>
      </c>
      <c r="G213" s="433" t="n">
        <f aca="false">C213-F213</f>
        <v>9</v>
      </c>
      <c r="H213" s="433"/>
      <c r="I213" s="433"/>
      <c r="J213" s="59" t="n">
        <f aca="false">K214-K213</f>
        <v>31</v>
      </c>
      <c r="K213" s="478" t="n">
        <v>42795</v>
      </c>
      <c r="L213" s="490" t="n">
        <v>0.073993778470185</v>
      </c>
      <c r="M213" s="491" t="n">
        <v>0.064563912156518</v>
      </c>
      <c r="N213" s="480" t="n">
        <f aca="false">(1+L213/2)^(-2*((K213+$T$1)-$K$1)/365.25)</f>
        <v>0.288433751053627</v>
      </c>
      <c r="O213" s="127" t="n">
        <f aca="false">VLOOKUP(K213,Inflation!$B$8:$C$266,2)</f>
        <v>1.58339821878774</v>
      </c>
      <c r="P213" s="480"/>
      <c r="Q213" s="481" t="n">
        <f aca="false">VLOOKUP(K213,'Fuel Curve'!$B$11:$F$268,5)</f>
        <v>4.59396551724138</v>
      </c>
      <c r="R213" s="482" t="n">
        <f aca="false">VLOOKUP(K213,'Fuel Curve Simulation'!$B$12:$J$258,9)</f>
        <v>4.59396551724138</v>
      </c>
      <c r="S213" s="481" t="n">
        <f aca="false">(R213*$S$2)/1000</f>
        <v>44.0055956896552</v>
      </c>
      <c r="T213" s="483"/>
      <c r="V213" s="128" t="n">
        <f aca="false">VLOOKUP(K213,PJM_01212000!$A$7:$C$259,3)</f>
        <v>31.3000007629395</v>
      </c>
      <c r="W213" s="128"/>
      <c r="X213" s="484" t="n">
        <f aca="false">'PJM Curve Simulation'!J213</f>
        <v>31.3000007629395</v>
      </c>
      <c r="Y213" s="489"/>
      <c r="Z213" s="483"/>
      <c r="AA213" s="59" t="n">
        <f aca="false">AA212</f>
        <v>315</v>
      </c>
      <c r="AB213" s="425" t="n">
        <f aca="false">AA213*F213*16</f>
        <v>110880</v>
      </c>
      <c r="AC213" s="425" t="n">
        <f aca="false">VLOOKUP(K213,'Company Volumes'!$B$20:$C$259,2)</f>
        <v>451.658228528889</v>
      </c>
      <c r="AD213" s="485" t="n">
        <f aca="false">IF(V213&gt;S213+($AM$5*1000*O213),AA213*F213*16,0)</f>
        <v>0</v>
      </c>
      <c r="AE213" s="425"/>
      <c r="AF213" s="425" t="n">
        <v>0</v>
      </c>
      <c r="AG213" s="425" t="n">
        <v>0</v>
      </c>
      <c r="AH213" s="425" t="n">
        <f aca="false">X213*AD213</f>
        <v>0</v>
      </c>
      <c r="AI213" s="425" t="n">
        <f aca="false">SUM(AF213:AH213)</f>
        <v>0</v>
      </c>
      <c r="AJ213" s="425" t="n">
        <f aca="false">(AD213*1000*$S$2)/1000000*R213</f>
        <v>0</v>
      </c>
      <c r="AK213" s="425" t="n">
        <f aca="false">($AK$5*O213)/12</f>
        <v>79169.9109393869</v>
      </c>
      <c r="AL213" s="425" t="n">
        <f aca="false">($AL$5*O213)/12</f>
        <v>201883.272895437</v>
      </c>
      <c r="AM213" s="425" t="n">
        <f aca="false">AD213*$AM$5*1000*O213</f>
        <v>0</v>
      </c>
      <c r="AN213" s="425" t="n">
        <f aca="false">(($AN$5*O213)/12)*$S$4</f>
        <v>181035.196348065</v>
      </c>
      <c r="AO213" s="425" t="n">
        <f aca="false">($AO$5*O213)/12</f>
        <v>39584.9554696935</v>
      </c>
      <c r="AP213" s="425" t="n">
        <f aca="false">AP212</f>
        <v>46500.5582152336</v>
      </c>
      <c r="AQ213" s="433" t="n">
        <f aca="false">SUM(AK213:AP213)</f>
        <v>548173.893867816</v>
      </c>
      <c r="AR213" s="425" t="n">
        <f aca="false">($AR$5*O213)/12</f>
        <v>19792.4777348467</v>
      </c>
      <c r="AS213" s="433" t="n">
        <f aca="false">AS212</f>
        <v>30387.755</v>
      </c>
      <c r="AT213" s="425" t="n">
        <f aca="false">(AI213/100)*$AT$6*O213</f>
        <v>0</v>
      </c>
      <c r="AU213" s="433" t="n">
        <f aca="false">SUM(AJ213:AT213)-AQ213</f>
        <v>598354.126602662</v>
      </c>
      <c r="AV213" s="433" t="n">
        <f aca="false">AI213-AU213</f>
        <v>-598354.126602662</v>
      </c>
      <c r="AW213" s="493"/>
      <c r="AX213" s="423" t="n">
        <f aca="false">K213</f>
        <v>42795</v>
      </c>
      <c r="BA213" s="126"/>
      <c r="BB213" s="481" t="n">
        <f aca="false">X213</f>
        <v>31.3000007629395</v>
      </c>
      <c r="BC213" s="481" t="n">
        <f aca="false">'Curve Analysis - Base Case'!D205</f>
        <v>47.1723921272307</v>
      </c>
      <c r="BD213" s="479" t="n">
        <f aca="false">L213</f>
        <v>0.073993778470185</v>
      </c>
      <c r="BE213" s="479" t="n">
        <f aca="false">L213</f>
        <v>0.073993778470185</v>
      </c>
      <c r="BF213" s="489" t="n">
        <f aca="false">PJM_01212000!X213</f>
        <v>0.0875808307462781</v>
      </c>
      <c r="BG213" s="425" t="n">
        <f aca="false">(AX213+15)-$K$1</f>
        <v>6221</v>
      </c>
      <c r="BH213" s="433" t="n">
        <f aca="false">AD213</f>
        <v>0</v>
      </c>
      <c r="BJ213" s="486" t="e">
        <f aca="false">EURO(BB213,BC213,BD213,BE213,BF213,BG213,1,0)*BH213</f>
        <v>#NAME?</v>
      </c>
      <c r="BK213" s="433" t="n">
        <f aca="false">(AI213-AJ213)*N213</f>
        <v>0</v>
      </c>
      <c r="BM213" s="433" t="e">
        <f aca="false">BJ213-BK213</f>
        <v>#NAME?</v>
      </c>
    </row>
    <row r="214" customFormat="false" ht="16.5" hidden="false" customHeight="false" outlineLevel="0" collapsed="false">
      <c r="A214" s="59" t="n">
        <f aca="false">A213+1</f>
        <v>208</v>
      </c>
      <c r="C214" s="59" t="n">
        <v>30</v>
      </c>
      <c r="D214" s="59" t="s">
        <v>167</v>
      </c>
      <c r="E214" s="125" t="n">
        <f aca="false">E213+C213</f>
        <v>42826</v>
      </c>
      <c r="F214" s="425" t="n">
        <f aca="false">F166</f>
        <v>21</v>
      </c>
      <c r="G214" s="433" t="n">
        <f aca="false">C214-F214</f>
        <v>9</v>
      </c>
      <c r="H214" s="433"/>
      <c r="I214" s="433"/>
      <c r="J214" s="59" t="n">
        <f aca="false">K215-K214</f>
        <v>30</v>
      </c>
      <c r="K214" s="478" t="n">
        <v>42826</v>
      </c>
      <c r="L214" s="490" t="n">
        <v>0.07398860502201</v>
      </c>
      <c r="M214" s="491" t="n">
        <v>0.064575524399727</v>
      </c>
      <c r="N214" s="480" t="n">
        <f aca="false">(1+L214/2)^(-2*((K214+$T$1)-$K$1)/365.25)</f>
        <v>0.286685128578311</v>
      </c>
      <c r="O214" s="127" t="n">
        <f aca="false">VLOOKUP(K214,Inflation!$B$8:$C$266,2)</f>
        <v>1.58691752288665</v>
      </c>
      <c r="P214" s="480"/>
      <c r="Q214" s="481" t="n">
        <f aca="false">VLOOKUP(K214,'Fuel Curve'!$B$11:$F$268,5)</f>
        <v>4.49396551724138</v>
      </c>
      <c r="R214" s="482" t="n">
        <f aca="false">VLOOKUP(K214,'Fuel Curve Simulation'!$B$12:$J$258,9)</f>
        <v>4.49396551724138</v>
      </c>
      <c r="S214" s="481" t="n">
        <f aca="false">(R214*$S$2)/1000</f>
        <v>43.0476956896552</v>
      </c>
      <c r="T214" s="483"/>
      <c r="V214" s="128" t="n">
        <f aca="false">VLOOKUP(K214,PJM_01212000!$A$7:$C$259,3)</f>
        <v>31.0750007629395</v>
      </c>
      <c r="W214" s="128"/>
      <c r="X214" s="484" t="n">
        <f aca="false">'PJM Curve Simulation'!J214</f>
        <v>31.0750007629395</v>
      </c>
      <c r="Y214" s="489"/>
      <c r="Z214" s="483"/>
      <c r="AA214" s="59" t="n">
        <f aca="false">AA213</f>
        <v>315</v>
      </c>
      <c r="AB214" s="425" t="n">
        <f aca="false">AA214*F214*16</f>
        <v>105840</v>
      </c>
      <c r="AC214" s="425" t="n">
        <f aca="false">VLOOKUP(K214,'Company Volumes'!$B$20:$C$259,2)</f>
        <v>6578.06214510978</v>
      </c>
      <c r="AD214" s="485" t="n">
        <f aca="false">IF(V214&gt;S214+($AM$5*1000*O214),AA214*F214*16,0)</f>
        <v>0</v>
      </c>
      <c r="AE214" s="425"/>
      <c r="AF214" s="425" t="n">
        <v>0</v>
      </c>
      <c r="AG214" s="425" t="n">
        <v>0</v>
      </c>
      <c r="AH214" s="425" t="n">
        <f aca="false">X214*AD214</f>
        <v>0</v>
      </c>
      <c r="AI214" s="425" t="n">
        <f aca="false">SUM(AF214:AH214)</f>
        <v>0</v>
      </c>
      <c r="AJ214" s="425" t="n">
        <f aca="false">(AD214*1000*$S$2)/1000000*R214</f>
        <v>0</v>
      </c>
      <c r="AK214" s="425" t="n">
        <f aca="false">($AK$5*O214)/12</f>
        <v>79345.8761443326</v>
      </c>
      <c r="AL214" s="425" t="n">
        <f aca="false">($AL$5*O214)/12</f>
        <v>202331.984168048</v>
      </c>
      <c r="AM214" s="425" t="n">
        <f aca="false">AD214*$AM$5*1000*O214</f>
        <v>0</v>
      </c>
      <c r="AN214" s="425" t="n">
        <f aca="false">(($AN$5*O214)/12)*$S$4</f>
        <v>181437.570116707</v>
      </c>
      <c r="AO214" s="425" t="n">
        <f aca="false">($AO$5*O214)/12</f>
        <v>39672.9380721663</v>
      </c>
      <c r="AP214" s="425" t="n">
        <f aca="false">AP213</f>
        <v>46500.5582152336</v>
      </c>
      <c r="AQ214" s="433" t="n">
        <f aca="false">SUM(AK214:AP214)</f>
        <v>549288.926716488</v>
      </c>
      <c r="AR214" s="425" t="n">
        <f aca="false">($AR$5*O214)/12</f>
        <v>19836.4690360832</v>
      </c>
      <c r="AS214" s="433" t="n">
        <f aca="false">AS213</f>
        <v>30387.755</v>
      </c>
      <c r="AT214" s="425" t="n">
        <f aca="false">(AI214/100)*$AT$6*O214</f>
        <v>0</v>
      </c>
      <c r="AU214" s="433" t="n">
        <f aca="false">SUM(AJ214:AT214)-AQ214</f>
        <v>599513.150752571</v>
      </c>
      <c r="AV214" s="433" t="n">
        <f aca="false">AI214-AU214</f>
        <v>-599513.150752571</v>
      </c>
      <c r="AW214" s="493"/>
      <c r="AX214" s="423" t="n">
        <f aca="false">K214</f>
        <v>42826</v>
      </c>
      <c r="BA214" s="126"/>
      <c r="BB214" s="481" t="n">
        <f aca="false">X214</f>
        <v>31.0750007629395</v>
      </c>
      <c r="BC214" s="481" t="n">
        <f aca="false">'Curve Analysis - Base Case'!D206</f>
        <v>46.2215307354285</v>
      </c>
      <c r="BD214" s="479" t="n">
        <f aca="false">L214</f>
        <v>0.07398860502201</v>
      </c>
      <c r="BE214" s="479" t="n">
        <f aca="false">L214</f>
        <v>0.07398860502201</v>
      </c>
      <c r="BF214" s="489" t="n">
        <f aca="false">PJM_01212000!X214</f>
        <v>0.0832017892089642</v>
      </c>
      <c r="BG214" s="425" t="n">
        <f aca="false">(AX214+15)-$K$1</f>
        <v>6252</v>
      </c>
      <c r="BH214" s="433" t="n">
        <f aca="false">AD214</f>
        <v>0</v>
      </c>
      <c r="BJ214" s="486" t="e">
        <f aca="false">EURO(BB214,BC214,BD214,BE214,BF214,BG214,1,0)*BH214</f>
        <v>#NAME?</v>
      </c>
      <c r="BK214" s="433" t="n">
        <f aca="false">(AI214-AJ214)*N214</f>
        <v>0</v>
      </c>
      <c r="BM214" s="433" t="e">
        <f aca="false">BJ214-BK214</f>
        <v>#NAME?</v>
      </c>
    </row>
    <row r="215" customFormat="false" ht="16.5" hidden="false" customHeight="false" outlineLevel="0" collapsed="false">
      <c r="A215" s="59" t="n">
        <f aca="false">A214+1</f>
        <v>209</v>
      </c>
      <c r="C215" s="59" t="n">
        <v>31</v>
      </c>
      <c r="D215" s="59" t="s">
        <v>29</v>
      </c>
      <c r="E215" s="125" t="n">
        <f aca="false">E214+C214</f>
        <v>42856</v>
      </c>
      <c r="F215" s="425" t="n">
        <f aca="false">F167</f>
        <v>23</v>
      </c>
      <c r="G215" s="433" t="n">
        <f aca="false">C215-F215</f>
        <v>8</v>
      </c>
      <c r="H215" s="433"/>
      <c r="I215" s="433"/>
      <c r="J215" s="59" t="n">
        <f aca="false">K216-K215</f>
        <v>31</v>
      </c>
      <c r="K215" s="478" t="n">
        <v>42856</v>
      </c>
      <c r="L215" s="490" t="n">
        <v>0.073983598459268</v>
      </c>
      <c r="M215" s="491" t="n">
        <v>0.064586762055339</v>
      </c>
      <c r="N215" s="480" t="n">
        <f aca="false">(1+L215/2)^(-2*((K215+$T$1)-$K$1)/365.25)</f>
        <v>0.285003237343373</v>
      </c>
      <c r="O215" s="127" t="n">
        <f aca="false">VLOOKUP(K215,Inflation!$B$8:$C$266,2)</f>
        <v>1.59044464908691</v>
      </c>
      <c r="P215" s="480"/>
      <c r="Q215" s="481" t="n">
        <f aca="false">VLOOKUP(K215,'Fuel Curve'!$B$11:$F$268,5)</f>
        <v>4.42672413793104</v>
      </c>
      <c r="R215" s="482" t="n">
        <f aca="false">VLOOKUP(K215,'Fuel Curve Simulation'!$B$12:$J$258,9)</f>
        <v>4.42672413793104</v>
      </c>
      <c r="S215" s="481" t="n">
        <f aca="false">(R215*$S$2)/1000</f>
        <v>42.4035905172414</v>
      </c>
      <c r="T215" s="483"/>
      <c r="V215" s="128" t="n">
        <f aca="false">VLOOKUP(K215,PJM_01212000!$A$7:$C$259,3)</f>
        <v>39.075</v>
      </c>
      <c r="W215" s="128"/>
      <c r="X215" s="484" t="n">
        <f aca="false">'PJM Curve Simulation'!J215</f>
        <v>39.075</v>
      </c>
      <c r="Y215" s="489"/>
      <c r="Z215" s="483"/>
      <c r="AA215" s="59" t="n">
        <f aca="false">AA214</f>
        <v>315</v>
      </c>
      <c r="AB215" s="425" t="n">
        <f aca="false">AA215*F215*16</f>
        <v>115920</v>
      </c>
      <c r="AC215" s="425" t="n">
        <f aca="false">VLOOKUP(K215,'Company Volumes'!$B$20:$C$259,2)</f>
        <v>17594.7584429431</v>
      </c>
      <c r="AD215" s="485" t="n">
        <f aca="false">IF(V215&gt;S215+($AM$5*1000*O215),AA215*F215*16,0)</f>
        <v>0</v>
      </c>
      <c r="AE215" s="425"/>
      <c r="AF215" s="425" t="n">
        <v>0</v>
      </c>
      <c r="AG215" s="425" t="n">
        <v>0</v>
      </c>
      <c r="AH215" s="425" t="n">
        <f aca="false">X215*AD215</f>
        <v>0</v>
      </c>
      <c r="AI215" s="425" t="n">
        <f aca="false">SUM(AF215:AH215)</f>
        <v>0</v>
      </c>
      <c r="AJ215" s="425" t="n">
        <f aca="false">(AD215*1000*$S$2)/1000000*R215</f>
        <v>0</v>
      </c>
      <c r="AK215" s="425" t="n">
        <f aca="false">($AK$5*O215)/12</f>
        <v>79522.2324543457</v>
      </c>
      <c r="AL215" s="425" t="n">
        <f aca="false">($AL$5*O215)/12</f>
        <v>202781.692758582</v>
      </c>
      <c r="AM215" s="425" t="n">
        <f aca="false">AD215*$AM$5*1000*O215</f>
        <v>0</v>
      </c>
      <c r="AN215" s="425" t="n">
        <f aca="false">(($AN$5*O215)/12)*$S$4</f>
        <v>181840.838212271</v>
      </c>
      <c r="AO215" s="425" t="n">
        <f aca="false">($AO$5*O215)/12</f>
        <v>39761.1162271729</v>
      </c>
      <c r="AP215" s="425" t="n">
        <f aca="false">AP214</f>
        <v>46500.5582152336</v>
      </c>
      <c r="AQ215" s="433" t="n">
        <f aca="false">SUM(AK215:AP215)</f>
        <v>550406.437867604</v>
      </c>
      <c r="AR215" s="425" t="n">
        <f aca="false">($AR$5*O215)/12</f>
        <v>19880.5581135864</v>
      </c>
      <c r="AS215" s="433" t="n">
        <f aca="false">AS214</f>
        <v>30387.755</v>
      </c>
      <c r="AT215" s="425" t="n">
        <f aca="false">(AI215/100)*$AT$6*O215</f>
        <v>0</v>
      </c>
      <c r="AU215" s="433" t="n">
        <f aca="false">SUM(AJ215:AT215)-AQ215</f>
        <v>600674.750981191</v>
      </c>
      <c r="AV215" s="433" t="n">
        <f aca="false">AI215-AU215</f>
        <v>-600674.750981191</v>
      </c>
      <c r="AW215" s="493"/>
      <c r="AX215" s="423" t="n">
        <f aca="false">K215</f>
        <v>42856</v>
      </c>
      <c r="BA215" s="126"/>
      <c r="BB215" s="481" t="n">
        <f aca="false">X215</f>
        <v>39.075</v>
      </c>
      <c r="BC215" s="481" t="n">
        <f aca="false">'Curve Analysis - Base Case'!D207</f>
        <v>45.5844798154152</v>
      </c>
      <c r="BD215" s="479" t="n">
        <f aca="false">L215</f>
        <v>0.073983598459268</v>
      </c>
      <c r="BE215" s="479" t="n">
        <f aca="false">L215</f>
        <v>0.073983598459268</v>
      </c>
      <c r="BF215" s="489" t="n">
        <f aca="false">PJM_01212000!X215</f>
        <v>0.091959872283592</v>
      </c>
      <c r="BG215" s="425" t="n">
        <f aca="false">(AX215+15)-$K$1</f>
        <v>6282</v>
      </c>
      <c r="BH215" s="433" t="n">
        <f aca="false">AD215</f>
        <v>0</v>
      </c>
      <c r="BJ215" s="486" t="e">
        <f aca="false">EURO(BB215,BC215,BD215,BE215,BF215,BG215,1,0)*BH215</f>
        <v>#NAME?</v>
      </c>
      <c r="BK215" s="433" t="n">
        <f aca="false">(AI215-AJ215)*N215</f>
        <v>0</v>
      </c>
      <c r="BM215" s="433" t="e">
        <f aca="false">BJ215-BK215</f>
        <v>#NAME?</v>
      </c>
    </row>
    <row r="216" customFormat="false" ht="16.5" hidden="false" customHeight="false" outlineLevel="0" collapsed="false">
      <c r="A216" s="59" t="n">
        <f aca="false">A215+1</f>
        <v>210</v>
      </c>
      <c r="C216" s="59" t="n">
        <v>30</v>
      </c>
      <c r="D216" s="59" t="s">
        <v>168</v>
      </c>
      <c r="E216" s="125" t="n">
        <f aca="false">E215+C215</f>
        <v>42887</v>
      </c>
      <c r="F216" s="425" t="n">
        <f aca="false">F168</f>
        <v>21</v>
      </c>
      <c r="G216" s="433" t="n">
        <f aca="false">C216-F216</f>
        <v>9</v>
      </c>
      <c r="H216" s="433"/>
      <c r="I216" s="433"/>
      <c r="J216" s="59" t="n">
        <f aca="false">K217-K216</f>
        <v>30</v>
      </c>
      <c r="K216" s="478" t="n">
        <v>42887</v>
      </c>
      <c r="L216" s="490" t="n">
        <v>0.073978425011111</v>
      </c>
      <c r="M216" s="491" t="n">
        <v>0.064598374300394</v>
      </c>
      <c r="N216" s="480" t="n">
        <f aca="false">(1+L216/2)^(-2*((K216+$T$1)-$K$1)/365.25)</f>
        <v>0.283275884436665</v>
      </c>
      <c r="O216" s="127" t="n">
        <f aca="false">VLOOKUP(K216,Inflation!$B$8:$C$266,2)</f>
        <v>1.59397961477414</v>
      </c>
      <c r="P216" s="480"/>
      <c r="Q216" s="481" t="n">
        <f aca="false">VLOOKUP(K216,'Fuel Curve'!$B$11:$F$268,5)</f>
        <v>4.42017241379311</v>
      </c>
      <c r="R216" s="482" t="n">
        <f aca="false">VLOOKUP(K216,'Fuel Curve Simulation'!$B$12:$J$258,9)</f>
        <v>4.42017241379311</v>
      </c>
      <c r="S216" s="481" t="n">
        <f aca="false">(R216*$S$2)/1000</f>
        <v>42.3408315517242</v>
      </c>
      <c r="T216" s="483"/>
      <c r="V216" s="128" t="n">
        <f aca="false">VLOOKUP(K216,PJM_01212000!$A$7:$C$259,3)</f>
        <v>67.5999984741211</v>
      </c>
      <c r="W216" s="128"/>
      <c r="X216" s="484" t="n">
        <f aca="false">'PJM Curve Simulation'!J216</f>
        <v>67.5999984741211</v>
      </c>
      <c r="Y216" s="489"/>
      <c r="Z216" s="483"/>
      <c r="AA216" s="59" t="n">
        <f aca="false">AA215</f>
        <v>315</v>
      </c>
      <c r="AB216" s="425" t="n">
        <f aca="false">AA216*F216*16</f>
        <v>105840</v>
      </c>
      <c r="AC216" s="425" t="n">
        <f aca="false">VLOOKUP(K216,'Company Volumes'!$B$20:$C$259,2)</f>
        <v>33747.4211586307</v>
      </c>
      <c r="AD216" s="485" t="n">
        <f aca="false">IF(V216&gt;S216+($AM$5*1000*O216),AA216*F216*16,0)</f>
        <v>105840</v>
      </c>
      <c r="AE216" s="425"/>
      <c r="AF216" s="425" t="n">
        <v>0</v>
      </c>
      <c r="AG216" s="425" t="n">
        <v>0</v>
      </c>
      <c r="AH216" s="425" t="n">
        <f aca="false">X216*AD216</f>
        <v>7154783.83850098</v>
      </c>
      <c r="AI216" s="425" t="n">
        <f aca="false">SUM(AF216:AH216)</f>
        <v>7154783.83850098</v>
      </c>
      <c r="AJ216" s="425" t="n">
        <f aca="false">(AD216*1000*$S$2)/1000000*R216</f>
        <v>4481353.61143448</v>
      </c>
      <c r="AK216" s="425" t="n">
        <f aca="false">($AK$5*O216)/12</f>
        <v>79698.9807387069</v>
      </c>
      <c r="AL216" s="425" t="n">
        <f aca="false">($AL$5*O216)/12</f>
        <v>203232.400883703</v>
      </c>
      <c r="AM216" s="425" t="n">
        <f aca="false">AD216*$AM$5*1000*O216</f>
        <v>337413.60485539</v>
      </c>
      <c r="AN216" s="425" t="n">
        <f aca="false">(($AN$5*O216)/12)*$S$4</f>
        <v>182245.00262251</v>
      </c>
      <c r="AO216" s="425" t="n">
        <f aca="false">($AO$5*O216)/12</f>
        <v>39849.4903693535</v>
      </c>
      <c r="AP216" s="425" t="n">
        <f aca="false">AP215</f>
        <v>46500.5582152336</v>
      </c>
      <c r="AQ216" s="433" t="n">
        <f aca="false">SUM(AK216:AP216)</f>
        <v>888940.037684896</v>
      </c>
      <c r="AR216" s="425" t="n">
        <f aca="false">($AR$5*O216)/12</f>
        <v>19924.7451846767</v>
      </c>
      <c r="AS216" s="433" t="n">
        <f aca="false">AS215</f>
        <v>30387.755</v>
      </c>
      <c r="AT216" s="425" t="n">
        <f aca="false">(AI216/100)*$AT$6*O216</f>
        <v>68427.4775201161</v>
      </c>
      <c r="AU216" s="433" t="n">
        <f aca="false">SUM(AJ216:AT216)-AQ216</f>
        <v>5489033.62682417</v>
      </c>
      <c r="AV216" s="433" t="n">
        <f aca="false">AI216-AU216</f>
        <v>1665750.2116768</v>
      </c>
      <c r="AW216" s="493"/>
      <c r="AX216" s="423" t="n">
        <f aca="false">K216</f>
        <v>42887</v>
      </c>
      <c r="BA216" s="126"/>
      <c r="BB216" s="481" t="n">
        <f aca="false">X216</f>
        <v>67.5999984741211</v>
      </c>
      <c r="BC216" s="481" t="n">
        <f aca="false">'Curve Analysis - Base Case'!D208</f>
        <v>45.5287907812724</v>
      </c>
      <c r="BD216" s="479" t="n">
        <f aca="false">L216</f>
        <v>0.073978425011111</v>
      </c>
      <c r="BE216" s="479" t="n">
        <f aca="false">L216</f>
        <v>0.073978425011111</v>
      </c>
      <c r="BF216" s="489" t="n">
        <f aca="false">PJM_01212000!X216</f>
        <v>0.118234121507475</v>
      </c>
      <c r="BG216" s="425" t="n">
        <f aca="false">(AX216+15)-$K$1</f>
        <v>6313</v>
      </c>
      <c r="BH216" s="433" t="n">
        <f aca="false">AD216</f>
        <v>105840</v>
      </c>
      <c r="BJ216" s="486" t="e">
        <f aca="false">EURO(BB216,BC216,BD216,BE216,BF216,BG216,1,0)*BH216</f>
        <v>#NAME?</v>
      </c>
      <c r="BK216" s="433" t="n">
        <f aca="false">(AI216-AJ216)*N216</f>
        <v>757318.312051975</v>
      </c>
      <c r="BM216" s="433" t="e">
        <f aca="false">BJ216-BK216</f>
        <v>#NAME?</v>
      </c>
    </row>
    <row r="217" customFormat="false" ht="16.5" hidden="false" customHeight="false" outlineLevel="0" collapsed="false">
      <c r="A217" s="59" t="n">
        <f aca="false">A216+1</f>
        <v>211</v>
      </c>
      <c r="C217" s="59" t="n">
        <v>31</v>
      </c>
      <c r="D217" s="59" t="s">
        <v>169</v>
      </c>
      <c r="E217" s="125" t="n">
        <f aca="false">E216+C216</f>
        <v>42917</v>
      </c>
      <c r="F217" s="425" t="n">
        <f aca="false">F169</f>
        <v>22</v>
      </c>
      <c r="G217" s="433" t="n">
        <f aca="false">C217-F217</f>
        <v>9</v>
      </c>
      <c r="H217" s="433"/>
      <c r="I217" s="433"/>
      <c r="J217" s="59" t="n">
        <f aca="false">K218-K217</f>
        <v>31</v>
      </c>
      <c r="K217" s="478" t="n">
        <v>42917</v>
      </c>
      <c r="L217" s="490" t="n">
        <v>0.073973418448387</v>
      </c>
      <c r="M217" s="491" t="n">
        <v>0.064609611957794</v>
      </c>
      <c r="N217" s="480" t="n">
        <f aca="false">(1+L217/2)^(-2*((K217+$T$1)-$K$1)/365.25)</f>
        <v>0.281614448416695</v>
      </c>
      <c r="O217" s="127" t="n">
        <f aca="false">VLOOKUP(K217,Inflation!$B$8:$C$266,2)</f>
        <v>1.59752243737258</v>
      </c>
      <c r="P217" s="480"/>
      <c r="Q217" s="481" t="n">
        <f aca="false">VLOOKUP(K217,'Fuel Curve'!$B$11:$F$268,5)</f>
        <v>4.47741379310345</v>
      </c>
      <c r="R217" s="482" t="n">
        <f aca="false">VLOOKUP(K217,'Fuel Curve Simulation'!$B$12:$J$258,9)</f>
        <v>4.47741379310345</v>
      </c>
      <c r="S217" s="481" t="n">
        <f aca="false">(R217*$S$2)/1000</f>
        <v>42.8891467241379</v>
      </c>
      <c r="T217" s="483"/>
      <c r="V217" s="128" t="n">
        <f aca="false">VLOOKUP(K217,PJM_01212000!$A$7:$C$259,3)</f>
        <v>122.699996948242</v>
      </c>
      <c r="W217" s="128"/>
      <c r="X217" s="484" t="n">
        <f aca="false">'PJM Curve Simulation'!J217</f>
        <v>122.699996948242</v>
      </c>
      <c r="Y217" s="489"/>
      <c r="Z217" s="483"/>
      <c r="AA217" s="59" t="n">
        <f aca="false">AA216</f>
        <v>315</v>
      </c>
      <c r="AB217" s="425" t="n">
        <f aca="false">AA217*F217*16</f>
        <v>110880</v>
      </c>
      <c r="AC217" s="425" t="n">
        <f aca="false">VLOOKUP(K217,'Company Volumes'!$B$20:$C$259,2)</f>
        <v>51980.4550535542</v>
      </c>
      <c r="AD217" s="485" t="n">
        <f aca="false">IF(V217&gt;S217+($AM$5*1000*O217),AA217*F217*16,0)</f>
        <v>110880</v>
      </c>
      <c r="AE217" s="425"/>
      <c r="AF217" s="425" t="n">
        <v>0</v>
      </c>
      <c r="AG217" s="425" t="n">
        <v>0</v>
      </c>
      <c r="AH217" s="425" t="n">
        <f aca="false">X217*AD217</f>
        <v>13604975.6616211</v>
      </c>
      <c r="AI217" s="425" t="n">
        <f aca="false">SUM(AF217:AH217)</f>
        <v>13604975.6616211</v>
      </c>
      <c r="AJ217" s="425" t="n">
        <f aca="false">(AD217*1000*$S$2)/1000000*R217</f>
        <v>4755548.58877241</v>
      </c>
      <c r="AK217" s="425" t="n">
        <f aca="false">($AK$5*O217)/12</f>
        <v>79876.1218686292</v>
      </c>
      <c r="AL217" s="425" t="n">
        <f aca="false">($AL$5*O217)/12</f>
        <v>203684.110765005</v>
      </c>
      <c r="AM217" s="425" t="n">
        <f aca="false">AD217*$AM$5*1000*O217</f>
        <v>354266.575711744</v>
      </c>
      <c r="AN217" s="425" t="n">
        <f aca="false">(($AN$5*O217)/12)*$S$4</f>
        <v>182650.065339599</v>
      </c>
      <c r="AO217" s="425" t="n">
        <f aca="false">($AO$5*O217)/12</f>
        <v>39938.0609343146</v>
      </c>
      <c r="AP217" s="425" t="n">
        <f aca="false">AP216</f>
        <v>46500.5582152336</v>
      </c>
      <c r="AQ217" s="433" t="n">
        <f aca="false">SUM(AK217:AP217)</f>
        <v>906915.492834525</v>
      </c>
      <c r="AR217" s="425" t="n">
        <f aca="false">($AR$5*O217)/12</f>
        <v>19969.0304671573</v>
      </c>
      <c r="AS217" s="433" t="n">
        <f aca="false">AS216</f>
        <v>30387.755</v>
      </c>
      <c r="AT217" s="425" t="n">
        <f aca="false">(AI217/100)*$AT$6*O217</f>
        <v>130405.523276086</v>
      </c>
      <c r="AU217" s="433" t="n">
        <f aca="false">SUM(AJ217:AT217)-AQ217</f>
        <v>5843226.39035018</v>
      </c>
      <c r="AV217" s="433" t="n">
        <f aca="false">AI217-AU217</f>
        <v>7761749.27127091</v>
      </c>
      <c r="AW217" s="493"/>
      <c r="AX217" s="423" t="n">
        <f aca="false">K217</f>
        <v>42917</v>
      </c>
      <c r="BA217" s="126"/>
      <c r="BB217" s="481" t="n">
        <f aca="false">X217</f>
        <v>122.699996948242</v>
      </c>
      <c r="BC217" s="481" t="n">
        <f aca="false">'Curve Analysis - Base Case'!D209</f>
        <v>46.0841915988831</v>
      </c>
      <c r="BD217" s="479" t="n">
        <f aca="false">L217</f>
        <v>0.073973418448387</v>
      </c>
      <c r="BE217" s="479" t="n">
        <f aca="false">L217</f>
        <v>0.073973418448387</v>
      </c>
      <c r="BF217" s="489" t="n">
        <f aca="false">PJM_01212000!X217</f>
        <v>0.144508370731359</v>
      </c>
      <c r="BG217" s="425" t="n">
        <f aca="false">(AX217+15)-$K$1</f>
        <v>6343</v>
      </c>
      <c r="BH217" s="433" t="n">
        <f aca="false">AD217</f>
        <v>110880</v>
      </c>
      <c r="BJ217" s="486" t="e">
        <f aca="false">EURO(BB217,BC217,BD217,BE217,BF217,BG217,1,0)*BH217</f>
        <v>#NAME?</v>
      </c>
      <c r="BK217" s="433" t="n">
        <f aca="false">(AI217-AJ217)*N217</f>
        <v>2492126.52392405</v>
      </c>
      <c r="BM217" s="433" t="e">
        <f aca="false">BJ217-BK217</f>
        <v>#NAME?</v>
      </c>
    </row>
    <row r="218" customFormat="false" ht="16.5" hidden="false" customHeight="false" outlineLevel="0" collapsed="false">
      <c r="A218" s="59" t="n">
        <f aca="false">A217+1</f>
        <v>212</v>
      </c>
      <c r="C218" s="59" t="n">
        <v>31</v>
      </c>
      <c r="D218" s="59" t="s">
        <v>170</v>
      </c>
      <c r="E218" s="125" t="n">
        <f aca="false">E217+C217</f>
        <v>42948</v>
      </c>
      <c r="F218" s="425" t="n">
        <f aca="false">F170</f>
        <v>23</v>
      </c>
      <c r="G218" s="433" t="n">
        <f aca="false">C218-F218</f>
        <v>8</v>
      </c>
      <c r="H218" s="433"/>
      <c r="I218" s="433"/>
      <c r="J218" s="59" t="n">
        <f aca="false">K219-K218</f>
        <v>31</v>
      </c>
      <c r="K218" s="478" t="n">
        <v>42948</v>
      </c>
      <c r="L218" s="490" t="n">
        <v>0.073968245000246</v>
      </c>
      <c r="M218" s="491" t="n">
        <v>0.064621224204697</v>
      </c>
      <c r="N218" s="480" t="n">
        <f aca="false">(1+L218/2)^(-2*((K218+$T$1)-$K$1)/365.25)</f>
        <v>0.27990810089895</v>
      </c>
      <c r="O218" s="127" t="n">
        <f aca="false">VLOOKUP(K218,Inflation!$B$8:$C$266,2)</f>
        <v>1.60107313434524</v>
      </c>
      <c r="P218" s="480"/>
      <c r="Q218" s="481" t="n">
        <f aca="false">VLOOKUP(K218,'Fuel Curve'!$B$11:$F$268,5)</f>
        <v>4.56793103448276</v>
      </c>
      <c r="R218" s="482" t="n">
        <f aca="false">VLOOKUP(K218,'Fuel Curve Simulation'!$B$12:$J$258,9)</f>
        <v>4.56793103448276</v>
      </c>
      <c r="S218" s="481" t="n">
        <f aca="false">(R218*$S$2)/1000</f>
        <v>43.7562113793104</v>
      </c>
      <c r="T218" s="483"/>
      <c r="V218" s="128" t="n">
        <f aca="false">VLOOKUP(K218,PJM_01212000!$A$7:$C$259,3)</f>
        <v>109.699996948242</v>
      </c>
      <c r="W218" s="128"/>
      <c r="X218" s="484" t="n">
        <f aca="false">'PJM Curve Simulation'!J218</f>
        <v>109.699996948242</v>
      </c>
      <c r="Y218" s="489"/>
      <c r="Z218" s="483"/>
      <c r="AA218" s="59" t="n">
        <f aca="false">AA217</f>
        <v>315</v>
      </c>
      <c r="AB218" s="425" t="n">
        <f aca="false">AA218*F218*16</f>
        <v>115920</v>
      </c>
      <c r="AC218" s="425" t="n">
        <f aca="false">VLOOKUP(K218,'Company Volumes'!$B$20:$C$259,2)</f>
        <v>34653.636701712</v>
      </c>
      <c r="AD218" s="485" t="n">
        <f aca="false">IF(V218&gt;S218+($AM$5*1000*O218),AA218*F218*16,0)</f>
        <v>115920</v>
      </c>
      <c r="AE218" s="425"/>
      <c r="AF218" s="425" t="n">
        <v>0</v>
      </c>
      <c r="AG218" s="425" t="n">
        <v>0</v>
      </c>
      <c r="AH218" s="425" t="n">
        <f aca="false">X218*AD218</f>
        <v>12716423.6462402</v>
      </c>
      <c r="AI218" s="425" t="n">
        <f aca="false">SUM(AF218:AH218)</f>
        <v>12716423.6462402</v>
      </c>
      <c r="AJ218" s="425" t="n">
        <f aca="false">(AD218*1000*$S$2)/1000000*R218</f>
        <v>5072220.02308966</v>
      </c>
      <c r="AK218" s="425" t="n">
        <f aca="false">($AK$5*O218)/12</f>
        <v>80053.6567172619</v>
      </c>
      <c r="AL218" s="425" t="n">
        <f aca="false">($AL$5*O218)/12</f>
        <v>204136.824629018</v>
      </c>
      <c r="AM218" s="425" t="n">
        <f aca="false">AD218*$AM$5*1000*O218</f>
        <v>371192.7954666</v>
      </c>
      <c r="AN218" s="425" t="n">
        <f aca="false">(($AN$5*O218)/12)*$S$4</f>
        <v>183056.028360139</v>
      </c>
      <c r="AO218" s="425" t="n">
        <f aca="false">($AO$5*O218)/12</f>
        <v>40026.8283586309</v>
      </c>
      <c r="AP218" s="425" t="n">
        <f aca="false">AP217</f>
        <v>46500.5582152336</v>
      </c>
      <c r="AQ218" s="433" t="n">
        <f aca="false">SUM(AK218:AP218)</f>
        <v>924966.691746883</v>
      </c>
      <c r="AR218" s="425" t="n">
        <f aca="false">($AR$5*O218)/12</f>
        <v>20013.4141793155</v>
      </c>
      <c r="AS218" s="433" t="n">
        <f aca="false">AS217</f>
        <v>30387.755</v>
      </c>
      <c r="AT218" s="425" t="n">
        <f aca="false">(AI218/100)*$AT$6*O218</f>
        <v>122159.545589686</v>
      </c>
      <c r="AU218" s="433" t="n">
        <f aca="false">SUM(AJ218:AT218)-AQ218</f>
        <v>6169747.42960554</v>
      </c>
      <c r="AV218" s="433" t="n">
        <f aca="false">AI218-AU218</f>
        <v>6546676.21663469</v>
      </c>
      <c r="AW218" s="493"/>
      <c r="AX218" s="423" t="n">
        <f aca="false">K218</f>
        <v>42948</v>
      </c>
      <c r="BA218" s="126"/>
      <c r="BB218" s="481" t="n">
        <f aca="false">X218</f>
        <v>109.699996948242</v>
      </c>
      <c r="BC218" s="481" t="n">
        <f aca="false">'Curve Analysis - Base Case'!D210</f>
        <v>46.9583576480008</v>
      </c>
      <c r="BD218" s="479" t="n">
        <f aca="false">L218</f>
        <v>0.073968245000246</v>
      </c>
      <c r="BE218" s="479" t="n">
        <f aca="false">L218</f>
        <v>0.073968245000246</v>
      </c>
      <c r="BF218" s="489" t="n">
        <f aca="false">PJM_01212000!X218</f>
        <v>0.144508370731359</v>
      </c>
      <c r="BG218" s="425" t="n">
        <f aca="false">(AX218+15)-$K$1</f>
        <v>6374</v>
      </c>
      <c r="BH218" s="433" t="n">
        <f aca="false">AD218</f>
        <v>115920</v>
      </c>
      <c r="BJ218" s="486" t="e">
        <f aca="false">EURO(BB218,BC218,BD218,BE218,BF218,BG218,1,0)*BH218</f>
        <v>#NAME?</v>
      </c>
      <c r="BK218" s="433" t="n">
        <f aca="false">(AI218-AJ218)*N218</f>
        <v>2139674.51904095</v>
      </c>
      <c r="BM218" s="433" t="e">
        <f aca="false">BJ218-BK218</f>
        <v>#NAME?</v>
      </c>
    </row>
    <row r="219" customFormat="false" ht="16.5" hidden="false" customHeight="false" outlineLevel="0" collapsed="false">
      <c r="A219" s="59" t="n">
        <f aca="false">A218+1</f>
        <v>213</v>
      </c>
      <c r="C219" s="59" t="n">
        <v>30</v>
      </c>
      <c r="D219" s="59" t="s">
        <v>171</v>
      </c>
      <c r="E219" s="125" t="n">
        <f aca="false">E218+C218</f>
        <v>42979</v>
      </c>
      <c r="F219" s="425" t="n">
        <f aca="false">F171</f>
        <v>20</v>
      </c>
      <c r="G219" s="433" t="n">
        <f aca="false">C219-F219</f>
        <v>10</v>
      </c>
      <c r="H219" s="433"/>
      <c r="I219" s="433"/>
      <c r="J219" s="59" t="n">
        <f aca="false">K220-K219</f>
        <v>30</v>
      </c>
      <c r="K219" s="478" t="n">
        <v>42979</v>
      </c>
      <c r="L219" s="490" t="n">
        <v>0.073963071552115</v>
      </c>
      <c r="M219" s="491" t="n">
        <v>0.064632836452538</v>
      </c>
      <c r="N219" s="480" t="n">
        <f aca="false">(1+L219/2)^(-2*((K219+$T$1)-$K$1)/365.25)</f>
        <v>0.278212328083229</v>
      </c>
      <c r="O219" s="127" t="n">
        <f aca="false">VLOOKUP(K219,Inflation!$B$8:$C$266,2)</f>
        <v>1.60463172319389</v>
      </c>
      <c r="P219" s="480"/>
      <c r="Q219" s="481" t="n">
        <f aca="false">VLOOKUP(K219,'Fuel Curve'!$B$11:$F$268,5)</f>
        <v>4.66275862068966</v>
      </c>
      <c r="R219" s="482" t="n">
        <f aca="false">VLOOKUP(K219,'Fuel Curve Simulation'!$B$12:$J$258,9)</f>
        <v>4.66275862068966</v>
      </c>
      <c r="S219" s="481" t="n">
        <f aca="false">(R219*$S$2)/1000</f>
        <v>44.6645648275862</v>
      </c>
      <c r="T219" s="483"/>
      <c r="V219" s="128" t="n">
        <f aca="false">VLOOKUP(K219,PJM_01212000!$A$7:$C$259,3)</f>
        <v>39.9249984741211</v>
      </c>
      <c r="W219" s="128"/>
      <c r="X219" s="484" t="n">
        <f aca="false">'PJM Curve Simulation'!J219</f>
        <v>39.9249984741211</v>
      </c>
      <c r="Y219" s="489"/>
      <c r="Z219" s="483"/>
      <c r="AA219" s="59" t="n">
        <f aca="false">AA218</f>
        <v>315</v>
      </c>
      <c r="AB219" s="425" t="n">
        <f aca="false">AA219*F219*16</f>
        <v>100800</v>
      </c>
      <c r="AC219" s="425" t="n">
        <f aca="false">VLOOKUP(K219,'Company Volumes'!$B$20:$C$259,2)</f>
        <v>21504.7047644738</v>
      </c>
      <c r="AD219" s="485" t="n">
        <f aca="false">IF(V219&gt;S219+($AM$5*1000*O219),AA219*F219*16,0)</f>
        <v>0</v>
      </c>
      <c r="AE219" s="425"/>
      <c r="AF219" s="425" t="n">
        <v>0</v>
      </c>
      <c r="AG219" s="425" t="n">
        <v>0</v>
      </c>
      <c r="AH219" s="425" t="n">
        <f aca="false">X219*AD219</f>
        <v>0</v>
      </c>
      <c r="AI219" s="425" t="n">
        <f aca="false">SUM(AF219:AH219)</f>
        <v>0</v>
      </c>
      <c r="AJ219" s="425" t="n">
        <f aca="false">(AD219*1000*$S$2)/1000000*R219</f>
        <v>0</v>
      </c>
      <c r="AK219" s="425" t="n">
        <f aca="false">($AK$5*O219)/12</f>
        <v>80231.5861596947</v>
      </c>
      <c r="AL219" s="425" t="n">
        <f aca="false">($AL$5*O219)/12</f>
        <v>204590.544707222</v>
      </c>
      <c r="AM219" s="425" t="n">
        <f aca="false">AD219*$AM$5*1000*O219</f>
        <v>0</v>
      </c>
      <c r="AN219" s="425" t="n">
        <f aca="false">(($AN$5*O219)/12)*$S$4</f>
        <v>183462.893685169</v>
      </c>
      <c r="AO219" s="425" t="n">
        <f aca="false">($AO$5*O219)/12</f>
        <v>40115.7930798474</v>
      </c>
      <c r="AP219" s="425" t="n">
        <f aca="false">AP218</f>
        <v>46500.5582152336</v>
      </c>
      <c r="AQ219" s="433" t="n">
        <f aca="false">SUM(AK219:AP219)</f>
        <v>554901.375847166</v>
      </c>
      <c r="AR219" s="425" t="n">
        <f aca="false">($AR$5*O219)/12</f>
        <v>20057.8965399237</v>
      </c>
      <c r="AS219" s="433" t="n">
        <f aca="false">AS218</f>
        <v>30387.755</v>
      </c>
      <c r="AT219" s="425" t="n">
        <f aca="false">(AI219/100)*$AT$6*O219</f>
        <v>0</v>
      </c>
      <c r="AU219" s="433" t="n">
        <f aca="false">SUM(AJ219:AT219)-AQ219</f>
        <v>605347.02738709</v>
      </c>
      <c r="AV219" s="433" t="n">
        <f aca="false">AI219-AU219</f>
        <v>-605347.02738709</v>
      </c>
      <c r="AW219" s="493"/>
      <c r="AX219" s="423" t="n">
        <f aca="false">K219</f>
        <v>42979</v>
      </c>
      <c r="BA219" s="126"/>
      <c r="BB219" s="481" t="n">
        <f aca="false">X219</f>
        <v>39.9249984741211</v>
      </c>
      <c r="BC219" s="481" t="n">
        <f aca="false">'Curve Analysis - Base Case'!D211</f>
        <v>47.873828273974</v>
      </c>
      <c r="BD219" s="479" t="n">
        <f aca="false">L219</f>
        <v>0.073963071552115</v>
      </c>
      <c r="BE219" s="479" t="n">
        <f aca="false">L219</f>
        <v>0.073963071552115</v>
      </c>
      <c r="BF219" s="489" t="n">
        <f aca="false">PJM_01212000!X219</f>
        <v>0.0928887598824161</v>
      </c>
      <c r="BG219" s="425" t="n">
        <f aca="false">(AX219+15)-$K$1</f>
        <v>6405</v>
      </c>
      <c r="BH219" s="433" t="n">
        <f aca="false">AD219</f>
        <v>0</v>
      </c>
      <c r="BJ219" s="486" t="e">
        <f aca="false">EURO(BB219,BC219,BD219,BE219,BF219,BG219,1,0)*BH219</f>
        <v>#NAME?</v>
      </c>
      <c r="BK219" s="433" t="n">
        <f aca="false">(AI219-AJ219)*N219</f>
        <v>0</v>
      </c>
      <c r="BM219" s="433" t="e">
        <f aca="false">BJ219-BK219</f>
        <v>#NAME?</v>
      </c>
    </row>
    <row r="220" customFormat="false" ht="16.5" hidden="false" customHeight="false" outlineLevel="0" collapsed="false">
      <c r="A220" s="59" t="n">
        <f aca="false">A219+1</f>
        <v>214</v>
      </c>
      <c r="C220" s="59" t="n">
        <v>31</v>
      </c>
      <c r="D220" s="59" t="s">
        <v>172</v>
      </c>
      <c r="E220" s="125" t="n">
        <f aca="false">E219+C219</f>
        <v>43009</v>
      </c>
      <c r="F220" s="425" t="n">
        <f aca="false">F172</f>
        <v>23</v>
      </c>
      <c r="G220" s="433" t="n">
        <f aca="false">C220-F220</f>
        <v>8</v>
      </c>
      <c r="H220" s="433"/>
      <c r="I220" s="433"/>
      <c r="J220" s="59" t="n">
        <f aca="false">K221-K220</f>
        <v>31</v>
      </c>
      <c r="K220" s="478" t="n">
        <v>43009</v>
      </c>
      <c r="L220" s="490" t="n">
        <v>0.073958064989417</v>
      </c>
      <c r="M220" s="491" t="n">
        <v>0.064644074112634</v>
      </c>
      <c r="N220" s="480" t="n">
        <f aca="false">(1+L220/2)^(-2*((K220+$T$1)-$K$1)/365.25)</f>
        <v>0.276581263098544</v>
      </c>
      <c r="O220" s="127" t="n">
        <f aca="false">VLOOKUP(K220,Inflation!$B$8:$C$266,2)</f>
        <v>1.60819822145926</v>
      </c>
      <c r="P220" s="480"/>
      <c r="Q220" s="481" t="n">
        <f aca="false">VLOOKUP(K220,'Fuel Curve'!$B$11:$F$268,5)</f>
        <v>4.75534482758621</v>
      </c>
      <c r="R220" s="482" t="n">
        <f aca="false">VLOOKUP(K220,'Fuel Curve Simulation'!$B$12:$J$258,9)</f>
        <v>4.75534482758621</v>
      </c>
      <c r="S220" s="481" t="n">
        <f aca="false">(R220*$S$2)/1000</f>
        <v>45.5514481034483</v>
      </c>
      <c r="T220" s="483"/>
      <c r="V220" s="128" t="n">
        <f aca="false">VLOOKUP(K220,PJM_01212000!$A$7:$C$259,3)</f>
        <v>31.8250003814697</v>
      </c>
      <c r="W220" s="128"/>
      <c r="X220" s="484" t="n">
        <f aca="false">'PJM Curve Simulation'!J220</f>
        <v>31.8250003814697</v>
      </c>
      <c r="Y220" s="489"/>
      <c r="Z220" s="483"/>
      <c r="AA220" s="59" t="n">
        <f aca="false">AA219</f>
        <v>315</v>
      </c>
      <c r="AB220" s="425" t="n">
        <f aca="false">AA220*F220*16</f>
        <v>115920</v>
      </c>
      <c r="AC220" s="425" t="n">
        <f aca="false">VLOOKUP(K220,'Company Volumes'!$B$20:$C$259,2)</f>
        <v>2945.69821723644</v>
      </c>
      <c r="AD220" s="485" t="n">
        <f aca="false">IF(V220&gt;S220+($AM$5*1000*O220),AA220*F220*16,0)</f>
        <v>0</v>
      </c>
      <c r="AE220" s="425"/>
      <c r="AF220" s="425" t="n">
        <v>0</v>
      </c>
      <c r="AG220" s="425" t="n">
        <v>0</v>
      </c>
      <c r="AH220" s="425" t="n">
        <f aca="false">X220*AD220</f>
        <v>0</v>
      </c>
      <c r="AI220" s="425" t="n">
        <f aca="false">SUM(AF220:AH220)</f>
        <v>0</v>
      </c>
      <c r="AJ220" s="425" t="n">
        <f aca="false">(AD220*1000*$S$2)/1000000*R220</f>
        <v>0</v>
      </c>
      <c r="AK220" s="425" t="n">
        <f aca="false">($AK$5*O220)/12</f>
        <v>80409.9110729628</v>
      </c>
      <c r="AL220" s="425" t="n">
        <f aca="false">($AL$5*O220)/12</f>
        <v>205045.273236055</v>
      </c>
      <c r="AM220" s="425" t="n">
        <f aca="false">AD220*$AM$5*1000*O220</f>
        <v>0</v>
      </c>
      <c r="AN220" s="425" t="n">
        <f aca="false">(($AN$5*O220)/12)*$S$4</f>
        <v>183870.663320175</v>
      </c>
      <c r="AO220" s="425" t="n">
        <f aca="false">($AO$5*O220)/12</f>
        <v>40204.9555364814</v>
      </c>
      <c r="AP220" s="425" t="n">
        <f aca="false">AP219</f>
        <v>46500.5582152336</v>
      </c>
      <c r="AQ220" s="433" t="n">
        <f aca="false">SUM(AK220:AP220)</f>
        <v>556031.361380908</v>
      </c>
      <c r="AR220" s="425" t="n">
        <f aca="false">($AR$5*O220)/12</f>
        <v>20102.4777682407</v>
      </c>
      <c r="AS220" s="433" t="n">
        <f aca="false">AS219</f>
        <v>30387.755</v>
      </c>
      <c r="AT220" s="425" t="n">
        <f aca="false">(AI220/100)*$AT$6*O220</f>
        <v>0</v>
      </c>
      <c r="AU220" s="433" t="n">
        <f aca="false">SUM(AJ220:AT220)-AQ220</f>
        <v>606521.594149149</v>
      </c>
      <c r="AV220" s="433" t="n">
        <f aca="false">AI220-AU220</f>
        <v>-606521.594149149</v>
      </c>
      <c r="AW220" s="493"/>
      <c r="AX220" s="423" t="n">
        <f aca="false">K220</f>
        <v>43009</v>
      </c>
      <c r="BA220" s="126"/>
      <c r="BB220" s="481" t="n">
        <f aca="false">X220</f>
        <v>31.8250003814697</v>
      </c>
      <c r="BC220" s="481" t="n">
        <f aca="false">'Curve Analysis - Base Case'!D212</f>
        <v>48.7678445463668</v>
      </c>
      <c r="BD220" s="479" t="n">
        <f aca="false">L220</f>
        <v>0.073958064989417</v>
      </c>
      <c r="BE220" s="479" t="n">
        <f aca="false">L220</f>
        <v>0.073958064989417</v>
      </c>
      <c r="BF220" s="489" t="n">
        <f aca="false">PJM_01212000!X220</f>
        <v>0.0656856230597085</v>
      </c>
      <c r="BG220" s="425" t="n">
        <f aca="false">(AX220+15)-$K$1</f>
        <v>6435</v>
      </c>
      <c r="BH220" s="433" t="n">
        <f aca="false">AD220</f>
        <v>0</v>
      </c>
      <c r="BJ220" s="486" t="e">
        <f aca="false">EURO(BB220,BC220,BD220,BE220,BF220,BG220,1,0)*BH220</f>
        <v>#NAME?</v>
      </c>
      <c r="BK220" s="433" t="n">
        <f aca="false">(AI220-AJ220)*N220</f>
        <v>0</v>
      </c>
      <c r="BM220" s="433" t="e">
        <f aca="false">BJ220-BK220</f>
        <v>#NAME?</v>
      </c>
    </row>
    <row r="221" customFormat="false" ht="16.5" hidden="false" customHeight="false" outlineLevel="0" collapsed="false">
      <c r="A221" s="59" t="n">
        <f aca="false">A220+1</f>
        <v>215</v>
      </c>
      <c r="C221" s="59" t="n">
        <v>30</v>
      </c>
      <c r="D221" s="59" t="s">
        <v>173</v>
      </c>
      <c r="E221" s="125" t="n">
        <f aca="false">E220+C220</f>
        <v>43040</v>
      </c>
      <c r="F221" s="425" t="n">
        <f aca="false">F173</f>
        <v>22</v>
      </c>
      <c r="G221" s="433" t="n">
        <f aca="false">C221-F221</f>
        <v>8</v>
      </c>
      <c r="H221" s="433"/>
      <c r="I221" s="433"/>
      <c r="J221" s="59" t="n">
        <f aca="false">K222-K221</f>
        <v>30</v>
      </c>
      <c r="K221" s="478" t="n">
        <v>43040</v>
      </c>
      <c r="L221" s="490" t="n">
        <v>0.073952891541303</v>
      </c>
      <c r="M221" s="491" t="n">
        <v>0.064655686362323</v>
      </c>
      <c r="N221" s="480" t="n">
        <f aca="false">(1+L221/2)^(-2*((K221+$T$1)-$K$1)/365.25)</f>
        <v>0.274906103552325</v>
      </c>
      <c r="O221" s="127" t="n">
        <f aca="false">VLOOKUP(K221,Inflation!$B$8:$C$266,2)</f>
        <v>1.61177264672101</v>
      </c>
      <c r="P221" s="480"/>
      <c r="Q221" s="481" t="n">
        <f aca="false">VLOOKUP(K221,'Fuel Curve'!$B$11:$F$268,5)</f>
        <v>4.80465517241379</v>
      </c>
      <c r="R221" s="482" t="n">
        <f aca="false">VLOOKUP(K221,'Fuel Curve Simulation'!$B$12:$J$258,9)</f>
        <v>4.80465517241379</v>
      </c>
      <c r="S221" s="481" t="n">
        <f aca="false">(R221*$S$2)/1000</f>
        <v>46.0237918965517</v>
      </c>
      <c r="T221" s="483"/>
      <c r="V221" s="128" t="n">
        <f aca="false">VLOOKUP(K221,PJM_01212000!$A$7:$C$259,3)</f>
        <v>31.4974990844727</v>
      </c>
      <c r="W221" s="128"/>
      <c r="X221" s="484" t="n">
        <f aca="false">'PJM Curve Simulation'!J221</f>
        <v>31.4974990844727</v>
      </c>
      <c r="Y221" s="489"/>
      <c r="Z221" s="483"/>
      <c r="AA221" s="59" t="n">
        <f aca="false">AA220</f>
        <v>315</v>
      </c>
      <c r="AB221" s="425" t="n">
        <f aca="false">AA221*F221*16</f>
        <v>110880</v>
      </c>
      <c r="AC221" s="425" t="n">
        <f aca="false">VLOOKUP(K221,'Company Volumes'!$B$20:$C$259,2)</f>
        <v>7349.71162072</v>
      </c>
      <c r="AD221" s="485" t="n">
        <f aca="false">IF(V221&gt;S221+($AM$5*1000*O221),AA221*F221*16,0)</f>
        <v>0</v>
      </c>
      <c r="AE221" s="425"/>
      <c r="AF221" s="425" t="n">
        <v>0</v>
      </c>
      <c r="AG221" s="425" t="n">
        <v>0</v>
      </c>
      <c r="AH221" s="425" t="n">
        <f aca="false">X221*AD221</f>
        <v>0</v>
      </c>
      <c r="AI221" s="425" t="n">
        <f aca="false">SUM(AF221:AH221)</f>
        <v>0</v>
      </c>
      <c r="AJ221" s="425" t="n">
        <f aca="false">(AD221*1000*$S$2)/1000000*R221</f>
        <v>0</v>
      </c>
      <c r="AK221" s="425" t="n">
        <f aca="false">($AK$5*O221)/12</f>
        <v>80588.6323360504</v>
      </c>
      <c r="AL221" s="425" t="n">
        <f aca="false">($AL$5*O221)/12</f>
        <v>205501.012456929</v>
      </c>
      <c r="AM221" s="425" t="n">
        <f aca="false">AD221*$AM$5*1000*O221</f>
        <v>0</v>
      </c>
      <c r="AN221" s="425" t="n">
        <f aca="false">(($AN$5*O221)/12)*$S$4</f>
        <v>184279.339275102</v>
      </c>
      <c r="AO221" s="425" t="n">
        <f aca="false">($AO$5*O221)/12</f>
        <v>40294.3161680252</v>
      </c>
      <c r="AP221" s="425" t="n">
        <f aca="false">AP220</f>
        <v>46500.5582152336</v>
      </c>
      <c r="AQ221" s="433" t="n">
        <f aca="false">SUM(AK221:AP221)</f>
        <v>557163.85845134</v>
      </c>
      <c r="AR221" s="425" t="n">
        <f aca="false">($AR$5*O221)/12</f>
        <v>20147.1580840126</v>
      </c>
      <c r="AS221" s="433" t="n">
        <f aca="false">AS220</f>
        <v>30387.755</v>
      </c>
      <c r="AT221" s="425" t="n">
        <f aca="false">(AI221/100)*$AT$6*O221</f>
        <v>0</v>
      </c>
      <c r="AU221" s="433" t="n">
        <f aca="false">SUM(AJ221:AT221)-AQ221</f>
        <v>607698.771535352</v>
      </c>
      <c r="AV221" s="433" t="n">
        <f aca="false">AI221-AU221</f>
        <v>-607698.771535352</v>
      </c>
      <c r="AW221" s="493"/>
      <c r="AX221" s="423" t="n">
        <f aca="false">K221</f>
        <v>43040</v>
      </c>
      <c r="BA221" s="126"/>
      <c r="BB221" s="481" t="n">
        <f aca="false">X221</f>
        <v>31.4974990844727</v>
      </c>
      <c r="BC221" s="481" t="n">
        <f aca="false">'Curve Analysis - Base Case'!D213</f>
        <v>49.2473371899937</v>
      </c>
      <c r="BD221" s="479" t="n">
        <f aca="false">L221</f>
        <v>0.073952891541303</v>
      </c>
      <c r="BE221" s="479" t="n">
        <f aca="false">L221</f>
        <v>0.073952891541303</v>
      </c>
      <c r="BF221" s="489" t="n">
        <f aca="false">PJM_01212000!X221</f>
        <v>0.0656856230597085</v>
      </c>
      <c r="BG221" s="425" t="n">
        <f aca="false">(AX221+15)-$K$1</f>
        <v>6466</v>
      </c>
      <c r="BH221" s="433" t="n">
        <f aca="false">AD221</f>
        <v>0</v>
      </c>
      <c r="BJ221" s="486" t="e">
        <f aca="false">EURO(BB221,BC221,BD221,BE221,BF221,BG221,1,0)*BH221</f>
        <v>#NAME?</v>
      </c>
      <c r="BK221" s="433" t="n">
        <f aca="false">(AI221-AJ221)*N221</f>
        <v>0</v>
      </c>
      <c r="BM221" s="433" t="e">
        <f aca="false">BJ221-BK221</f>
        <v>#NAME?</v>
      </c>
    </row>
    <row r="222" customFormat="false" ht="16.5" hidden="false" customHeight="false" outlineLevel="0" collapsed="false">
      <c r="A222" s="59" t="n">
        <f aca="false">A221+1</f>
        <v>216</v>
      </c>
      <c r="C222" s="59" t="n">
        <v>31</v>
      </c>
      <c r="D222" s="59" t="s">
        <v>174</v>
      </c>
      <c r="E222" s="125" t="n">
        <f aca="false">E221+C221</f>
        <v>43070</v>
      </c>
      <c r="F222" s="425" t="n">
        <f aca="false">F174</f>
        <v>21</v>
      </c>
      <c r="G222" s="433" t="n">
        <f aca="false">C222-F222</f>
        <v>10</v>
      </c>
      <c r="H222" s="433" t="n">
        <f aca="false">SUM(F211:G222)</f>
        <v>365</v>
      </c>
      <c r="I222" s="433"/>
      <c r="J222" s="59" t="n">
        <f aca="false">K223-K222</f>
        <v>31</v>
      </c>
      <c r="K222" s="478" t="n">
        <v>43070</v>
      </c>
      <c r="L222" s="490" t="n">
        <v>0.07394788497862</v>
      </c>
      <c r="M222" s="491" t="n">
        <v>0.064666924024206</v>
      </c>
      <c r="N222" s="480" t="n">
        <f aca="false">(1+L222/2)^(-2*((K222+$T$1)-$K$1)/365.25)</f>
        <v>0.273294862689371</v>
      </c>
      <c r="O222" s="127" t="n">
        <f aca="false">VLOOKUP(K222,Inflation!$B$8:$C$266,2)</f>
        <v>1.61535501659791</v>
      </c>
      <c r="P222" s="480"/>
      <c r="Q222" s="481" t="n">
        <f aca="false">VLOOKUP(K222,'Fuel Curve'!$B$11:$F$268,5)</f>
        <v>4.84741379310345</v>
      </c>
      <c r="R222" s="482" t="n">
        <f aca="false">VLOOKUP(K222,'Fuel Curve Simulation'!$B$12:$J$258,9)</f>
        <v>4.84741379310345</v>
      </c>
      <c r="S222" s="481" t="n">
        <f aca="false">(R222*$S$2)/1000</f>
        <v>46.4333767241379</v>
      </c>
      <c r="T222" s="483"/>
      <c r="V222" s="128" t="n">
        <f aca="false">VLOOKUP(K222,PJM_01212000!$A$7:$C$259,3)</f>
        <v>33.2499996185303</v>
      </c>
      <c r="W222" s="128"/>
      <c r="X222" s="484" t="n">
        <f aca="false">'PJM Curve Simulation'!J222</f>
        <v>33.2499996185303</v>
      </c>
      <c r="Y222" s="489"/>
      <c r="Z222" s="483"/>
      <c r="AA222" s="59" t="n">
        <f aca="false">AA221</f>
        <v>315</v>
      </c>
      <c r="AB222" s="425" t="n">
        <f aca="false">AA222*F222*16</f>
        <v>105840</v>
      </c>
      <c r="AC222" s="425" t="n">
        <f aca="false">VLOOKUP(K222,'Company Volumes'!$B$20:$C$259,2)</f>
        <v>7349.71162072</v>
      </c>
      <c r="AD222" s="485" t="n">
        <f aca="false">IF(V222&gt;S222+($AM$5*1000*O222),AA222*F222*16,0)</f>
        <v>0</v>
      </c>
      <c r="AE222" s="425"/>
      <c r="AF222" s="425" t="n">
        <v>0</v>
      </c>
      <c r="AG222" s="425" t="n">
        <v>0</v>
      </c>
      <c r="AH222" s="425" t="n">
        <f aca="false">X222*AD222</f>
        <v>0</v>
      </c>
      <c r="AI222" s="425" t="n">
        <f aca="false">SUM(AF222:AH222)</f>
        <v>0</v>
      </c>
      <c r="AJ222" s="425" t="n">
        <f aca="false">(AD222*1000*$S$2)/1000000*R222</f>
        <v>0</v>
      </c>
      <c r="AK222" s="425" t="n">
        <f aca="false">($AK$5*O222)/12</f>
        <v>80767.7508298955</v>
      </c>
      <c r="AL222" s="425" t="n">
        <f aca="false">($AL$5*O222)/12</f>
        <v>205957.764616233</v>
      </c>
      <c r="AM222" s="425" t="n">
        <f aca="false">AD222*$AM$5*1000*O222</f>
        <v>0</v>
      </c>
      <c r="AN222" s="425" t="n">
        <f aca="false">(($AN$5*O222)/12)*$S$4</f>
        <v>184688.923564361</v>
      </c>
      <c r="AO222" s="425" t="n">
        <f aca="false">($AO$5*O222)/12</f>
        <v>40383.8754149477</v>
      </c>
      <c r="AP222" s="425" t="n">
        <f aca="false">AP221</f>
        <v>46500.5582152336</v>
      </c>
      <c r="AQ222" s="433" t="n">
        <f aca="false">SUM(AK222:AP222)</f>
        <v>558298.872640671</v>
      </c>
      <c r="AR222" s="425" t="n">
        <f aca="false">($AR$5*O222)/12</f>
        <v>20191.9377074739</v>
      </c>
      <c r="AS222" s="433" t="n">
        <f aca="false">AS221</f>
        <v>30387.755</v>
      </c>
      <c r="AT222" s="425" t="n">
        <f aca="false">(AI222/100)*$AT$6*O222</f>
        <v>0</v>
      </c>
      <c r="AU222" s="433" t="n">
        <f aca="false">SUM(AJ222:AT222)-AQ222</f>
        <v>608878.565348145</v>
      </c>
      <c r="AV222" s="433" t="n">
        <f aca="false">AI222-AU222</f>
        <v>-608878.565348145</v>
      </c>
      <c r="AW222" s="493"/>
      <c r="AX222" s="423" t="n">
        <f aca="false">K222</f>
        <v>43070</v>
      </c>
      <c r="AY222" s="425" t="n">
        <f aca="false">'Debt Amortization'!Y8</f>
        <v>9087221.43569407</v>
      </c>
      <c r="AZ222" s="425" t="n">
        <f aca="false">AY222*N222</f>
        <v>2483490.93449592</v>
      </c>
      <c r="BA222" s="126"/>
      <c r="BB222" s="481" t="n">
        <f aca="false">X222</f>
        <v>33.2499996185303</v>
      </c>
      <c r="BC222" s="481" t="n">
        <f aca="false">'Curve Analysis - Base Case'!D214</f>
        <v>49.6640867573338</v>
      </c>
      <c r="BD222" s="479" t="n">
        <f aca="false">L222</f>
        <v>0.07394788497862</v>
      </c>
      <c r="BE222" s="479" t="n">
        <f aca="false">L222</f>
        <v>0.07394788497862</v>
      </c>
      <c r="BF222" s="489" t="n">
        <f aca="false">PJM_01212000!X222</f>
        <v>0.0656856230597085</v>
      </c>
      <c r="BG222" s="425" t="n">
        <f aca="false">(AX222+15)-$K$1</f>
        <v>6496</v>
      </c>
      <c r="BH222" s="433" t="n">
        <f aca="false">AD222</f>
        <v>0</v>
      </c>
      <c r="BJ222" s="486" t="e">
        <f aca="false">EURO(BB222,BC222,BD222,BE222,BF222,BG222,1,0)*BH222</f>
        <v>#NAME?</v>
      </c>
      <c r="BK222" s="433" t="n">
        <f aca="false">(AI222-AJ222)*N222</f>
        <v>0</v>
      </c>
      <c r="BM222" s="433" t="e">
        <f aca="false">BJ222-BK222</f>
        <v>#NAME?</v>
      </c>
    </row>
    <row r="223" customFormat="false" ht="16.5" hidden="false" customHeight="false" outlineLevel="0" collapsed="false">
      <c r="A223" s="59" t="n">
        <f aca="false">A222+1</f>
        <v>217</v>
      </c>
      <c r="C223" s="59" t="n">
        <v>31</v>
      </c>
      <c r="D223" s="59" t="s">
        <v>164</v>
      </c>
      <c r="E223" s="125" t="n">
        <f aca="false">E222+C222</f>
        <v>43101</v>
      </c>
      <c r="F223" s="425" t="n">
        <f aca="false">F175</f>
        <v>23</v>
      </c>
      <c r="G223" s="433" t="n">
        <f aca="false">C223-F223</f>
        <v>8</v>
      </c>
      <c r="H223" s="433"/>
      <c r="I223" s="433"/>
      <c r="J223" s="59" t="n">
        <f aca="false">K224-K223</f>
        <v>31</v>
      </c>
      <c r="K223" s="478" t="n">
        <v>43101</v>
      </c>
      <c r="L223" s="490" t="n">
        <v>0.073942711530524</v>
      </c>
      <c r="M223" s="491" t="n">
        <v>0.064678536275743</v>
      </c>
      <c r="N223" s="480" t="n">
        <f aca="false">(1+L223/2)^(-2*((K223+$T$1)-$K$1)/365.25)</f>
        <v>0.271640060544694</v>
      </c>
      <c r="O223" s="127" t="n">
        <f aca="false">VLOOKUP(K223,Inflation!$B$8:$C$266,2)</f>
        <v>1.61894534874788</v>
      </c>
      <c r="P223" s="480"/>
      <c r="Q223" s="481" t="n">
        <f aca="false">VLOOKUP(K223,'Fuel Curve'!$B$11:$F$268,5)</f>
        <v>4.79017241379311</v>
      </c>
      <c r="R223" s="482" t="n">
        <f aca="false">VLOOKUP(K223,'Fuel Curve Simulation'!$B$12:$J$258,9)</f>
        <v>4.79017241379311</v>
      </c>
      <c r="S223" s="481" t="n">
        <f aca="false">(R223*$S$2)/1000</f>
        <v>45.8850615517242</v>
      </c>
      <c r="T223" s="483"/>
      <c r="V223" s="128" t="n">
        <f aca="false">VLOOKUP(K223,PJM_01212000!$A$7:$C$259,3)</f>
        <v>41.8249984741211</v>
      </c>
      <c r="W223" s="128"/>
      <c r="X223" s="484" t="n">
        <f aca="false">'PJM Curve Simulation'!J223</f>
        <v>41.8249984741211</v>
      </c>
      <c r="Y223" s="489"/>
      <c r="Z223" s="483"/>
      <c r="AA223" s="59" t="n">
        <f aca="false">AA222</f>
        <v>315</v>
      </c>
      <c r="AB223" s="425" t="n">
        <f aca="false">AA223*F223*16</f>
        <v>115920</v>
      </c>
      <c r="AC223" s="425" t="n">
        <f aca="false">VLOOKUP(K223,'Company Volumes'!$B$20:$C$259,2)</f>
        <v>14846.4738565733</v>
      </c>
      <c r="AD223" s="485" t="n">
        <f aca="false">IF(V223&gt;S223+($AM$5*1000*O223),AA223*F223*16,0)</f>
        <v>0</v>
      </c>
      <c r="AE223" s="425"/>
      <c r="AF223" s="425" t="n">
        <v>0</v>
      </c>
      <c r="AG223" s="425" t="n">
        <v>0</v>
      </c>
      <c r="AH223" s="425" t="n">
        <f aca="false">X223*AD223</f>
        <v>0</v>
      </c>
      <c r="AI223" s="425" t="n">
        <f aca="false">SUM(AF223:AH223)</f>
        <v>0</v>
      </c>
      <c r="AJ223" s="425" t="n">
        <f aca="false">(AD223*1000*$S$2)/1000000*R223</f>
        <v>0</v>
      </c>
      <c r="AK223" s="425" t="n">
        <f aca="false">($AK$5*O223)/12</f>
        <v>80947.2674373938</v>
      </c>
      <c r="AL223" s="425" t="n">
        <f aca="false">($AL$5*O223)/12</f>
        <v>206415.531965354</v>
      </c>
      <c r="AM223" s="425" t="n">
        <f aca="false">AD223*$AM$5*1000*O223</f>
        <v>0</v>
      </c>
      <c r="AN223" s="425" t="n">
        <f aca="false">(($AN$5*O223)/12)*$S$4</f>
        <v>185099.418206841</v>
      </c>
      <c r="AO223" s="425" t="n">
        <f aca="false">($AO$5*O223)/12</f>
        <v>40473.6337186969</v>
      </c>
      <c r="AP223" s="425" t="n">
        <f aca="false">AP222</f>
        <v>46500.5582152336</v>
      </c>
      <c r="AQ223" s="433" t="n">
        <f aca="false">SUM(AK223:AP223)</f>
        <v>559436.409543519</v>
      </c>
      <c r="AR223" s="425" t="n">
        <f aca="false">($AR$5*O223)/12</f>
        <v>20236.8168593485</v>
      </c>
      <c r="AS223" s="433" t="n">
        <f aca="false">AS222</f>
        <v>30387.755</v>
      </c>
      <c r="AT223" s="425" t="n">
        <f aca="false">(AI223/100)*$AT$6*O223</f>
        <v>0</v>
      </c>
      <c r="AU223" s="433" t="n">
        <f aca="false">SUM(AJ223:AT223)-AQ223</f>
        <v>610060.981402868</v>
      </c>
      <c r="AV223" s="433" t="n">
        <f aca="false">AI223-AU223</f>
        <v>-610060.981402868</v>
      </c>
      <c r="AW223" s="493"/>
      <c r="AX223" s="423" t="n">
        <f aca="false">K223</f>
        <v>43101</v>
      </c>
      <c r="BA223" s="126"/>
      <c r="BB223" s="481" t="n">
        <f aca="false">X223</f>
        <v>41.8249984741211</v>
      </c>
      <c r="BC223" s="481" t="n">
        <f aca="false">'Curve Analysis - Base Case'!D215</f>
        <v>49.1229522492199</v>
      </c>
      <c r="BD223" s="479" t="n">
        <f aca="false">L223</f>
        <v>0.073942711530524</v>
      </c>
      <c r="BE223" s="479" t="n">
        <f aca="false">L223</f>
        <v>0.073942711530524</v>
      </c>
      <c r="BF223" s="489" t="n">
        <f aca="false">PJM_01212000!X223</f>
        <v>0.100893117019712</v>
      </c>
      <c r="BG223" s="425" t="n">
        <f aca="false">(AX223+15)-$K$1</f>
        <v>6527</v>
      </c>
      <c r="BH223" s="433" t="n">
        <f aca="false">AD223</f>
        <v>0</v>
      </c>
      <c r="BJ223" s="486" t="e">
        <f aca="false">EURO(BB223,BC223,BD223,BE223,BF223,BG223,1,0)*BH223</f>
        <v>#NAME?</v>
      </c>
      <c r="BK223" s="433" t="n">
        <f aca="false">(AI223-AJ223)*N223</f>
        <v>0</v>
      </c>
      <c r="BM223" s="433" t="e">
        <f aca="false">BJ223-BK223</f>
        <v>#NAME?</v>
      </c>
    </row>
    <row r="224" customFormat="false" ht="16.5" hidden="false" customHeight="false" outlineLevel="0" collapsed="false">
      <c r="A224" s="59" t="n">
        <f aca="false">A223+1</f>
        <v>218</v>
      </c>
      <c r="C224" s="59" t="n">
        <v>28</v>
      </c>
      <c r="D224" s="59" t="s">
        <v>165</v>
      </c>
      <c r="E224" s="125" t="n">
        <f aca="false">E223+C223</f>
        <v>43132</v>
      </c>
      <c r="F224" s="425" t="n">
        <f aca="false">F176</f>
        <v>20</v>
      </c>
      <c r="G224" s="433" t="n">
        <f aca="false">C224-F224</f>
        <v>8</v>
      </c>
      <c r="H224" s="433"/>
      <c r="I224" s="433"/>
      <c r="J224" s="59" t="n">
        <f aca="false">K225-K224</f>
        <v>28</v>
      </c>
      <c r="K224" s="478" t="n">
        <v>43132</v>
      </c>
      <c r="L224" s="490" t="n">
        <v>0.073937538082437</v>
      </c>
      <c r="M224" s="491" t="n">
        <v>0.064690148528218</v>
      </c>
      <c r="N224" s="480" t="n">
        <f aca="false">(1+L224/2)^(-2*((K224+$T$1)-$K$1)/365.25)</f>
        <v>0.269995506947846</v>
      </c>
      <c r="O224" s="127" t="n">
        <f aca="false">VLOOKUP(K224,Inflation!$B$8:$C$266,2)</f>
        <v>1.62254366086808</v>
      </c>
      <c r="P224" s="480"/>
      <c r="Q224" s="481" t="n">
        <f aca="false">VLOOKUP(K224,'Fuel Curve'!$B$11:$F$268,5)</f>
        <v>4.69103448275862</v>
      </c>
      <c r="R224" s="482" t="n">
        <f aca="false">VLOOKUP(K224,'Fuel Curve Simulation'!$B$12:$J$258,9)</f>
        <v>4.69103448275862</v>
      </c>
      <c r="S224" s="481" t="n">
        <f aca="false">(R224*$S$2)/1000</f>
        <v>44.9354193103448</v>
      </c>
      <c r="T224" s="483"/>
      <c r="V224" s="128" t="n">
        <f aca="false">VLOOKUP(K224,PJM_01212000!$A$7:$C$259,3)</f>
        <v>41.8249984741211</v>
      </c>
      <c r="W224" s="128"/>
      <c r="X224" s="484" t="n">
        <f aca="false">'PJM Curve Simulation'!J224</f>
        <v>41.8249984741211</v>
      </c>
      <c r="Y224" s="489"/>
      <c r="Z224" s="483"/>
      <c r="AA224" s="59" t="n">
        <f aca="false">AA223</f>
        <v>315</v>
      </c>
      <c r="AB224" s="425" t="n">
        <f aca="false">AA224*F224*16</f>
        <v>100800</v>
      </c>
      <c r="AC224" s="425" t="n">
        <f aca="false">VLOOKUP(K224,'Company Volumes'!$B$20:$C$259,2)</f>
        <v>436.697953415111</v>
      </c>
      <c r="AD224" s="485" t="n">
        <f aca="false">IF(V224&gt;S224+($AM$5*1000*O224),AA224*F224*16,0)</f>
        <v>0</v>
      </c>
      <c r="AE224" s="425"/>
      <c r="AF224" s="425" t="n">
        <v>0</v>
      </c>
      <c r="AG224" s="425" t="n">
        <v>0</v>
      </c>
      <c r="AH224" s="425" t="n">
        <f aca="false">X224*AD224</f>
        <v>0</v>
      </c>
      <c r="AI224" s="425" t="n">
        <f aca="false">SUM(AF224:AH224)</f>
        <v>0</v>
      </c>
      <c r="AJ224" s="425" t="n">
        <f aca="false">(AD224*1000*$S$2)/1000000*R224</f>
        <v>0</v>
      </c>
      <c r="AK224" s="425" t="n">
        <f aca="false">($AK$5*O224)/12</f>
        <v>81127.1830434038</v>
      </c>
      <c r="AL224" s="425" t="n">
        <f aca="false">($AL$5*O224)/12</f>
        <v>206874.31676068</v>
      </c>
      <c r="AM224" s="425" t="n">
        <f aca="false">AD224*$AM$5*1000*O224</f>
        <v>0</v>
      </c>
      <c r="AN224" s="425" t="n">
        <f aca="false">(($AN$5*O224)/12)*$S$4</f>
        <v>185510.825225917</v>
      </c>
      <c r="AO224" s="425" t="n">
        <f aca="false">($AO$5*O224)/12</f>
        <v>40563.5915217019</v>
      </c>
      <c r="AP224" s="425" t="n">
        <f aca="false">AP223</f>
        <v>46500.5582152336</v>
      </c>
      <c r="AQ224" s="433" t="n">
        <f aca="false">SUM(AK224:AP224)</f>
        <v>560576.474766936</v>
      </c>
      <c r="AR224" s="425" t="n">
        <f aca="false">($AR$5*O224)/12</f>
        <v>20281.795760851</v>
      </c>
      <c r="AS224" s="433" t="n">
        <f aca="false">AS223</f>
        <v>30387.755</v>
      </c>
      <c r="AT224" s="425" t="n">
        <f aca="false">(AI224/100)*$AT$6*O224</f>
        <v>0</v>
      </c>
      <c r="AU224" s="433" t="n">
        <f aca="false">SUM(AJ224:AT224)-AQ224</f>
        <v>611246.025527787</v>
      </c>
      <c r="AV224" s="433" t="n">
        <f aca="false">AI224-AU224</f>
        <v>-611246.025527787</v>
      </c>
      <c r="AW224" s="493"/>
      <c r="AX224" s="423" t="n">
        <f aca="false">K224</f>
        <v>43132</v>
      </c>
      <c r="BA224" s="126"/>
      <c r="BB224" s="481" t="n">
        <f aca="false">X224</f>
        <v>41.8249984741211</v>
      </c>
      <c r="BC224" s="481" t="n">
        <f aca="false">'Curve Analysis - Base Case'!D216</f>
        <v>48.180506632081</v>
      </c>
      <c r="BD224" s="479" t="n">
        <f aca="false">L224</f>
        <v>0.073937538082437</v>
      </c>
      <c r="BE224" s="479" t="n">
        <f aca="false">L224</f>
        <v>0.073937538082437</v>
      </c>
      <c r="BF224" s="489" t="n">
        <f aca="false">PJM_01212000!X224</f>
        <v>0.100893117019712</v>
      </c>
      <c r="BG224" s="425" t="n">
        <f aca="false">(AX224+15)-$K$1</f>
        <v>6558</v>
      </c>
      <c r="BH224" s="433" t="n">
        <f aca="false">AD224</f>
        <v>0</v>
      </c>
      <c r="BJ224" s="486" t="e">
        <f aca="false">EURO(BB224,BC224,BD224,BE224,BF224,BG224,1,0)*BH224</f>
        <v>#NAME?</v>
      </c>
      <c r="BK224" s="433" t="n">
        <f aca="false">(AI224-AJ224)*N224</f>
        <v>0</v>
      </c>
      <c r="BM224" s="433" t="e">
        <f aca="false">BJ224-BK224</f>
        <v>#NAME?</v>
      </c>
    </row>
    <row r="225" customFormat="false" ht="16.5" hidden="false" customHeight="false" outlineLevel="0" collapsed="false">
      <c r="A225" s="59" t="n">
        <f aca="false">A224+1</f>
        <v>219</v>
      </c>
      <c r="C225" s="59" t="n">
        <v>31</v>
      </c>
      <c r="D225" s="59" t="s">
        <v>166</v>
      </c>
      <c r="E225" s="125" t="n">
        <f aca="false">E224+C224</f>
        <v>43160</v>
      </c>
      <c r="F225" s="425" t="n">
        <f aca="false">F177</f>
        <v>21</v>
      </c>
      <c r="G225" s="433" t="n">
        <f aca="false">C225-F225</f>
        <v>10</v>
      </c>
      <c r="H225" s="433"/>
      <c r="I225" s="433"/>
      <c r="J225" s="59" t="n">
        <f aca="false">K226-K225</f>
        <v>31</v>
      </c>
      <c r="K225" s="478" t="n">
        <v>43160</v>
      </c>
      <c r="L225" s="490" t="n">
        <v>0.073932865290623</v>
      </c>
      <c r="M225" s="491" t="n">
        <v>0.064700637015131</v>
      </c>
      <c r="N225" s="480" t="n">
        <f aca="false">(1+L225/2)^(-2*((K225+$T$1)-$K$1)/365.25)</f>
        <v>0.268518858616475</v>
      </c>
      <c r="O225" s="127" t="n">
        <f aca="false">VLOOKUP(K225,Inflation!$B$8:$C$266,2)</f>
        <v>1.62614997069501</v>
      </c>
      <c r="P225" s="480"/>
      <c r="Q225" s="481" t="n">
        <f aca="false">VLOOKUP(K225,'Fuel Curve'!$B$11:$F$268,5)</f>
        <v>4.59396551724138</v>
      </c>
      <c r="R225" s="482" t="n">
        <f aca="false">VLOOKUP(K225,'Fuel Curve Simulation'!$B$12:$J$258,9)</f>
        <v>4.59396551724138</v>
      </c>
      <c r="S225" s="481" t="n">
        <f aca="false">(R225*$S$2)/1000</f>
        <v>44.0055956896552</v>
      </c>
      <c r="T225" s="483"/>
      <c r="V225" s="128" t="n">
        <f aca="false">VLOOKUP(K225,PJM_01212000!$A$7:$C$259,3)</f>
        <v>31.5500007629395</v>
      </c>
      <c r="W225" s="128"/>
      <c r="X225" s="484" t="n">
        <f aca="false">'PJM Curve Simulation'!J225</f>
        <v>31.5500007629395</v>
      </c>
      <c r="Y225" s="489"/>
      <c r="Z225" s="483"/>
      <c r="AA225" s="59" t="n">
        <f aca="false">AA224</f>
        <v>315</v>
      </c>
      <c r="AB225" s="425" t="n">
        <f aca="false">AA225*F225*16</f>
        <v>105840</v>
      </c>
      <c r="AC225" s="425" t="n">
        <f aca="false">VLOOKUP(K225,'Company Volumes'!$B$20:$C$259,2)</f>
        <v>436.697953415111</v>
      </c>
      <c r="AD225" s="485" t="n">
        <f aca="false">IF(V225&gt;S225+($AM$5*1000*O225),AA225*F225*16,0)</f>
        <v>0</v>
      </c>
      <c r="AE225" s="425"/>
      <c r="AF225" s="425" t="n">
        <v>0</v>
      </c>
      <c r="AG225" s="425" t="n">
        <v>0</v>
      </c>
      <c r="AH225" s="425" t="n">
        <f aca="false">X225*AD225</f>
        <v>0</v>
      </c>
      <c r="AI225" s="425" t="n">
        <f aca="false">SUM(AF225:AH225)</f>
        <v>0</v>
      </c>
      <c r="AJ225" s="425" t="n">
        <f aca="false">(AD225*1000*$S$2)/1000000*R225</f>
        <v>0</v>
      </c>
      <c r="AK225" s="425" t="n">
        <f aca="false">($AK$5*O225)/12</f>
        <v>81307.4985347504</v>
      </c>
      <c r="AL225" s="425" t="n">
        <f aca="false">($AL$5*O225)/12</f>
        <v>207334.121263613</v>
      </c>
      <c r="AM225" s="425" t="n">
        <f aca="false">AD225*$AM$5*1000*O225</f>
        <v>0</v>
      </c>
      <c r="AN225" s="425" t="n">
        <f aca="false">(($AN$5*O225)/12)*$S$4</f>
        <v>185923.146649463</v>
      </c>
      <c r="AO225" s="425" t="n">
        <f aca="false">($AO$5*O225)/12</f>
        <v>40653.7492673752</v>
      </c>
      <c r="AP225" s="425" t="n">
        <f aca="false">AP224</f>
        <v>46500.5582152336</v>
      </c>
      <c r="AQ225" s="433" t="n">
        <f aca="false">SUM(AK225:AP225)</f>
        <v>561719.073930435</v>
      </c>
      <c r="AR225" s="425" t="n">
        <f aca="false">($AR$5*O225)/12</f>
        <v>20326.8746336876</v>
      </c>
      <c r="AS225" s="433" t="n">
        <f aca="false">AS224</f>
        <v>30387.755</v>
      </c>
      <c r="AT225" s="425" t="n">
        <f aca="false">(AI225/100)*$AT$6*O225</f>
        <v>0</v>
      </c>
      <c r="AU225" s="433" t="n">
        <f aca="false">SUM(AJ225:AT225)-AQ225</f>
        <v>612433.703564123</v>
      </c>
      <c r="AV225" s="433" t="n">
        <f aca="false">AI225-AU225</f>
        <v>-612433.703564123</v>
      </c>
      <c r="AW225" s="493"/>
      <c r="AX225" s="423" t="n">
        <f aca="false">K225</f>
        <v>43160</v>
      </c>
      <c r="BA225" s="126"/>
      <c r="BB225" s="481" t="n">
        <f aca="false">X225</f>
        <v>31.5500007629395</v>
      </c>
      <c r="BC225" s="481" t="n">
        <f aca="false">'Curve Analysis - Base Case'!D217</f>
        <v>47.2578956310452</v>
      </c>
      <c r="BD225" s="479" t="n">
        <f aca="false">L225</f>
        <v>0.073932865290623</v>
      </c>
      <c r="BE225" s="479" t="n">
        <f aca="false">L225</f>
        <v>0.073932865290623</v>
      </c>
      <c r="BF225" s="489" t="n">
        <f aca="false">PJM_01212000!X225</f>
        <v>0.0840775975164269</v>
      </c>
      <c r="BG225" s="425" t="n">
        <f aca="false">(AX225+15)-$K$1</f>
        <v>6586</v>
      </c>
      <c r="BH225" s="433" t="n">
        <f aca="false">AD225</f>
        <v>0</v>
      </c>
      <c r="BJ225" s="486" t="e">
        <f aca="false">EURO(BB225,BC225,BD225,BE225,BF225,BG225,1,0)*BH225</f>
        <v>#NAME?</v>
      </c>
      <c r="BK225" s="433" t="n">
        <f aca="false">(AI225-AJ225)*N225</f>
        <v>0</v>
      </c>
      <c r="BM225" s="433" t="e">
        <f aca="false">BJ225-BK225</f>
        <v>#NAME?</v>
      </c>
    </row>
    <row r="226" customFormat="false" ht="16.5" hidden="false" customHeight="false" outlineLevel="0" collapsed="false">
      <c r="A226" s="59" t="n">
        <f aca="false">A225+1</f>
        <v>220</v>
      </c>
      <c r="C226" s="59" t="n">
        <v>30</v>
      </c>
      <c r="D226" s="59" t="s">
        <v>167</v>
      </c>
      <c r="E226" s="125" t="n">
        <f aca="false">E225+C225</f>
        <v>43191</v>
      </c>
      <c r="F226" s="425" t="n">
        <f aca="false">F178</f>
        <v>22</v>
      </c>
      <c r="G226" s="433" t="n">
        <f aca="false">C226-F226</f>
        <v>8</v>
      </c>
      <c r="H226" s="433"/>
      <c r="I226" s="433"/>
      <c r="J226" s="59" t="n">
        <f aca="false">K227-K226</f>
        <v>30</v>
      </c>
      <c r="K226" s="478" t="n">
        <v>43191</v>
      </c>
      <c r="L226" s="490" t="n">
        <v>0.073927691842552</v>
      </c>
      <c r="M226" s="491" t="n">
        <v>0.064712249269393</v>
      </c>
      <c r="N226" s="480" t="n">
        <f aca="false">(1+L226/2)^(-2*((K226+$T$1)-$K$1)/365.25)</f>
        <v>0.266893631577935</v>
      </c>
      <c r="O226" s="127" t="n">
        <f aca="false">VLOOKUP(K226,Inflation!$B$8:$C$266,2)</f>
        <v>1.62976429600459</v>
      </c>
      <c r="P226" s="480"/>
      <c r="Q226" s="481" t="n">
        <f aca="false">VLOOKUP(K226,'Fuel Curve'!$B$11:$F$268,5)</f>
        <v>4.49396551724138</v>
      </c>
      <c r="R226" s="482" t="n">
        <f aca="false">VLOOKUP(K226,'Fuel Curve Simulation'!$B$12:$J$258,9)</f>
        <v>4.49396551724138</v>
      </c>
      <c r="S226" s="481" t="n">
        <f aca="false">(R226*$S$2)/1000</f>
        <v>43.0476956896552</v>
      </c>
      <c r="T226" s="483"/>
      <c r="V226" s="128" t="n">
        <f aca="false">VLOOKUP(K226,PJM_01212000!$A$7:$C$259,3)</f>
        <v>31.3250007629395</v>
      </c>
      <c r="W226" s="128"/>
      <c r="X226" s="484" t="n">
        <f aca="false">'PJM Curve Simulation'!J226</f>
        <v>31.3250007629395</v>
      </c>
      <c r="Y226" s="489"/>
      <c r="Z226" s="483"/>
      <c r="AA226" s="59" t="n">
        <f aca="false">AA225</f>
        <v>315</v>
      </c>
      <c r="AB226" s="425" t="n">
        <f aca="false">AA226*F226*16</f>
        <v>110880</v>
      </c>
      <c r="AC226" s="425" t="n">
        <f aca="false">VLOOKUP(K226,'Company Volumes'!$B$20:$C$259,2)</f>
        <v>6815.61516638178</v>
      </c>
      <c r="AD226" s="485" t="n">
        <f aca="false">IF(V226&gt;S226+($AM$5*1000*O226),AA226*F226*16,0)</f>
        <v>0</v>
      </c>
      <c r="AE226" s="425"/>
      <c r="AF226" s="425" t="n">
        <v>0</v>
      </c>
      <c r="AG226" s="425" t="n">
        <v>0</v>
      </c>
      <c r="AH226" s="425" t="n">
        <f aca="false">X226*AD226</f>
        <v>0</v>
      </c>
      <c r="AI226" s="425" t="n">
        <f aca="false">SUM(AF226:AH226)</f>
        <v>0</v>
      </c>
      <c r="AJ226" s="425" t="n">
        <f aca="false">(AD226*1000*$S$2)/1000000*R226</f>
        <v>0</v>
      </c>
      <c r="AK226" s="425" t="n">
        <f aca="false">($AK$5*O226)/12</f>
        <v>81488.2148002296</v>
      </c>
      <c r="AL226" s="425" t="n">
        <f aca="false">($AL$5*O226)/12</f>
        <v>207794.947740585</v>
      </c>
      <c r="AM226" s="425" t="n">
        <f aca="false">AD226*$AM$5*1000*O226</f>
        <v>0</v>
      </c>
      <c r="AN226" s="425" t="n">
        <f aca="false">(($AN$5*O226)/12)*$S$4</f>
        <v>186336.384509858</v>
      </c>
      <c r="AO226" s="425" t="n">
        <f aca="false">($AO$5*O226)/12</f>
        <v>40744.1074001148</v>
      </c>
      <c r="AP226" s="425" t="n">
        <f aca="false">AP225</f>
        <v>46500.5582152336</v>
      </c>
      <c r="AQ226" s="433" t="n">
        <f aca="false">SUM(AK226:AP226)</f>
        <v>562864.212666022</v>
      </c>
      <c r="AR226" s="425" t="n">
        <f aca="false">($AR$5*O226)/12</f>
        <v>20372.0537000574</v>
      </c>
      <c r="AS226" s="433" t="n">
        <f aca="false">AS225</f>
        <v>30387.755</v>
      </c>
      <c r="AT226" s="425" t="n">
        <f aca="false">(AI226/100)*$AT$6*O226</f>
        <v>0</v>
      </c>
      <c r="AU226" s="433" t="n">
        <f aca="false">SUM(AJ226:AT226)-AQ226</f>
        <v>613624.021366079</v>
      </c>
      <c r="AV226" s="433" t="n">
        <f aca="false">AI226-AU226</f>
        <v>-613624.021366079</v>
      </c>
      <c r="AW226" s="493"/>
      <c r="AX226" s="423" t="n">
        <f aca="false">K226</f>
        <v>43191</v>
      </c>
      <c r="BA226" s="126"/>
      <c r="BB226" s="481" t="n">
        <f aca="false">X226</f>
        <v>31.3250007629395</v>
      </c>
      <c r="BC226" s="481" t="n">
        <f aca="false">'Curve Analysis - Base Case'!D218</f>
        <v>46.3072242816644</v>
      </c>
      <c r="BD226" s="479" t="n">
        <f aca="false">L226</f>
        <v>0.073927691842552</v>
      </c>
      <c r="BE226" s="479" t="n">
        <f aca="false">L226</f>
        <v>0.073927691842552</v>
      </c>
      <c r="BF226" s="489" t="n">
        <f aca="false">PJM_01212000!X226</f>
        <v>0.0798737176406056</v>
      </c>
      <c r="BG226" s="425" t="n">
        <f aca="false">(AX226+15)-$K$1</f>
        <v>6617</v>
      </c>
      <c r="BH226" s="433" t="n">
        <f aca="false">AD226</f>
        <v>0</v>
      </c>
      <c r="BJ226" s="486" t="e">
        <f aca="false">EURO(BB226,BC226,BD226,BE226,BF226,BG226,1,0)*BH226</f>
        <v>#NAME?</v>
      </c>
      <c r="BK226" s="433" t="n">
        <f aca="false">(AI226-AJ226)*N226</f>
        <v>0</v>
      </c>
      <c r="BM226" s="433" t="e">
        <f aca="false">BJ226-BK226</f>
        <v>#NAME?</v>
      </c>
    </row>
    <row r="227" customFormat="false" ht="16.5" hidden="false" customHeight="false" outlineLevel="0" collapsed="false">
      <c r="A227" s="59" t="n">
        <f aca="false">A226+1</f>
        <v>221</v>
      </c>
      <c r="C227" s="59" t="n">
        <v>31</v>
      </c>
      <c r="D227" s="59" t="s">
        <v>29</v>
      </c>
      <c r="E227" s="125" t="n">
        <f aca="false">E226+C226</f>
        <v>43221</v>
      </c>
      <c r="F227" s="425" t="n">
        <f aca="false">F179</f>
        <v>23</v>
      </c>
      <c r="G227" s="433" t="n">
        <f aca="false">C227-F227</f>
        <v>8</v>
      </c>
      <c r="H227" s="433"/>
      <c r="I227" s="433"/>
      <c r="J227" s="59" t="n">
        <f aca="false">K228-K227</f>
        <v>31</v>
      </c>
      <c r="K227" s="478" t="n">
        <v>43221</v>
      </c>
      <c r="L227" s="490" t="n">
        <v>0.073922685279911</v>
      </c>
      <c r="M227" s="491" t="n">
        <v>0.064723486935701</v>
      </c>
      <c r="N227" s="480" t="n">
        <f aca="false">(1+L227/2)^(-2*((K227+$T$1)-$K$1)/365.25)</f>
        <v>0.265330411762718</v>
      </c>
      <c r="O227" s="127" t="n">
        <f aca="false">VLOOKUP(K227,Inflation!$B$8:$C$266,2)</f>
        <v>1.63338665461226</v>
      </c>
      <c r="P227" s="480"/>
      <c r="Q227" s="481" t="n">
        <f aca="false">VLOOKUP(K227,'Fuel Curve'!$B$11:$F$268,5)</f>
        <v>4.42672413793104</v>
      </c>
      <c r="R227" s="482" t="n">
        <f aca="false">VLOOKUP(K227,'Fuel Curve Simulation'!$B$12:$J$258,9)</f>
        <v>4.42672413793104</v>
      </c>
      <c r="S227" s="481" t="n">
        <f aca="false">(R227*$S$2)/1000</f>
        <v>42.4035905172414</v>
      </c>
      <c r="T227" s="483"/>
      <c r="V227" s="128" t="n">
        <f aca="false">VLOOKUP(K227,PJM_01212000!$A$7:$C$259,3)</f>
        <v>39.325</v>
      </c>
      <c r="W227" s="128"/>
      <c r="X227" s="484" t="n">
        <f aca="false">'PJM Curve Simulation'!J227</f>
        <v>39.325</v>
      </c>
      <c r="Y227" s="489"/>
      <c r="Z227" s="483"/>
      <c r="AA227" s="59" t="n">
        <f aca="false">AA226</f>
        <v>315</v>
      </c>
      <c r="AB227" s="425" t="n">
        <f aca="false">AA227*F227*16</f>
        <v>115920</v>
      </c>
      <c r="AC227" s="425" t="n">
        <f aca="false">VLOOKUP(K227,'Company Volumes'!$B$20:$C$259,2)</f>
        <v>17179.0080329653</v>
      </c>
      <c r="AD227" s="485" t="n">
        <f aca="false">IF(V227&gt;S227+($AM$5*1000*O227),AA227*F227*16,0)</f>
        <v>0</v>
      </c>
      <c r="AE227" s="425"/>
      <c r="AF227" s="425" t="n">
        <v>0</v>
      </c>
      <c r="AG227" s="425" t="n">
        <v>0</v>
      </c>
      <c r="AH227" s="425" t="n">
        <f aca="false">X227*AD227</f>
        <v>0</v>
      </c>
      <c r="AI227" s="425" t="n">
        <f aca="false">SUM(AF227:AH227)</f>
        <v>0</v>
      </c>
      <c r="AJ227" s="425" t="n">
        <f aca="false">(AD227*1000*$S$2)/1000000*R227</f>
        <v>0</v>
      </c>
      <c r="AK227" s="425" t="n">
        <f aca="false">($AK$5*O227)/12</f>
        <v>81669.332730613</v>
      </c>
      <c r="AL227" s="425" t="n">
        <f aca="false">($AL$5*O227)/12</f>
        <v>208256.798463063</v>
      </c>
      <c r="AM227" s="425" t="n">
        <f aca="false">AD227*$AM$5*1000*O227</f>
        <v>0</v>
      </c>
      <c r="AN227" s="425" t="n">
        <f aca="false">(($AN$5*O227)/12)*$S$4</f>
        <v>186750.540844002</v>
      </c>
      <c r="AO227" s="425" t="n">
        <f aca="false">($AO$5*O227)/12</f>
        <v>40834.6663653065</v>
      </c>
      <c r="AP227" s="425" t="n">
        <f aca="false">AP226</f>
        <v>46500.5582152336</v>
      </c>
      <c r="AQ227" s="433" t="n">
        <f aca="false">SUM(AK227:AP227)</f>
        <v>564011.896618218</v>
      </c>
      <c r="AR227" s="425" t="n">
        <f aca="false">($AR$5*O227)/12</f>
        <v>20417.3331826533</v>
      </c>
      <c r="AS227" s="433" t="n">
        <f aca="false">AS226</f>
        <v>30387.755</v>
      </c>
      <c r="AT227" s="425" t="n">
        <f aca="false">(AI227/100)*$AT$6*O227</f>
        <v>0</v>
      </c>
      <c r="AU227" s="433" t="n">
        <f aca="false">SUM(AJ227:AT227)-AQ227</f>
        <v>614816.984800871</v>
      </c>
      <c r="AV227" s="433" t="n">
        <f aca="false">AI227-AU227</f>
        <v>-614816.984800871</v>
      </c>
      <c r="AW227" s="493"/>
      <c r="AX227" s="423" t="n">
        <f aca="false">K227</f>
        <v>43221</v>
      </c>
      <c r="BA227" s="126"/>
      <c r="BB227" s="481" t="n">
        <f aca="false">X227</f>
        <v>39.325</v>
      </c>
      <c r="BC227" s="481" t="n">
        <f aca="false">'Curve Analysis - Base Case'!D219</f>
        <v>45.6703638264659</v>
      </c>
      <c r="BD227" s="479" t="n">
        <f aca="false">L227</f>
        <v>0.073922685279911</v>
      </c>
      <c r="BE227" s="479" t="n">
        <f aca="false">L227</f>
        <v>0.073922685279911</v>
      </c>
      <c r="BF227" s="489" t="n">
        <f aca="false">PJM_01212000!X227</f>
        <v>0.0882814773922483</v>
      </c>
      <c r="BG227" s="425" t="n">
        <f aca="false">(AX227+15)-$K$1</f>
        <v>6647</v>
      </c>
      <c r="BH227" s="433" t="n">
        <f aca="false">AD227</f>
        <v>0</v>
      </c>
      <c r="BJ227" s="486" t="e">
        <f aca="false">EURO(BB227,BC227,BD227,BE227,BF227,BG227,1,0)*BH227</f>
        <v>#NAME?</v>
      </c>
      <c r="BK227" s="433" t="n">
        <f aca="false">(AI227-AJ227)*N227</f>
        <v>0</v>
      </c>
      <c r="BM227" s="433" t="e">
        <f aca="false">BJ227-BK227</f>
        <v>#NAME?</v>
      </c>
    </row>
    <row r="228" customFormat="false" ht="16.5" hidden="false" customHeight="false" outlineLevel="0" collapsed="false">
      <c r="A228" s="59" t="n">
        <f aca="false">A227+1</f>
        <v>222</v>
      </c>
      <c r="C228" s="59" t="n">
        <v>30</v>
      </c>
      <c r="D228" s="59" t="s">
        <v>168</v>
      </c>
      <c r="E228" s="125" t="n">
        <f aca="false">E227+C227</f>
        <v>43252</v>
      </c>
      <c r="F228" s="425" t="n">
        <f aca="false">F180</f>
        <v>20</v>
      </c>
      <c r="G228" s="433" t="n">
        <f aca="false">C228-F228</f>
        <v>10</v>
      </c>
      <c r="H228" s="433"/>
      <c r="I228" s="433"/>
      <c r="J228" s="59" t="n">
        <f aca="false">K229-K228</f>
        <v>30</v>
      </c>
      <c r="K228" s="478" t="n">
        <v>43252</v>
      </c>
      <c r="L228" s="490" t="n">
        <v>0.073917511831858</v>
      </c>
      <c r="M228" s="491" t="n">
        <v>0.06473509919181</v>
      </c>
      <c r="N228" s="480" t="n">
        <f aca="false">(1+L228/2)^(-2*((K228+$T$1)-$K$1)/365.25)</f>
        <v>0.26372492259241</v>
      </c>
      <c r="O228" s="127" t="n">
        <f aca="false">VLOOKUP(K228,Inflation!$B$8:$C$266,2)</f>
        <v>1.63701706437304</v>
      </c>
      <c r="P228" s="480"/>
      <c r="Q228" s="481" t="n">
        <f aca="false">VLOOKUP(K228,'Fuel Curve'!$B$11:$F$268,5)</f>
        <v>4.42017241379311</v>
      </c>
      <c r="R228" s="482" t="n">
        <f aca="false">VLOOKUP(K228,'Fuel Curve Simulation'!$B$12:$J$258,9)</f>
        <v>4.42017241379311</v>
      </c>
      <c r="S228" s="481" t="n">
        <f aca="false">(R228*$S$2)/1000</f>
        <v>42.3408315517242</v>
      </c>
      <c r="T228" s="483"/>
      <c r="V228" s="128" t="n">
        <f aca="false">VLOOKUP(K228,PJM_01212000!$A$7:$C$259,3)</f>
        <v>68.3499984741211</v>
      </c>
      <c r="W228" s="128"/>
      <c r="X228" s="484" t="n">
        <f aca="false">'PJM Curve Simulation'!J228</f>
        <v>68.3499984741211</v>
      </c>
      <c r="Y228" s="489"/>
      <c r="Z228" s="483"/>
      <c r="AA228" s="59" t="n">
        <f aca="false">AA227</f>
        <v>315</v>
      </c>
      <c r="AB228" s="425" t="n">
        <f aca="false">AA228*F228*16</f>
        <v>100800</v>
      </c>
      <c r="AC228" s="425" t="n">
        <f aca="false">VLOOKUP(K228,'Company Volumes'!$B$20:$C$259,2)</f>
        <v>32295.2558628342</v>
      </c>
      <c r="AD228" s="485" t="n">
        <f aca="false">IF(V228&gt;S228+($AM$5*1000*O228),AA228*F228*16,0)</f>
        <v>100800</v>
      </c>
      <c r="AE228" s="425"/>
      <c r="AF228" s="425" t="n">
        <v>0</v>
      </c>
      <c r="AG228" s="425" t="n">
        <v>0</v>
      </c>
      <c r="AH228" s="425" t="n">
        <f aca="false">X228*AD228</f>
        <v>6889679.84619141</v>
      </c>
      <c r="AI228" s="425" t="n">
        <f aca="false">SUM(AF228:AH228)</f>
        <v>6889679.84619141</v>
      </c>
      <c r="AJ228" s="425" t="n">
        <f aca="false">(AD228*1000*$S$2)/1000000*R228</f>
        <v>4267955.82041379</v>
      </c>
      <c r="AK228" s="425" t="n">
        <f aca="false">($AK$5*O228)/12</f>
        <v>81850.853218652</v>
      </c>
      <c r="AL228" s="425" t="n">
        <f aca="false">($AL$5*O228)/12</f>
        <v>208719.675707563</v>
      </c>
      <c r="AM228" s="425" t="n">
        <f aca="false">AD228*$AM$5*1000*O228</f>
        <v>330022.640177605</v>
      </c>
      <c r="AN228" s="425" t="n">
        <f aca="false">(($AN$5*O228)/12)*$S$4</f>
        <v>187165.617693318</v>
      </c>
      <c r="AO228" s="425" t="n">
        <f aca="false">($AO$5*O228)/12</f>
        <v>40925.426609326</v>
      </c>
      <c r="AP228" s="425" t="n">
        <f aca="false">AP227</f>
        <v>46500.5582152336</v>
      </c>
      <c r="AQ228" s="433" t="n">
        <f aca="false">SUM(AK228:AP228)</f>
        <v>895184.771621697</v>
      </c>
      <c r="AR228" s="425" t="n">
        <f aca="false">($AR$5*O228)/12</f>
        <v>20462.713304663</v>
      </c>
      <c r="AS228" s="433" t="n">
        <f aca="false">AS227</f>
        <v>30387.755</v>
      </c>
      <c r="AT228" s="425" t="n">
        <f aca="false">(AI228/100)*$AT$6*O228</f>
        <v>67671.1408576942</v>
      </c>
      <c r="AU228" s="433" t="n">
        <f aca="false">SUM(AJ228:AT228)-AQ228</f>
        <v>5281662.20119785</v>
      </c>
      <c r="AV228" s="433" t="n">
        <f aca="false">AI228-AU228</f>
        <v>1608017.64499356</v>
      </c>
      <c r="AW228" s="493"/>
      <c r="AX228" s="423" t="n">
        <f aca="false">K228</f>
        <v>43252</v>
      </c>
      <c r="BA228" s="126"/>
      <c r="BB228" s="481" t="n">
        <f aca="false">X228</f>
        <v>68.3499984741211</v>
      </c>
      <c r="BC228" s="481" t="n">
        <f aca="false">'Curve Analysis - Base Case'!D220</f>
        <v>45.6148656804702</v>
      </c>
      <c r="BD228" s="479" t="n">
        <f aca="false">L228</f>
        <v>0.073917511831858</v>
      </c>
      <c r="BE228" s="479" t="n">
        <f aca="false">L228</f>
        <v>0.073917511831858</v>
      </c>
      <c r="BF228" s="489" t="n">
        <f aca="false">PJM_01212000!X228</f>
        <v>0.113504756647176</v>
      </c>
      <c r="BG228" s="425" t="n">
        <f aca="false">(AX228+15)-$K$1</f>
        <v>6678</v>
      </c>
      <c r="BH228" s="433" t="n">
        <f aca="false">AD228</f>
        <v>100800</v>
      </c>
      <c r="BJ228" s="486" t="e">
        <f aca="false">EURO(BB228,BC228,BD228,BE228,BF228,BG228,1,0)*BH228</f>
        <v>#NAME?</v>
      </c>
      <c r="BK228" s="433" t="n">
        <f aca="false">(AI228-AJ228)*N228</f>
        <v>691413.965756862</v>
      </c>
      <c r="BM228" s="433" t="e">
        <f aca="false">BJ228-BK228</f>
        <v>#NAME?</v>
      </c>
    </row>
    <row r="229" customFormat="false" ht="16.5" hidden="false" customHeight="false" outlineLevel="0" collapsed="false">
      <c r="A229" s="59" t="n">
        <f aca="false">A228+1</f>
        <v>223</v>
      </c>
      <c r="C229" s="59" t="n">
        <v>31</v>
      </c>
      <c r="D229" s="59" t="s">
        <v>169</v>
      </c>
      <c r="E229" s="125" t="n">
        <f aca="false">E228+C228</f>
        <v>43282</v>
      </c>
      <c r="F229" s="425" t="n">
        <f aca="false">F181</f>
        <v>23</v>
      </c>
      <c r="G229" s="433" t="n">
        <f aca="false">C229-F229</f>
        <v>8</v>
      </c>
      <c r="H229" s="433"/>
      <c r="I229" s="433"/>
      <c r="J229" s="59" t="n">
        <f aca="false">K230-K229</f>
        <v>31</v>
      </c>
      <c r="K229" s="478" t="n">
        <v>43282</v>
      </c>
      <c r="L229" s="490" t="n">
        <v>0.073912505269235</v>
      </c>
      <c r="M229" s="491" t="n">
        <v>0.064746336859906</v>
      </c>
      <c r="N229" s="480" t="n">
        <f aca="false">(1+L229/2)^(-2*((K229+$T$1)-$K$1)/365.25)</f>
        <v>0.262180685114484</v>
      </c>
      <c r="O229" s="127" t="n">
        <f aca="false">VLOOKUP(K229,Inflation!$B$8:$C$266,2)</f>
        <v>1.64065554318164</v>
      </c>
      <c r="P229" s="480"/>
      <c r="Q229" s="481" t="n">
        <f aca="false">VLOOKUP(K229,'Fuel Curve'!$B$11:$F$268,5)</f>
        <v>4.47741379310345</v>
      </c>
      <c r="R229" s="482" t="n">
        <f aca="false">VLOOKUP(K229,'Fuel Curve Simulation'!$B$12:$J$258,9)</f>
        <v>4.47741379310345</v>
      </c>
      <c r="S229" s="481" t="n">
        <f aca="false">(R229*$S$2)/1000</f>
        <v>42.8891467241379</v>
      </c>
      <c r="T229" s="483"/>
      <c r="V229" s="128" t="n">
        <f aca="false">VLOOKUP(K229,PJM_01212000!$A$7:$C$259,3)</f>
        <v>124.949996948242</v>
      </c>
      <c r="W229" s="128"/>
      <c r="X229" s="484" t="n">
        <f aca="false">'PJM Curve Simulation'!J229</f>
        <v>124.949996948242</v>
      </c>
      <c r="Y229" s="489"/>
      <c r="Z229" s="483"/>
      <c r="AA229" s="59" t="n">
        <f aca="false">AA228</f>
        <v>315</v>
      </c>
      <c r="AB229" s="425" t="n">
        <f aca="false">AA229*F229*16</f>
        <v>115920</v>
      </c>
      <c r="AC229" s="425" t="n">
        <f aca="false">VLOOKUP(K229,'Company Volumes'!$B$20:$C$259,2)</f>
        <v>53178.4376410778</v>
      </c>
      <c r="AD229" s="485" t="n">
        <f aca="false">IF(V229&gt;S229+($AM$5*1000*O229),AA229*F229*16,0)</f>
        <v>115920</v>
      </c>
      <c r="AE229" s="425"/>
      <c r="AF229" s="425" t="n">
        <v>0</v>
      </c>
      <c r="AG229" s="425" t="n">
        <v>0</v>
      </c>
      <c r="AH229" s="425" t="n">
        <f aca="false">X229*AD229</f>
        <v>14484203.6462402</v>
      </c>
      <c r="AI229" s="425" t="n">
        <f aca="false">SUM(AF229:AH229)</f>
        <v>14484203.6462402</v>
      </c>
      <c r="AJ229" s="425" t="n">
        <f aca="false">(AD229*1000*$S$2)/1000000*R229</f>
        <v>4971709.88826207</v>
      </c>
      <c r="AK229" s="425" t="n">
        <f aca="false">($AK$5*O229)/12</f>
        <v>82032.7771590822</v>
      </c>
      <c r="AL229" s="425" t="n">
        <f aca="false">($AL$5*O229)/12</f>
        <v>209183.58175566</v>
      </c>
      <c r="AM229" s="425" t="n">
        <f aca="false">AD229*$AM$5*1000*O229</f>
        <v>380369.581131232</v>
      </c>
      <c r="AN229" s="425" t="n">
        <f aca="false">(($AN$5*O229)/12)*$S$4</f>
        <v>187581.617103768</v>
      </c>
      <c r="AO229" s="425" t="n">
        <f aca="false">($AO$5*O229)/12</f>
        <v>41016.3885795411</v>
      </c>
      <c r="AP229" s="425" t="n">
        <f aca="false">AP228</f>
        <v>46500.5582152336</v>
      </c>
      <c r="AQ229" s="433" t="n">
        <f aca="false">SUM(AK229:AP229)</f>
        <v>946684.503944517</v>
      </c>
      <c r="AR229" s="425" t="n">
        <f aca="false">($AR$5*O229)/12</f>
        <v>20508.1942897706</v>
      </c>
      <c r="AS229" s="433" t="n">
        <f aca="false">AS228</f>
        <v>30387.755</v>
      </c>
      <c r="AT229" s="425" t="n">
        <f aca="false">(AI229/100)*$AT$6*O229</f>
        <v>142581.534004655</v>
      </c>
      <c r="AU229" s="433" t="n">
        <f aca="false">SUM(AJ229:AT229)-AQ229</f>
        <v>6111871.87550101</v>
      </c>
      <c r="AV229" s="433" t="n">
        <f aca="false">AI229-AU229</f>
        <v>8372331.77073922</v>
      </c>
      <c r="AW229" s="493"/>
      <c r="AX229" s="423" t="n">
        <f aca="false">K229</f>
        <v>43282</v>
      </c>
      <c r="BA229" s="126"/>
      <c r="BB229" s="481" t="n">
        <f aca="false">X229</f>
        <v>124.949996948242</v>
      </c>
      <c r="BC229" s="481" t="n">
        <f aca="false">'Curve Analysis - Base Case'!D221</f>
        <v>46.1704578105012</v>
      </c>
      <c r="BD229" s="479" t="n">
        <f aca="false">L229</f>
        <v>0.073912505269235</v>
      </c>
      <c r="BE229" s="479" t="n">
        <f aca="false">L229</f>
        <v>0.073912505269235</v>
      </c>
      <c r="BF229" s="489" t="n">
        <f aca="false">PJM_01212000!X229</f>
        <v>0.138728035902104</v>
      </c>
      <c r="BG229" s="425" t="n">
        <f aca="false">(AX229+15)-$K$1</f>
        <v>6708</v>
      </c>
      <c r="BH229" s="433" t="n">
        <f aca="false">AD229</f>
        <v>115920</v>
      </c>
      <c r="BJ229" s="486" t="e">
        <f aca="false">EURO(BB229,BC229,BD229,BE229,BF229,BG229,1,0)*BH229</f>
        <v>#NAME?</v>
      </c>
      <c r="BK229" s="433" t="n">
        <f aca="false">(AI229-AJ229)*N229</f>
        <v>2493992.13061397</v>
      </c>
      <c r="BM229" s="433" t="e">
        <f aca="false">BJ229-BK229</f>
        <v>#NAME?</v>
      </c>
    </row>
    <row r="230" customFormat="false" ht="16.5" hidden="false" customHeight="false" outlineLevel="0" collapsed="false">
      <c r="A230" s="59" t="n">
        <f aca="false">A229+1</f>
        <v>224</v>
      </c>
      <c r="C230" s="59" t="n">
        <v>31</v>
      </c>
      <c r="D230" s="59" t="s">
        <v>170</v>
      </c>
      <c r="E230" s="125" t="n">
        <f aca="false">E229+C229</f>
        <v>43313</v>
      </c>
      <c r="F230" s="425" t="n">
        <f aca="false">F182</f>
        <v>22</v>
      </c>
      <c r="G230" s="433" t="n">
        <f aca="false">C230-F230</f>
        <v>9</v>
      </c>
      <c r="H230" s="433"/>
      <c r="I230" s="433"/>
      <c r="J230" s="59" t="n">
        <f aca="false">K231-K230</f>
        <v>31</v>
      </c>
      <c r="K230" s="423" t="n">
        <f aca="false">E230</f>
        <v>43313</v>
      </c>
      <c r="L230" s="490" t="n">
        <v>0.073907331821199</v>
      </c>
      <c r="M230" s="491" t="n">
        <v>0.064757949117862</v>
      </c>
      <c r="N230" s="480" t="n">
        <f aca="false">(1+L230/2)^(-2*((K230+$T$1)-$K$1)/365.25)</f>
        <v>0.260594689023033</v>
      </c>
      <c r="O230" s="127" t="n">
        <f aca="false">VLOOKUP(K230,Inflation!$B$8:$C$266,2)</f>
        <v>1.64430210897256</v>
      </c>
      <c r="P230" s="480"/>
      <c r="Q230" s="481" t="n">
        <f aca="false">VLOOKUP(K230,'Fuel Curve'!$B$11:$F$268,5)</f>
        <v>4.56793103448276</v>
      </c>
      <c r="R230" s="482" t="n">
        <f aca="false">VLOOKUP(K230,'Fuel Curve Simulation'!$B$12:$J$258,9)</f>
        <v>4.56793103448276</v>
      </c>
      <c r="S230" s="481" t="n">
        <f aca="false">(R230*$S$2)/1000</f>
        <v>43.7562113793104</v>
      </c>
      <c r="T230" s="483"/>
      <c r="V230" s="498" t="n">
        <f aca="false">V218</f>
        <v>109.699996948242</v>
      </c>
      <c r="W230" s="128"/>
      <c r="X230" s="484" t="n">
        <f aca="false">'PJM Curve Simulation'!J230</f>
        <v>111.949996948242</v>
      </c>
      <c r="Y230" s="489"/>
      <c r="Z230" s="483"/>
      <c r="AA230" s="59" t="n">
        <f aca="false">AA229</f>
        <v>315</v>
      </c>
      <c r="AB230" s="425" t="n">
        <f aca="false">AA230*F230*16</f>
        <v>110880</v>
      </c>
      <c r="AC230" s="425" t="n">
        <f aca="false">VLOOKUP(K230,'Company Volumes'!$B$20:$C$259,2)</f>
        <v>35452.291761376</v>
      </c>
      <c r="AD230" s="485" t="n">
        <f aca="false">IF(V230&gt;S230+($AM$5*1000*O230),AA230*F230*16,0)</f>
        <v>110880</v>
      </c>
      <c r="AE230" s="425"/>
      <c r="AF230" s="425" t="n">
        <v>0</v>
      </c>
      <c r="AG230" s="425" t="n">
        <v>0</v>
      </c>
      <c r="AH230" s="425" t="n">
        <f aca="false">X230*AD230</f>
        <v>12413015.6616211</v>
      </c>
      <c r="AI230" s="425" t="n">
        <f aca="false">SUM(AF230:AH230)</f>
        <v>12413015.6616211</v>
      </c>
      <c r="AJ230" s="425" t="n">
        <f aca="false">(AD230*1000*$S$2)/1000000*R230</f>
        <v>4851688.71773793</v>
      </c>
      <c r="AK230" s="425" t="n">
        <f aca="false">($AK$5*O230)/12</f>
        <v>82215.1054486279</v>
      </c>
      <c r="AL230" s="425" t="n">
        <f aca="false">($AL$5*O230)/12</f>
        <v>209648.518894001</v>
      </c>
      <c r="AM230" s="425" t="n">
        <f aca="false">AD230*$AM$5*1000*O230</f>
        <v>364640.435685755</v>
      </c>
      <c r="AN230" s="425" t="n">
        <f aca="false">(($AN$5*O230)/12)*$S$4</f>
        <v>187998.541125862</v>
      </c>
      <c r="AO230" s="425" t="n">
        <f aca="false">($AO$5*O230)/12</f>
        <v>41107.552724314</v>
      </c>
      <c r="AP230" s="425" t="n">
        <f aca="false">AP229</f>
        <v>46500.5582152336</v>
      </c>
      <c r="AQ230" s="433" t="n">
        <f aca="false">SUM(AK230:AP230)</f>
        <v>932110.712093794</v>
      </c>
      <c r="AR230" s="425" t="n">
        <f aca="false">($AR$5*O230)/12</f>
        <v>20553.776362157</v>
      </c>
      <c r="AS230" s="433" t="n">
        <f aca="false">AS229</f>
        <v>30387.755</v>
      </c>
      <c r="AT230" s="425" t="n">
        <f aca="false">(AI230/100)*$AT$6*O230</f>
        <v>122464.486986678</v>
      </c>
      <c r="AU230" s="433" t="n">
        <f aca="false">SUM(AJ230:AT230)-AQ230</f>
        <v>5957205.44818056</v>
      </c>
      <c r="AV230" s="433" t="n">
        <f aca="false">AI230-AU230</f>
        <v>6455810.21344053</v>
      </c>
      <c r="AW230" s="493"/>
      <c r="AX230" s="423" t="n">
        <f aca="false">K230</f>
        <v>43313</v>
      </c>
      <c r="BA230" s="126"/>
      <c r="BB230" s="481" t="n">
        <f aca="false">X230</f>
        <v>111.949996948242</v>
      </c>
      <c r="BC230" s="481" t="n">
        <f aca="false">'Curve Analysis - Base Case'!D222</f>
        <v>47.0448155972555</v>
      </c>
      <c r="BD230" s="479" t="n">
        <f aca="false">L230</f>
        <v>0.073907331821199</v>
      </c>
      <c r="BE230" s="479" t="n">
        <f aca="false">L230</f>
        <v>0.073907331821199</v>
      </c>
      <c r="BF230" s="489" t="n">
        <f aca="false">PJM_01212000!X230</f>
        <v>0.138728035902104</v>
      </c>
      <c r="BG230" s="425" t="n">
        <f aca="false">(AX230+15)-$K$1</f>
        <v>6739</v>
      </c>
      <c r="BH230" s="433" t="n">
        <f aca="false">AD230</f>
        <v>110880</v>
      </c>
      <c r="BJ230" s="486" t="e">
        <f aca="false">EURO(BB230,BC230,BD230,BE230,BF230,BG230,1,0)*BH230</f>
        <v>#NAME?</v>
      </c>
      <c r="BK230" s="433" t="n">
        <f aca="false">(AI230-AJ230)*N230</f>
        <v>1970441.64354271</v>
      </c>
      <c r="BM230" s="433" t="e">
        <f aca="false">BJ230-BK230</f>
        <v>#NAME?</v>
      </c>
    </row>
    <row r="231" customFormat="false" ht="16.5" hidden="false" customHeight="false" outlineLevel="0" collapsed="false">
      <c r="A231" s="59" t="n">
        <f aca="false">A230+1</f>
        <v>225</v>
      </c>
      <c r="C231" s="59" t="n">
        <v>30</v>
      </c>
      <c r="D231" s="59" t="s">
        <v>171</v>
      </c>
      <c r="E231" s="125" t="n">
        <f aca="false">E230+C230</f>
        <v>43344</v>
      </c>
      <c r="F231" s="425" t="n">
        <f aca="false">F183</f>
        <v>21</v>
      </c>
      <c r="G231" s="433" t="n">
        <f aca="false">C231-F231</f>
        <v>9</v>
      </c>
      <c r="H231" s="433"/>
      <c r="I231" s="433"/>
      <c r="J231" s="59" t="n">
        <f aca="false">K232-K231</f>
        <v>30</v>
      </c>
      <c r="K231" s="423" t="n">
        <f aca="false">E231</f>
        <v>43344</v>
      </c>
      <c r="L231" s="490" t="n">
        <v>0.073902158373172</v>
      </c>
      <c r="M231" s="491" t="n">
        <v>0.064769561376757</v>
      </c>
      <c r="N231" s="480" t="n">
        <f aca="false">(1+L231/2)^(-2*((K231+$T$1)-$K$1)/365.25)</f>
        <v>0.259018506433269</v>
      </c>
      <c r="O231" s="127" t="n">
        <f aca="false">VLOOKUP(K231,Inflation!$B$8:$C$266,2)</f>
        <v>1.64795677972013</v>
      </c>
      <c r="P231" s="480"/>
      <c r="Q231" s="481" t="n">
        <f aca="false">VLOOKUP(K231,'Fuel Curve'!$B$11:$F$268,5)</f>
        <v>4.66275862068966</v>
      </c>
      <c r="R231" s="482" t="n">
        <f aca="false">VLOOKUP(K231,'Fuel Curve Simulation'!$B$12:$J$258,9)</f>
        <v>4.66275862068966</v>
      </c>
      <c r="S231" s="481" t="n">
        <f aca="false">(R231*$S$2)/1000</f>
        <v>44.6645648275862</v>
      </c>
      <c r="T231" s="483"/>
      <c r="V231" s="499" t="n">
        <f aca="false">V219</f>
        <v>39.9249984741211</v>
      </c>
      <c r="W231" s="128"/>
      <c r="X231" s="484" t="n">
        <f aca="false">'PJM Curve Simulation'!J231</f>
        <v>39.9249984741211</v>
      </c>
      <c r="Y231" s="489"/>
      <c r="Z231" s="483"/>
      <c r="AA231" s="59" t="n">
        <f aca="false">AA230</f>
        <v>315</v>
      </c>
      <c r="AB231" s="425" t="n">
        <f aca="false">AA231*F231*16</f>
        <v>105840</v>
      </c>
      <c r="AC231" s="425" t="n">
        <f aca="false">VLOOKUP(K231,'Company Volumes'!$B$20:$C$259,2)</f>
        <v>20996.5653742818</v>
      </c>
      <c r="AD231" s="485" t="n">
        <f aca="false">IF(V231&gt;S231+($AM$5*1000*O231),AA231*F231*16,0)</f>
        <v>0</v>
      </c>
      <c r="AE231" s="425"/>
      <c r="AF231" s="425" t="n">
        <v>0</v>
      </c>
      <c r="AG231" s="425" t="n">
        <v>0</v>
      </c>
      <c r="AH231" s="425" t="n">
        <f aca="false">X231*AD231</f>
        <v>0</v>
      </c>
      <c r="AI231" s="425" t="n">
        <f aca="false">SUM(AF231:AH231)</f>
        <v>0</v>
      </c>
      <c r="AJ231" s="425" t="n">
        <f aca="false">(AD231*1000*$S$2)/1000000*R231</f>
        <v>0</v>
      </c>
      <c r="AK231" s="425" t="n">
        <f aca="false">($AK$5*O231)/12</f>
        <v>82397.8389860065</v>
      </c>
      <c r="AL231" s="425" t="n">
        <f aca="false">($AL$5*O231)/12</f>
        <v>210114.489414317</v>
      </c>
      <c r="AM231" s="425" t="n">
        <f aca="false">AD231*$AM$5*1000*O231</f>
        <v>0</v>
      </c>
      <c r="AN231" s="425" t="n">
        <f aca="false">(($AN$5*O231)/12)*$S$4</f>
        <v>188416.391814668</v>
      </c>
      <c r="AO231" s="425" t="n">
        <f aca="false">($AO$5*O231)/12</f>
        <v>41198.9194930032</v>
      </c>
      <c r="AP231" s="425" t="n">
        <f aca="false">AP230</f>
        <v>46500.5582152336</v>
      </c>
      <c r="AQ231" s="433" t="n">
        <f aca="false">SUM(AK231:AP231)</f>
        <v>568628.197923228</v>
      </c>
      <c r="AR231" s="425" t="n">
        <f aca="false">($AR$5*O231)/12</f>
        <v>20599.4597465016</v>
      </c>
      <c r="AS231" s="433" t="n">
        <f aca="false">AS230</f>
        <v>30387.755</v>
      </c>
      <c r="AT231" s="425" t="n">
        <f aca="false">(AI231/100)*$AT$6*O231</f>
        <v>0</v>
      </c>
      <c r="AU231" s="433" t="n">
        <f aca="false">SUM(AJ231:AT231)-AQ231</f>
        <v>619615.41266973</v>
      </c>
      <c r="AV231" s="433" t="n">
        <f aca="false">AI231-AU231</f>
        <v>-619615.41266973</v>
      </c>
      <c r="AW231" s="493"/>
      <c r="AX231" s="423" t="n">
        <f aca="false">K231</f>
        <v>43344</v>
      </c>
      <c r="BA231" s="126"/>
      <c r="BB231" s="481" t="n">
        <f aca="false">X231</f>
        <v>39.9249984741211</v>
      </c>
      <c r="BC231" s="481" t="n">
        <f aca="false">'Curve Analysis - Base Case'!D223</f>
        <v>47.9604783870265</v>
      </c>
      <c r="BD231" s="479" t="n">
        <f aca="false">L231</f>
        <v>0.073902158373172</v>
      </c>
      <c r="BE231" s="479" t="n">
        <f aca="false">L231</f>
        <v>0.073902158373172</v>
      </c>
      <c r="BF231" s="489" t="n">
        <f aca="false">BF219</f>
        <v>0.0928887598824161</v>
      </c>
      <c r="BG231" s="425" t="n">
        <f aca="false">(AX231+15)-$K$1</f>
        <v>6770</v>
      </c>
      <c r="BH231" s="433" t="n">
        <f aca="false">AD231</f>
        <v>0</v>
      </c>
      <c r="BJ231" s="486" t="e">
        <f aca="false">EURO(BB231,BC231,BD231,BE231,BF231,BG231,1,0)*BH231</f>
        <v>#NAME?</v>
      </c>
      <c r="BK231" s="433" t="n">
        <f aca="false">(AI231-AJ231)*N231</f>
        <v>0</v>
      </c>
      <c r="BM231" s="433" t="e">
        <f aca="false">BJ231-BK231</f>
        <v>#NAME?</v>
      </c>
    </row>
    <row r="232" customFormat="false" ht="16.5" hidden="false" customHeight="false" outlineLevel="0" collapsed="false">
      <c r="A232" s="59" t="n">
        <f aca="false">A231+1</f>
        <v>226</v>
      </c>
      <c r="C232" s="59" t="n">
        <v>31</v>
      </c>
      <c r="D232" s="59" t="s">
        <v>172</v>
      </c>
      <c r="E232" s="125" t="n">
        <f aca="false">E231+C231</f>
        <v>43374</v>
      </c>
      <c r="F232" s="425" t="n">
        <f aca="false">F184</f>
        <v>23</v>
      </c>
      <c r="G232" s="433" t="n">
        <f aca="false">C232-F232</f>
        <v>8</v>
      </c>
      <c r="H232" s="433"/>
      <c r="I232" s="433"/>
      <c r="J232" s="59" t="n">
        <f aca="false">K233-K232</f>
        <v>31</v>
      </c>
      <c r="K232" s="423" t="n">
        <f aca="false">E232</f>
        <v>43374</v>
      </c>
      <c r="L232" s="490" t="n">
        <v>0.073897151810573</v>
      </c>
      <c r="M232" s="491" t="n">
        <v>0.064780799047549</v>
      </c>
      <c r="N232" s="480" t="n">
        <f aca="false">(1+L232/2)^(-2*((K232+$T$1)-$K$1)/365.25)</f>
        <v>0.257502453786801</v>
      </c>
      <c r="O232" s="127" t="n">
        <f aca="false">VLOOKUP(K232,Inflation!$B$8:$C$266,2)</f>
        <v>1.65161957343866</v>
      </c>
      <c r="P232" s="480"/>
      <c r="Q232" s="481" t="n">
        <f aca="false">VLOOKUP(K232,'Fuel Curve'!$B$11:$F$268,5)</f>
        <v>4.75534482758621</v>
      </c>
      <c r="R232" s="482" t="n">
        <f aca="false">VLOOKUP(K232,'Fuel Curve Simulation'!$B$12:$J$258,9)</f>
        <v>4.75534482758621</v>
      </c>
      <c r="S232" s="481" t="n">
        <f aca="false">(R232*$S$2)/1000</f>
        <v>45.5514481034483</v>
      </c>
      <c r="T232" s="483"/>
      <c r="V232" s="499" t="n">
        <f aca="false">V220</f>
        <v>31.8250003814697</v>
      </c>
      <c r="W232" s="128"/>
      <c r="X232" s="484" t="n">
        <f aca="false">'PJM Curve Simulation'!J232</f>
        <v>31.8250003814697</v>
      </c>
      <c r="Y232" s="489"/>
      <c r="Z232" s="483"/>
      <c r="AA232" s="59" t="n">
        <f aca="false">AA231</f>
        <v>315</v>
      </c>
      <c r="AB232" s="425" t="n">
        <f aca="false">AA232*F232*16</f>
        <v>115920</v>
      </c>
      <c r="AC232" s="425" t="n">
        <f aca="false">VLOOKUP(K232,'Company Volumes'!$B$20:$C$259,2)</f>
        <v>3064.95338096578</v>
      </c>
      <c r="AD232" s="485" t="n">
        <f aca="false">IF(V232&gt;S232+($AM$5*1000*O232),AA232*F232*16,0)</f>
        <v>0</v>
      </c>
      <c r="AE232" s="425"/>
      <c r="AF232" s="425" t="n">
        <v>0</v>
      </c>
      <c r="AG232" s="425" t="n">
        <v>0</v>
      </c>
      <c r="AH232" s="425" t="n">
        <f aca="false">X232*AD232</f>
        <v>0</v>
      </c>
      <c r="AI232" s="425" t="n">
        <f aca="false">SUM(AF232:AH232)</f>
        <v>0</v>
      </c>
      <c r="AJ232" s="425" t="n">
        <f aca="false">(AD232*1000*$S$2)/1000000*R232</f>
        <v>0</v>
      </c>
      <c r="AK232" s="425" t="n">
        <f aca="false">($AK$5*O232)/12</f>
        <v>82580.9786719328</v>
      </c>
      <c r="AL232" s="425" t="n">
        <f aca="false">($AL$5*O232)/12</f>
        <v>210581.495613429</v>
      </c>
      <c r="AM232" s="425" t="n">
        <f aca="false">AD232*$AM$5*1000*O232</f>
        <v>0</v>
      </c>
      <c r="AN232" s="425" t="n">
        <f aca="false">(($AN$5*O232)/12)*$S$4</f>
        <v>188835.17122982</v>
      </c>
      <c r="AO232" s="425" t="n">
        <f aca="false">($AO$5*O232)/12</f>
        <v>41290.4893359664</v>
      </c>
      <c r="AP232" s="425" t="n">
        <f aca="false">AP231</f>
        <v>46500.5582152336</v>
      </c>
      <c r="AQ232" s="433" t="n">
        <f aca="false">SUM(AK232:AP232)</f>
        <v>569788.693066381</v>
      </c>
      <c r="AR232" s="425" t="n">
        <f aca="false">($AR$5*O232)/12</f>
        <v>20645.2446679832</v>
      </c>
      <c r="AS232" s="433" t="n">
        <f aca="false">AS231</f>
        <v>30387.755</v>
      </c>
      <c r="AT232" s="425" t="n">
        <f aca="false">(AI232/100)*$AT$6*O232</f>
        <v>0</v>
      </c>
      <c r="AU232" s="433" t="n">
        <f aca="false">SUM(AJ232:AT232)-AQ232</f>
        <v>620821.692734364</v>
      </c>
      <c r="AV232" s="433" t="n">
        <f aca="false">AI232-AU232</f>
        <v>-620821.692734364</v>
      </c>
      <c r="AW232" s="493"/>
      <c r="AX232" s="423" t="n">
        <f aca="false">K232</f>
        <v>43374</v>
      </c>
      <c r="BA232" s="126"/>
      <c r="BB232" s="481" t="n">
        <f aca="false">X232</f>
        <v>31.8250003814697</v>
      </c>
      <c r="BC232" s="481" t="n">
        <f aca="false">'Curve Analysis - Base Case'!D224</f>
        <v>48.8546872503256</v>
      </c>
      <c r="BD232" s="479" t="n">
        <f aca="false">L232</f>
        <v>0.073897151810573</v>
      </c>
      <c r="BE232" s="479" t="n">
        <f aca="false">L232</f>
        <v>0.073897151810573</v>
      </c>
      <c r="BF232" s="489" t="n">
        <f aca="false">BF220</f>
        <v>0.0656856230597085</v>
      </c>
      <c r="BG232" s="425" t="n">
        <f aca="false">(AX232+15)-$K$1</f>
        <v>6800</v>
      </c>
      <c r="BH232" s="433" t="n">
        <f aca="false">AD232</f>
        <v>0</v>
      </c>
      <c r="BJ232" s="486" t="e">
        <f aca="false">EURO(BB232,BC232,BD232,BE232,BF232,BG232,1,0)*BH232</f>
        <v>#NAME?</v>
      </c>
      <c r="BK232" s="433" t="n">
        <f aca="false">(AI232-AJ232)*N232</f>
        <v>0</v>
      </c>
      <c r="BM232" s="433" t="e">
        <f aca="false">BJ232-BK232</f>
        <v>#NAME?</v>
      </c>
    </row>
    <row r="233" customFormat="false" ht="16.5" hidden="false" customHeight="false" outlineLevel="0" collapsed="false">
      <c r="A233" s="59" t="n">
        <f aca="false">A232+1</f>
        <v>227</v>
      </c>
      <c r="C233" s="59" t="n">
        <v>30</v>
      </c>
      <c r="D233" s="59" t="s">
        <v>173</v>
      </c>
      <c r="E233" s="125" t="n">
        <f aca="false">E232+C232</f>
        <v>43405</v>
      </c>
      <c r="F233" s="425" t="n">
        <f aca="false">F185</f>
        <v>21</v>
      </c>
      <c r="G233" s="433" t="n">
        <f aca="false">C233-F233</f>
        <v>9</v>
      </c>
      <c r="H233" s="433"/>
      <c r="I233" s="433"/>
      <c r="J233" s="59" t="n">
        <f aca="false">K234-K233</f>
        <v>30</v>
      </c>
      <c r="K233" s="423" t="n">
        <f aca="false">E233</f>
        <v>43405</v>
      </c>
      <c r="L233" s="490" t="n">
        <v>0.073891978362564</v>
      </c>
      <c r="M233" s="491" t="n">
        <v>0.064792411308291</v>
      </c>
      <c r="N233" s="480" t="n">
        <f aca="false">(1+L233/2)^(-2*((K233+$T$1)-$K$1)/365.25)</f>
        <v>0.255945400928866</v>
      </c>
      <c r="O233" s="127" t="n">
        <f aca="false">VLOOKUP(K233,Inflation!$B$8:$C$266,2)</f>
        <v>1.65529050818248</v>
      </c>
      <c r="P233" s="480"/>
      <c r="Q233" s="481" t="n">
        <f aca="false">VLOOKUP(K233,'Fuel Curve'!$B$11:$F$268,5)</f>
        <v>4.80465517241379</v>
      </c>
      <c r="R233" s="482" t="n">
        <f aca="false">VLOOKUP(K233,'Fuel Curve Simulation'!$B$12:$J$258,9)</f>
        <v>4.80465517241379</v>
      </c>
      <c r="S233" s="481" t="n">
        <f aca="false">(R233*$S$2)/1000</f>
        <v>46.0237918965517</v>
      </c>
      <c r="T233" s="483"/>
      <c r="V233" s="499" t="n">
        <f aca="false">V221</f>
        <v>31.4974990844727</v>
      </c>
      <c r="W233" s="128"/>
      <c r="X233" s="484" t="n">
        <f aca="false">'PJM Curve Simulation'!J233</f>
        <v>31.4974990844727</v>
      </c>
      <c r="Y233" s="489"/>
      <c r="Z233" s="483"/>
      <c r="AA233" s="59" t="n">
        <f aca="false">AA232</f>
        <v>315</v>
      </c>
      <c r="AB233" s="425" t="n">
        <f aca="false">AA233*F233*16</f>
        <v>105840</v>
      </c>
      <c r="AC233" s="425" t="n">
        <f aca="false">VLOOKUP(K233,'Company Volumes'!$B$20:$C$259,2)</f>
        <v>7342.86756395111</v>
      </c>
      <c r="AD233" s="485" t="n">
        <f aca="false">IF(V233&gt;S233+($AM$5*1000*O233),AA233*F233*16,0)</f>
        <v>0</v>
      </c>
      <c r="AE233" s="425"/>
      <c r="AF233" s="425" t="n">
        <v>0</v>
      </c>
      <c r="AG233" s="425" t="n">
        <v>0</v>
      </c>
      <c r="AH233" s="425" t="n">
        <f aca="false">X233*AD233</f>
        <v>0</v>
      </c>
      <c r="AI233" s="425" t="n">
        <f aca="false">SUM(AF233:AH233)</f>
        <v>0</v>
      </c>
      <c r="AJ233" s="425" t="n">
        <f aca="false">(AD233*1000*$S$2)/1000000*R233</f>
        <v>0</v>
      </c>
      <c r="AK233" s="425" t="n">
        <f aca="false">($AK$5*O233)/12</f>
        <v>82764.5254091238</v>
      </c>
      <c r="AL233" s="425" t="n">
        <f aca="false">($AL$5*O233)/12</f>
        <v>211049.539793266</v>
      </c>
      <c r="AM233" s="425" t="n">
        <f aca="false">AD233*$AM$5*1000*O233</f>
        <v>0</v>
      </c>
      <c r="AN233" s="425" t="n">
        <f aca="false">(($AN$5*O233)/12)*$S$4</f>
        <v>189254.88143553</v>
      </c>
      <c r="AO233" s="425" t="n">
        <f aca="false">($AO$5*O233)/12</f>
        <v>41382.2627045619</v>
      </c>
      <c r="AP233" s="425" t="n">
        <f aca="false">AP232</f>
        <v>46500.5582152336</v>
      </c>
      <c r="AQ233" s="433" t="n">
        <f aca="false">SUM(AK233:AP233)</f>
        <v>570951.767557715</v>
      </c>
      <c r="AR233" s="425" t="n">
        <f aca="false">($AR$5*O233)/12</f>
        <v>20691.1313522809</v>
      </c>
      <c r="AS233" s="433" t="n">
        <f aca="false">AS232</f>
        <v>30387.755</v>
      </c>
      <c r="AT233" s="425" t="n">
        <f aca="false">(AI233/100)*$AT$6*O233</f>
        <v>0</v>
      </c>
      <c r="AU233" s="433" t="n">
        <f aca="false">SUM(AJ233:AT233)-AQ233</f>
        <v>622030.653909996</v>
      </c>
      <c r="AV233" s="433" t="n">
        <f aca="false">AI233-AU233</f>
        <v>-622030.653909996</v>
      </c>
      <c r="AW233" s="493"/>
      <c r="AX233" s="423" t="n">
        <f aca="false">K233</f>
        <v>43405</v>
      </c>
      <c r="BA233" s="126"/>
      <c r="BB233" s="481" t="n">
        <f aca="false">X233</f>
        <v>31.4974990844727</v>
      </c>
      <c r="BC233" s="481" t="n">
        <f aca="false">'Curve Analysis - Base Case'!D225</f>
        <v>49.3343729129167</v>
      </c>
      <c r="BD233" s="479" t="n">
        <f aca="false">L233</f>
        <v>0.073891978362564</v>
      </c>
      <c r="BE233" s="479" t="n">
        <f aca="false">L233</f>
        <v>0.073891978362564</v>
      </c>
      <c r="BF233" s="489" t="n">
        <f aca="false">BF221</f>
        <v>0.0656856230597085</v>
      </c>
      <c r="BG233" s="425" t="n">
        <f aca="false">(AX233+15)-$K$1</f>
        <v>6831</v>
      </c>
      <c r="BH233" s="433" t="n">
        <f aca="false">AD233</f>
        <v>0</v>
      </c>
      <c r="BJ233" s="486" t="e">
        <f aca="false">EURO(BB233,BC233,BD233,BE233,BF233,BG233,1,0)*BH233</f>
        <v>#NAME?</v>
      </c>
      <c r="BK233" s="433" t="n">
        <f aca="false">(AI233-AJ233)*N233</f>
        <v>0</v>
      </c>
      <c r="BM233" s="433" t="e">
        <f aca="false">BJ233-BK233</f>
        <v>#NAME?</v>
      </c>
    </row>
    <row r="234" customFormat="false" ht="16.5" hidden="false" customHeight="false" outlineLevel="0" collapsed="false">
      <c r="A234" s="59" t="n">
        <f aca="false">A233+1</f>
        <v>228</v>
      </c>
      <c r="C234" s="59" t="n">
        <v>31</v>
      </c>
      <c r="D234" s="59" t="s">
        <v>174</v>
      </c>
      <c r="E234" s="125" t="n">
        <f aca="false">E233+C233</f>
        <v>43435</v>
      </c>
      <c r="F234" s="425" t="n">
        <f aca="false">F186</f>
        <v>22</v>
      </c>
      <c r="G234" s="433" t="n">
        <f aca="false">C234-F234</f>
        <v>9</v>
      </c>
      <c r="H234" s="433" t="n">
        <f aca="false">SUM(F223:G234)</f>
        <v>365</v>
      </c>
      <c r="I234" s="433"/>
      <c r="J234" s="59" t="n">
        <f aca="false">K235-K234</f>
        <v>31</v>
      </c>
      <c r="K234" s="423" t="n">
        <f aca="false">E234</f>
        <v>43435</v>
      </c>
      <c r="L234" s="490" t="n">
        <v>0.073886971799982</v>
      </c>
      <c r="M234" s="491" t="n">
        <v>0.06480364898087</v>
      </c>
      <c r="N234" s="480" t="n">
        <f aca="false">(1+L234/2)^(-2*((K234+$T$1)-$K$1)/365.25)</f>
        <v>0.25444774583403</v>
      </c>
      <c r="O234" s="127" t="n">
        <f aca="false">VLOOKUP(K234,Inflation!$B$8:$C$266,2)</f>
        <v>1.65896960204605</v>
      </c>
      <c r="P234" s="480"/>
      <c r="Q234" s="481" t="n">
        <f aca="false">VLOOKUP(K234,'Fuel Curve'!$B$11:$F$268,5)</f>
        <v>4.84741379310345</v>
      </c>
      <c r="R234" s="482" t="n">
        <f aca="false">VLOOKUP(K234,'Fuel Curve Simulation'!$B$12:$J$258,9)</f>
        <v>4.84741379310345</v>
      </c>
      <c r="S234" s="481" t="n">
        <f aca="false">(R234*$S$2)/1000</f>
        <v>46.4333767241379</v>
      </c>
      <c r="T234" s="483"/>
      <c r="V234" s="499" t="n">
        <f aca="false">V222</f>
        <v>33.2499996185303</v>
      </c>
      <c r="W234" s="128"/>
      <c r="X234" s="484" t="n">
        <f aca="false">'PJM Curve Simulation'!J234</f>
        <v>33.2499996185303</v>
      </c>
      <c r="Y234" s="489"/>
      <c r="Z234" s="483"/>
      <c r="AA234" s="59" t="n">
        <f aca="false">AA233</f>
        <v>315</v>
      </c>
      <c r="AB234" s="425" t="n">
        <f aca="false">AA234*F234*16</f>
        <v>110880</v>
      </c>
      <c r="AC234" s="425" t="n">
        <f aca="false">VLOOKUP(K234,'Company Volumes'!$B$20:$C$259,2)</f>
        <v>7342.86756395111</v>
      </c>
      <c r="AD234" s="485" t="n">
        <f aca="false">IF(V234&gt;S234+($AM$5*1000*O234),AA234*F234*16,0)</f>
        <v>0</v>
      </c>
      <c r="AE234" s="425"/>
      <c r="AF234" s="425" t="n">
        <v>0</v>
      </c>
      <c r="AG234" s="425" t="n">
        <v>0</v>
      </c>
      <c r="AH234" s="425" t="n">
        <f aca="false">X234*AD234</f>
        <v>0</v>
      </c>
      <c r="AI234" s="425" t="n">
        <f aca="false">SUM(AF234:AH234)</f>
        <v>0</v>
      </c>
      <c r="AJ234" s="425" t="n">
        <f aca="false">(AD234*1000*$S$2)/1000000*R234</f>
        <v>0</v>
      </c>
      <c r="AK234" s="425" t="n">
        <f aca="false">($AK$5*O234)/12</f>
        <v>82948.4801023026</v>
      </c>
      <c r="AL234" s="425" t="n">
        <f aca="false">($AL$5*O234)/12</f>
        <v>211518.624260872</v>
      </c>
      <c r="AM234" s="425" t="n">
        <f aca="false">AD234*$AM$5*1000*O234</f>
        <v>0</v>
      </c>
      <c r="AN234" s="425" t="n">
        <f aca="false">(($AN$5*O234)/12)*$S$4</f>
        <v>189675.524500599</v>
      </c>
      <c r="AO234" s="425" t="n">
        <f aca="false">($AO$5*O234)/12</f>
        <v>41474.2400511513</v>
      </c>
      <c r="AP234" s="425" t="n">
        <f aca="false">AP233</f>
        <v>46500.5582152336</v>
      </c>
      <c r="AQ234" s="433" t="n">
        <f aca="false">SUM(AK234:AP234)</f>
        <v>572117.427130158</v>
      </c>
      <c r="AR234" s="425" t="n">
        <f aca="false">($AR$5*O234)/12</f>
        <v>20737.1200255757</v>
      </c>
      <c r="AS234" s="433" t="n">
        <f aca="false">AS233</f>
        <v>30387.755</v>
      </c>
      <c r="AT234" s="425" t="n">
        <f aca="false">(AI234/100)*$AT$6*O234</f>
        <v>0</v>
      </c>
      <c r="AU234" s="433" t="n">
        <f aca="false">SUM(AJ234:AT234)-AQ234</f>
        <v>623242.302155734</v>
      </c>
      <c r="AV234" s="433" t="n">
        <f aca="false">AI234-AU234</f>
        <v>-623242.302155734</v>
      </c>
      <c r="AW234" s="493"/>
      <c r="AX234" s="423" t="n">
        <f aca="false">K234</f>
        <v>43435</v>
      </c>
      <c r="AY234" s="425" t="n">
        <f aca="false">'Debt Amortization'!Z8</f>
        <v>9882276.04825656</v>
      </c>
      <c r="AZ234" s="425" t="n">
        <f aca="false">AY234*N234</f>
        <v>2514522.8641885</v>
      </c>
      <c r="BA234" s="126"/>
      <c r="BB234" s="481" t="n">
        <f aca="false">X234</f>
        <v>33.2499996185303</v>
      </c>
      <c r="BC234" s="481" t="n">
        <f aca="false">'Curve Analysis - Base Case'!D226</f>
        <v>49.75131592823</v>
      </c>
      <c r="BD234" s="479" t="n">
        <f aca="false">L234</f>
        <v>0.073886971799982</v>
      </c>
      <c r="BE234" s="479" t="n">
        <f aca="false">L234</f>
        <v>0.073886971799982</v>
      </c>
      <c r="BF234" s="489" t="n">
        <f aca="false">BF222</f>
        <v>0.0656856230597085</v>
      </c>
      <c r="BG234" s="425" t="n">
        <f aca="false">(AX234+15)-$K$1</f>
        <v>6861</v>
      </c>
      <c r="BH234" s="433" t="n">
        <f aca="false">AD234</f>
        <v>0</v>
      </c>
      <c r="BJ234" s="486" t="e">
        <f aca="false">EURO(BB234,BC234,BD234,BE234,BF234,BG234,1,0)*BH234</f>
        <v>#NAME?</v>
      </c>
      <c r="BK234" s="433" t="n">
        <f aca="false">(AI234-AJ234)*N234</f>
        <v>0</v>
      </c>
      <c r="BM234" s="433" t="e">
        <f aca="false">BJ234-BK234</f>
        <v>#NAME?</v>
      </c>
    </row>
    <row r="235" customFormat="false" ht="16.5" hidden="false" customHeight="false" outlineLevel="0" collapsed="false">
      <c r="A235" s="59" t="n">
        <f aca="false">A234+1</f>
        <v>229</v>
      </c>
      <c r="C235" s="59" t="n">
        <v>31</v>
      </c>
      <c r="D235" s="59" t="s">
        <v>164</v>
      </c>
      <c r="E235" s="125" t="n">
        <f aca="false">E234+C234</f>
        <v>43466</v>
      </c>
      <c r="F235" s="425" t="n">
        <f aca="false">F187</f>
        <v>23</v>
      </c>
      <c r="G235" s="433" t="n">
        <f aca="false">C235-F235</f>
        <v>8</v>
      </c>
      <c r="H235" s="433"/>
      <c r="I235" s="433"/>
      <c r="J235" s="59" t="n">
        <f aca="false">K236-K235</f>
        <v>31</v>
      </c>
      <c r="K235" s="423" t="n">
        <f aca="false">E235</f>
        <v>43466</v>
      </c>
      <c r="L235" s="490" t="n">
        <v>0.073881798352</v>
      </c>
      <c r="M235" s="491" t="n">
        <v>0.064815261243459</v>
      </c>
      <c r="N235" s="480" t="n">
        <f aca="false">(1+L235/2)^(-2*((K235+$T$1)-$K$1)/365.25)</f>
        <v>0.252909585609196</v>
      </c>
      <c r="O235" s="127" t="n">
        <f aca="false">VLOOKUP(K235,Inflation!$B$8:$C$266,2)</f>
        <v>1.66265687316407</v>
      </c>
      <c r="P235" s="480"/>
      <c r="Q235" s="481" t="n">
        <f aca="false">VLOOKUP(K235,'Fuel Curve'!$B$11:$F$268,5)</f>
        <v>4.79017241379311</v>
      </c>
      <c r="R235" s="482" t="n">
        <f aca="false">VLOOKUP(K235,'Fuel Curve Simulation'!$B$12:$J$258,9)</f>
        <v>4.79017241379311</v>
      </c>
      <c r="S235" s="481" t="n">
        <f aca="false">(R235*$S$2)/1000</f>
        <v>45.8850615517242</v>
      </c>
      <c r="T235" s="483"/>
      <c r="V235" s="499" t="n">
        <f aca="false">V223</f>
        <v>41.8249984741211</v>
      </c>
      <c r="W235" s="128"/>
      <c r="X235" s="484" t="n">
        <f aca="false">'PJM Curve Simulation'!J235</f>
        <v>41.8249984741211</v>
      </c>
      <c r="Y235" s="489"/>
      <c r="Z235" s="483"/>
      <c r="AA235" s="59" t="n">
        <f aca="false">AA234</f>
        <v>315</v>
      </c>
      <c r="AB235" s="425" t="n">
        <f aca="false">AA235*F235*16</f>
        <v>115920</v>
      </c>
      <c r="AC235" s="425" t="n">
        <f aca="false">VLOOKUP(K235,'Company Volumes'!$B$20:$C$259,2)</f>
        <v>14724.4615222258</v>
      </c>
      <c r="AD235" s="485" t="n">
        <f aca="false">IF(V235&gt;S235+($AM$5*1000*O235),AA235*F235*16,0)</f>
        <v>0</v>
      </c>
      <c r="AE235" s="425"/>
      <c r="AF235" s="425" t="n">
        <v>0</v>
      </c>
      <c r="AG235" s="425" t="n">
        <v>0</v>
      </c>
      <c r="AH235" s="425" t="n">
        <f aca="false">X235*AD235</f>
        <v>0</v>
      </c>
      <c r="AI235" s="425" t="n">
        <f aca="false">SUM(AF235:AH235)</f>
        <v>0</v>
      </c>
      <c r="AJ235" s="425" t="n">
        <f aca="false">(AD235*1000*$S$2)/1000000*R235</f>
        <v>0</v>
      </c>
      <c r="AK235" s="425" t="n">
        <f aca="false">($AK$5*O235)/12</f>
        <v>83132.8436582034</v>
      </c>
      <c r="AL235" s="425" t="n">
        <f aca="false">($AL$5*O235)/12</f>
        <v>211988.751328419</v>
      </c>
      <c r="AM235" s="425" t="n">
        <f aca="false">AD235*$AM$5*1000*O235</f>
        <v>0</v>
      </c>
      <c r="AN235" s="425" t="n">
        <f aca="false">(($AN$5*O235)/12)*$S$4</f>
        <v>190097.102498425</v>
      </c>
      <c r="AO235" s="425" t="n">
        <f aca="false">($AO$5*O235)/12</f>
        <v>41566.4218291017</v>
      </c>
      <c r="AP235" s="425" t="n">
        <f aca="false">AP234</f>
        <v>46500.5582152336</v>
      </c>
      <c r="AQ235" s="433" t="n">
        <f aca="false">SUM(AK235:AP235)</f>
        <v>573285.677529383</v>
      </c>
      <c r="AR235" s="425" t="n">
        <f aca="false">($AR$5*O235)/12</f>
        <v>20783.2109145509</v>
      </c>
      <c r="AS235" s="433" t="n">
        <f aca="false">AS234</f>
        <v>30387.755</v>
      </c>
      <c r="AT235" s="425" t="n">
        <f aca="false">(AI235/100)*$AT$6*O235</f>
        <v>0</v>
      </c>
      <c r="AU235" s="433" t="n">
        <f aca="false">SUM(AJ235:AT235)-AQ235</f>
        <v>624456.643443934</v>
      </c>
      <c r="AV235" s="433" t="n">
        <f aca="false">AI235-AU235</f>
        <v>-624456.643443934</v>
      </c>
      <c r="AW235" s="493"/>
      <c r="AX235" s="423" t="n">
        <f aca="false">K235</f>
        <v>43466</v>
      </c>
      <c r="BA235" s="126"/>
      <c r="BB235" s="481" t="n">
        <f aca="false">X235</f>
        <v>41.8249984741211</v>
      </c>
      <c r="BC235" s="481" t="n">
        <f aca="false">'Curve Analysis - Base Case'!D227</f>
        <v>49.2103752980523</v>
      </c>
      <c r="BD235" s="479" t="n">
        <f aca="false">L235</f>
        <v>0.073881798352</v>
      </c>
      <c r="BE235" s="479" t="n">
        <f aca="false">L235</f>
        <v>0.073881798352</v>
      </c>
      <c r="BF235" s="489" t="n">
        <f aca="false">BF223</f>
        <v>0.100893117019712</v>
      </c>
      <c r="BG235" s="425" t="n">
        <f aca="false">(AX235+15)-$K$1</f>
        <v>6892</v>
      </c>
      <c r="BH235" s="433" t="n">
        <f aca="false">AD235</f>
        <v>0</v>
      </c>
      <c r="BJ235" s="486" t="e">
        <f aca="false">EURO(BB235,BC235,BD235,BE235,BF235,BG235,1,0)*BH235</f>
        <v>#NAME?</v>
      </c>
      <c r="BK235" s="433" t="n">
        <f aca="false">(AI235-AJ235)*N235</f>
        <v>0</v>
      </c>
      <c r="BM235" s="433" t="e">
        <f aca="false">BJ235-BK235</f>
        <v>#NAME?</v>
      </c>
    </row>
    <row r="236" customFormat="false" ht="16.5" hidden="false" customHeight="false" outlineLevel="0" collapsed="false">
      <c r="A236" s="59" t="n">
        <f aca="false">A235+1</f>
        <v>230</v>
      </c>
      <c r="C236" s="59" t="n">
        <v>28</v>
      </c>
      <c r="D236" s="59" t="s">
        <v>165</v>
      </c>
      <c r="E236" s="125" t="n">
        <f aca="false">E235+C235</f>
        <v>43497</v>
      </c>
      <c r="F236" s="425" t="n">
        <f aca="false">F188</f>
        <v>20</v>
      </c>
      <c r="G236" s="433" t="n">
        <f aca="false">C236-F236</f>
        <v>8</v>
      </c>
      <c r="H236" s="433"/>
      <c r="I236" s="433"/>
      <c r="J236" s="59" t="n">
        <f aca="false">K237-K236</f>
        <v>28</v>
      </c>
      <c r="K236" s="423" t="n">
        <f aca="false">E236</f>
        <v>43497</v>
      </c>
      <c r="L236" s="490" t="n">
        <v>0.073876624904006</v>
      </c>
      <c r="M236" s="491" t="n">
        <v>0.064826873506987</v>
      </c>
      <c r="N236" s="480" t="n">
        <f aca="false">(1+L236/2)^(-2*((K236+$T$1)-$K$1)/365.25)</f>
        <v>0.25138093665711</v>
      </c>
      <c r="O236" s="127" t="n">
        <f aca="false">VLOOKUP(K236,Inflation!$B$8:$C$266,2)</f>
        <v>1.66635233971151</v>
      </c>
      <c r="P236" s="480"/>
      <c r="Q236" s="481" t="n">
        <f aca="false">VLOOKUP(K236,'Fuel Curve'!$B$11:$F$268,5)</f>
        <v>4.69103448275862</v>
      </c>
      <c r="R236" s="482" t="n">
        <f aca="false">VLOOKUP(K236,'Fuel Curve Simulation'!$B$12:$J$258,9)</f>
        <v>4.69103448275862</v>
      </c>
      <c r="S236" s="481" t="n">
        <f aca="false">(R236*$S$2)/1000</f>
        <v>44.9354193103448</v>
      </c>
      <c r="T236" s="483"/>
      <c r="V236" s="499" t="n">
        <f aca="false">V224</f>
        <v>41.8249984741211</v>
      </c>
      <c r="W236" s="128"/>
      <c r="X236" s="484" t="n">
        <f aca="false">'PJM Curve Simulation'!J236</f>
        <v>41.8249984741211</v>
      </c>
      <c r="Y236" s="489"/>
      <c r="Z236" s="483"/>
      <c r="AA236" s="59" t="n">
        <f aca="false">AA235</f>
        <v>315</v>
      </c>
      <c r="AB236" s="425" t="n">
        <f aca="false">AA236*F236*16</f>
        <v>100800</v>
      </c>
      <c r="AC236" s="425" t="n">
        <f aca="false">VLOOKUP(K236,'Company Volumes'!$B$20:$C$259,2)</f>
        <v>421.950755557333</v>
      </c>
      <c r="AD236" s="485" t="n">
        <f aca="false">IF(V236&gt;S236+($AM$5*1000*O236),AA236*F236*16,0)</f>
        <v>0</v>
      </c>
      <c r="AE236" s="425"/>
      <c r="AF236" s="425" t="n">
        <v>0</v>
      </c>
      <c r="AG236" s="425" t="n">
        <v>0</v>
      </c>
      <c r="AH236" s="425" t="n">
        <f aca="false">X236*AD236</f>
        <v>0</v>
      </c>
      <c r="AI236" s="425" t="n">
        <f aca="false">SUM(AF236:AH236)</f>
        <v>0</v>
      </c>
      <c r="AJ236" s="425" t="n">
        <f aca="false">(AD236*1000*$S$2)/1000000*R236</f>
        <v>0</v>
      </c>
      <c r="AK236" s="425" t="n">
        <f aca="false">($AK$5*O236)/12</f>
        <v>83317.6169855757</v>
      </c>
      <c r="AL236" s="425" t="n">
        <f aca="false">($AL$5*O236)/12</f>
        <v>212459.923313218</v>
      </c>
      <c r="AM236" s="425" t="n">
        <f aca="false">AD236*$AM$5*1000*O236</f>
        <v>0</v>
      </c>
      <c r="AN236" s="425" t="n">
        <f aca="false">(($AN$5*O236)/12)*$S$4</f>
        <v>190519.617507016</v>
      </c>
      <c r="AO236" s="425" t="n">
        <f aca="false">($AO$5*O236)/12</f>
        <v>41658.8084927878</v>
      </c>
      <c r="AP236" s="425" t="n">
        <f aca="false">AP235</f>
        <v>46500.5582152336</v>
      </c>
      <c r="AQ236" s="433" t="n">
        <f aca="false">SUM(AK236:AP236)</f>
        <v>574456.524513832</v>
      </c>
      <c r="AR236" s="425" t="n">
        <f aca="false">($AR$5*O236)/12</f>
        <v>20829.4042463939</v>
      </c>
      <c r="AS236" s="433" t="n">
        <f aca="false">AS235</f>
        <v>30387.755</v>
      </c>
      <c r="AT236" s="425" t="n">
        <f aca="false">(AI236/100)*$AT$6*O236</f>
        <v>0</v>
      </c>
      <c r="AU236" s="433" t="n">
        <f aca="false">SUM(AJ236:AT236)-AQ236</f>
        <v>625673.683760225</v>
      </c>
      <c r="AV236" s="433" t="n">
        <f aca="false">AI236-AU236</f>
        <v>-625673.683760225</v>
      </c>
      <c r="AW236" s="493"/>
      <c r="AX236" s="423" t="n">
        <f aca="false">K236</f>
        <v>43497</v>
      </c>
      <c r="BA236" s="126"/>
      <c r="BB236" s="481" t="n">
        <f aca="false">X236</f>
        <v>41.8249984741211</v>
      </c>
      <c r="BC236" s="481" t="n">
        <f aca="false">'Curve Analysis - Base Case'!D228</f>
        <v>48.2681239897679</v>
      </c>
      <c r="BD236" s="479" t="n">
        <f aca="false">L236</f>
        <v>0.073876624904006</v>
      </c>
      <c r="BE236" s="479" t="n">
        <f aca="false">L236</f>
        <v>0.073876624904006</v>
      </c>
      <c r="BF236" s="489" t="n">
        <f aca="false">BF224</f>
        <v>0.100893117019712</v>
      </c>
      <c r="BG236" s="425" t="n">
        <f aca="false">(AX236+15)-$K$1</f>
        <v>6923</v>
      </c>
      <c r="BH236" s="433" t="n">
        <f aca="false">AD236</f>
        <v>0</v>
      </c>
      <c r="BJ236" s="486" t="e">
        <f aca="false">EURO(BB236,BC236,BD236,BE236,BF236,BG236,1,0)*BH236</f>
        <v>#NAME?</v>
      </c>
      <c r="BK236" s="433" t="n">
        <f aca="false">(AI236-AJ236)*N236</f>
        <v>0</v>
      </c>
      <c r="BM236" s="433" t="e">
        <f aca="false">BJ236-BK236</f>
        <v>#NAME?</v>
      </c>
    </row>
    <row r="237" customFormat="false" ht="16.5" hidden="false" customHeight="false" outlineLevel="0" collapsed="false">
      <c r="A237" s="59" t="n">
        <f aca="false">A236+1</f>
        <v>231</v>
      </c>
      <c r="C237" s="59" t="n">
        <v>31</v>
      </c>
      <c r="D237" s="59" t="s">
        <v>166</v>
      </c>
      <c r="E237" s="125" t="n">
        <f aca="false">E236+C236</f>
        <v>43525</v>
      </c>
      <c r="F237" s="425" t="n">
        <f aca="false">F189</f>
        <v>21</v>
      </c>
      <c r="G237" s="433" t="n">
        <f aca="false">C237-F237</f>
        <v>10</v>
      </c>
      <c r="H237" s="433"/>
      <c r="I237" s="433"/>
      <c r="J237" s="59" t="n">
        <f aca="false">K238-K237</f>
        <v>31</v>
      </c>
      <c r="K237" s="423" t="n">
        <f aca="false">E237</f>
        <v>43525</v>
      </c>
      <c r="L237" s="490" t="n">
        <v>0.073871952112287</v>
      </c>
      <c r="M237" s="491" t="n">
        <v>0.064837362003883</v>
      </c>
      <c r="N237" s="480" t="n">
        <f aca="false">(1+L237/2)^(-2*((K237+$T$1)-$K$1)/365.25)</f>
        <v>0.25000834664271</v>
      </c>
      <c r="O237" s="127" t="n">
        <f aca="false">VLOOKUP(K237,Inflation!$B$8:$C$266,2)</f>
        <v>1.67005601990377</v>
      </c>
      <c r="P237" s="480"/>
      <c r="Q237" s="481" t="n">
        <f aca="false">VLOOKUP(K237,'Fuel Curve'!$B$11:$F$268,5)</f>
        <v>4.59396551724138</v>
      </c>
      <c r="R237" s="482" t="n">
        <f aca="false">VLOOKUP(K237,'Fuel Curve Simulation'!$B$12:$J$258,9)</f>
        <v>4.59396551724138</v>
      </c>
      <c r="S237" s="481" t="n">
        <f aca="false">(R237*$S$2)/1000</f>
        <v>44.0055956896552</v>
      </c>
      <c r="T237" s="483"/>
      <c r="V237" s="499" t="n">
        <f aca="false">V225</f>
        <v>31.5500007629395</v>
      </c>
      <c r="W237" s="128"/>
      <c r="X237" s="484" t="n">
        <f aca="false">'PJM Curve Simulation'!J237</f>
        <v>31.5500007629395</v>
      </c>
      <c r="Y237" s="489"/>
      <c r="Z237" s="483"/>
      <c r="AA237" s="59" t="n">
        <f aca="false">AA236</f>
        <v>315</v>
      </c>
      <c r="AB237" s="425" t="n">
        <f aca="false">AA237*F237*16</f>
        <v>105840</v>
      </c>
      <c r="AC237" s="425" t="n">
        <f aca="false">VLOOKUP(K237,'Company Volumes'!$B$20:$C$259,2)</f>
        <v>421.950755557333</v>
      </c>
      <c r="AD237" s="485" t="n">
        <f aca="false">IF(V237&gt;S237+($AM$5*1000*O237),AA237*F237*16,0)</f>
        <v>0</v>
      </c>
      <c r="AE237" s="425"/>
      <c r="AF237" s="425" t="n">
        <v>0</v>
      </c>
      <c r="AG237" s="425" t="n">
        <v>0</v>
      </c>
      <c r="AH237" s="425" t="n">
        <f aca="false">X237*AD237</f>
        <v>0</v>
      </c>
      <c r="AI237" s="425" t="n">
        <f aca="false">SUM(AF237:AH237)</f>
        <v>0</v>
      </c>
      <c r="AJ237" s="425" t="n">
        <f aca="false">(AD237*1000*$S$2)/1000000*R237</f>
        <v>0</v>
      </c>
      <c r="AK237" s="425" t="n">
        <f aca="false">($AK$5*O237)/12</f>
        <v>83502.8009951886</v>
      </c>
      <c r="AL237" s="425" t="n">
        <f aca="false">($AL$5*O237)/12</f>
        <v>212932.142537731</v>
      </c>
      <c r="AM237" s="425" t="n">
        <f aca="false">AD237*$AM$5*1000*O237</f>
        <v>0</v>
      </c>
      <c r="AN237" s="425" t="n">
        <f aca="false">(($AN$5*O237)/12)*$S$4</f>
        <v>190943.071608998</v>
      </c>
      <c r="AO237" s="425" t="n">
        <f aca="false">($AO$5*O237)/12</f>
        <v>41751.4004975943</v>
      </c>
      <c r="AP237" s="425" t="n">
        <f aca="false">AP236</f>
        <v>46500.5582152336</v>
      </c>
      <c r="AQ237" s="433" t="n">
        <f aca="false">SUM(AK237:AP237)</f>
        <v>575629.973854746</v>
      </c>
      <c r="AR237" s="425" t="n">
        <f aca="false">($AR$5*O237)/12</f>
        <v>20875.7002487972</v>
      </c>
      <c r="AS237" s="433" t="n">
        <f aca="false">AS236</f>
        <v>30387.755</v>
      </c>
      <c r="AT237" s="425" t="n">
        <f aca="false">(AI237/100)*$AT$6*O237</f>
        <v>0</v>
      </c>
      <c r="AU237" s="433" t="n">
        <f aca="false">SUM(AJ237:AT237)-AQ237</f>
        <v>626893.429103543</v>
      </c>
      <c r="AV237" s="433" t="n">
        <f aca="false">AI237-AU237</f>
        <v>-626893.429103543</v>
      </c>
      <c r="AW237" s="493"/>
      <c r="AX237" s="423" t="n">
        <f aca="false">K237</f>
        <v>43525</v>
      </c>
      <c r="BA237" s="126"/>
      <c r="BB237" s="481" t="n">
        <f aca="false">X237</f>
        <v>31.5500007629395</v>
      </c>
      <c r="BC237" s="481" t="n">
        <f aca="false">'Curve Analysis - Base Case'!D229</f>
        <v>47.3457077294627</v>
      </c>
      <c r="BD237" s="479" t="n">
        <f aca="false">L237</f>
        <v>0.073871952112287</v>
      </c>
      <c r="BE237" s="479" t="n">
        <f aca="false">L237</f>
        <v>0.073871952112287</v>
      </c>
      <c r="BF237" s="489" t="n">
        <f aca="false">BF225</f>
        <v>0.0840775975164269</v>
      </c>
      <c r="BG237" s="425" t="n">
        <f aca="false">(AX237+15)-$K$1</f>
        <v>6951</v>
      </c>
      <c r="BH237" s="433" t="n">
        <f aca="false">AD237</f>
        <v>0</v>
      </c>
      <c r="BJ237" s="486" t="e">
        <f aca="false">EURO(BB237,BC237,BD237,BE237,BF237,BG237,1,0)*BH237</f>
        <v>#NAME?</v>
      </c>
      <c r="BK237" s="433" t="n">
        <f aca="false">(AI237-AJ237)*N237</f>
        <v>0</v>
      </c>
      <c r="BM237" s="433" t="e">
        <f aca="false">BJ237-BK237</f>
        <v>#NAME?</v>
      </c>
    </row>
    <row r="238" customFormat="false" ht="16.5" hidden="false" customHeight="false" outlineLevel="0" collapsed="false">
      <c r="A238" s="59" t="n">
        <f aca="false">A237+1</f>
        <v>232</v>
      </c>
      <c r="C238" s="59" t="n">
        <v>30</v>
      </c>
      <c r="D238" s="59" t="s">
        <v>167</v>
      </c>
      <c r="E238" s="125" t="n">
        <f aca="false">E237+C237</f>
        <v>43556</v>
      </c>
      <c r="F238" s="425" t="n">
        <f aca="false">F190</f>
        <v>22</v>
      </c>
      <c r="G238" s="433" t="n">
        <f aca="false">C238-F238</f>
        <v>8</v>
      </c>
      <c r="H238" s="433"/>
      <c r="I238" s="433"/>
      <c r="J238" s="59" t="n">
        <f aca="false">K239-K238</f>
        <v>30</v>
      </c>
      <c r="K238" s="423" t="n">
        <f aca="false">E238</f>
        <v>43556</v>
      </c>
      <c r="L238" s="490" t="n">
        <v>0.07386677866432</v>
      </c>
      <c r="M238" s="491" t="n">
        <v>0.064848974269198</v>
      </c>
      <c r="N238" s="480" t="n">
        <f aca="false">(1+L238/2)^(-2*((K238+$T$1)-$K$1)/365.25)</f>
        <v>0.248497634154361</v>
      </c>
      <c r="O238" s="127" t="n">
        <f aca="false">VLOOKUP(K238,Inflation!$B$8:$C$266,2)</f>
        <v>1.67376793199672</v>
      </c>
      <c r="P238" s="480"/>
      <c r="Q238" s="481" t="n">
        <f aca="false">VLOOKUP(K238,'Fuel Curve'!$B$11:$F$268,5)</f>
        <v>4.49396551724138</v>
      </c>
      <c r="R238" s="482" t="n">
        <f aca="false">VLOOKUP(K238,'Fuel Curve Simulation'!$B$12:$J$258,9)</f>
        <v>4.49396551724138</v>
      </c>
      <c r="S238" s="481" t="n">
        <f aca="false">(R238*$S$2)/1000</f>
        <v>43.0476956896552</v>
      </c>
      <c r="T238" s="483"/>
      <c r="V238" s="499" t="n">
        <f aca="false">V226</f>
        <v>31.3250007629395</v>
      </c>
      <c r="W238" s="128"/>
      <c r="X238" s="484" t="n">
        <f aca="false">'PJM Curve Simulation'!J238</f>
        <v>31.3250007629395</v>
      </c>
      <c r="Y238" s="489"/>
      <c r="Z238" s="483"/>
      <c r="AA238" s="59" t="n">
        <f aca="false">AA237</f>
        <v>315</v>
      </c>
      <c r="AB238" s="425" t="n">
        <f aca="false">AA238*F238*16</f>
        <v>110880</v>
      </c>
      <c r="AC238" s="425" t="n">
        <f aca="false">VLOOKUP(K238,'Company Volumes'!$B$20:$C$259,2)</f>
        <v>7063.13974937511</v>
      </c>
      <c r="AD238" s="485" t="n">
        <f aca="false">IF(V238&gt;S238+($AM$5*1000*O238),AA238*F238*16,0)</f>
        <v>0</v>
      </c>
      <c r="AE238" s="425"/>
      <c r="AF238" s="425" t="n">
        <v>0</v>
      </c>
      <c r="AG238" s="425" t="n">
        <v>0</v>
      </c>
      <c r="AH238" s="425" t="n">
        <f aca="false">X238*AD238</f>
        <v>0</v>
      </c>
      <c r="AI238" s="425" t="n">
        <f aca="false">SUM(AF238:AH238)</f>
        <v>0</v>
      </c>
      <c r="AJ238" s="425" t="n">
        <f aca="false">(AD238*1000*$S$2)/1000000*R238</f>
        <v>0</v>
      </c>
      <c r="AK238" s="425" t="n">
        <f aca="false">($AK$5*O238)/12</f>
        <v>83688.3965998358</v>
      </c>
      <c r="AL238" s="425" t="n">
        <f aca="false">($AL$5*O238)/12</f>
        <v>213405.411329581</v>
      </c>
      <c r="AM238" s="425" t="n">
        <f aca="false">AD238*$AM$5*1000*O238</f>
        <v>0</v>
      </c>
      <c r="AN238" s="425" t="n">
        <f aca="false">(($AN$5*O238)/12)*$S$4</f>
        <v>191367.466891625</v>
      </c>
      <c r="AO238" s="425" t="n">
        <f aca="false">($AO$5*O238)/12</f>
        <v>41844.1982999179</v>
      </c>
      <c r="AP238" s="425" t="n">
        <f aca="false">AP237</f>
        <v>46500.5582152336</v>
      </c>
      <c r="AQ238" s="433" t="n">
        <f aca="false">SUM(AK238:AP238)</f>
        <v>576806.031336193</v>
      </c>
      <c r="AR238" s="425" t="n">
        <f aca="false">($AR$5*O238)/12</f>
        <v>20922.0991499589</v>
      </c>
      <c r="AS238" s="433" t="n">
        <f aca="false">AS237</f>
        <v>30387.755</v>
      </c>
      <c r="AT238" s="425" t="n">
        <f aca="false">(AI238/100)*$AT$6*O238</f>
        <v>0</v>
      </c>
      <c r="AU238" s="433" t="n">
        <f aca="false">SUM(AJ238:AT238)-AQ238</f>
        <v>628115.885486152</v>
      </c>
      <c r="AV238" s="433" t="n">
        <f aca="false">AI238-AU238</f>
        <v>-628115.885486152</v>
      </c>
      <c r="AW238" s="493"/>
      <c r="AX238" s="423" t="n">
        <f aca="false">K238</f>
        <v>43556</v>
      </c>
      <c r="BA238" s="126"/>
      <c r="BB238" s="481" t="n">
        <f aca="false">X238</f>
        <v>31.3250007629395</v>
      </c>
      <c r="BC238" s="481" t="n">
        <f aca="false">'Curve Analysis - Base Case'!D230</f>
        <v>46.3952315536486</v>
      </c>
      <c r="BD238" s="479" t="n">
        <f aca="false">L238</f>
        <v>0.07386677866432</v>
      </c>
      <c r="BE238" s="479" t="n">
        <f aca="false">L238</f>
        <v>0.07386677866432</v>
      </c>
      <c r="BF238" s="489" t="n">
        <f aca="false">BF226</f>
        <v>0.0798737176406056</v>
      </c>
      <c r="BG238" s="425" t="n">
        <f aca="false">(AX238+15)-$K$1</f>
        <v>6982</v>
      </c>
      <c r="BH238" s="433" t="n">
        <f aca="false">AD238</f>
        <v>0</v>
      </c>
      <c r="BJ238" s="486" t="e">
        <f aca="false">EURO(BB238,BC238,BD238,BE238,BF238,BG238,1,0)*BH238</f>
        <v>#NAME?</v>
      </c>
      <c r="BK238" s="433" t="n">
        <f aca="false">(AI238-AJ238)*N238</f>
        <v>0</v>
      </c>
      <c r="BM238" s="433" t="e">
        <f aca="false">BJ238-BK238</f>
        <v>#NAME?</v>
      </c>
    </row>
    <row r="239" customFormat="false" ht="16.5" hidden="false" customHeight="false" outlineLevel="0" collapsed="false">
      <c r="A239" s="59" t="n">
        <f aca="false">A238+1</f>
        <v>233</v>
      </c>
      <c r="C239" s="59" t="n">
        <v>31</v>
      </c>
      <c r="D239" s="59" t="s">
        <v>29</v>
      </c>
      <c r="E239" s="125" t="n">
        <f aca="false">E238+C238</f>
        <v>43586</v>
      </c>
      <c r="F239" s="425" t="n">
        <f aca="false">F191</f>
        <v>22</v>
      </c>
      <c r="G239" s="433" t="n">
        <f aca="false">C239-F239</f>
        <v>9</v>
      </c>
      <c r="H239" s="433"/>
      <c r="I239" s="433"/>
      <c r="J239" s="59" t="n">
        <f aca="false">K240-K239</f>
        <v>31</v>
      </c>
      <c r="K239" s="423" t="n">
        <f aca="false">E239</f>
        <v>43586</v>
      </c>
      <c r="L239" s="490" t="n">
        <v>0.07386177210178</v>
      </c>
      <c r="M239" s="491" t="n">
        <v>0.064860211946202</v>
      </c>
      <c r="N239" s="480" t="n">
        <f aca="false">(1+L239/2)^(-2*((K239+$T$1)-$K$1)/365.25)</f>
        <v>0.247044545897405</v>
      </c>
      <c r="O239" s="127" t="n">
        <f aca="false">VLOOKUP(K239,Inflation!$B$8:$C$266,2)</f>
        <v>1.67748809428679</v>
      </c>
      <c r="P239" s="480"/>
      <c r="Q239" s="481" t="n">
        <f aca="false">VLOOKUP(K239,'Fuel Curve'!$B$11:$F$268,5)</f>
        <v>4.42672413793104</v>
      </c>
      <c r="R239" s="482" t="n">
        <f aca="false">VLOOKUP(K239,'Fuel Curve Simulation'!$B$12:$J$258,9)</f>
        <v>4.42672413793104</v>
      </c>
      <c r="S239" s="481" t="n">
        <f aca="false">(R239*$S$2)/1000</f>
        <v>42.4035905172414</v>
      </c>
      <c r="T239" s="483"/>
      <c r="V239" s="499" t="n">
        <f aca="false">V227</f>
        <v>39.325</v>
      </c>
      <c r="W239" s="128"/>
      <c r="X239" s="484" t="n">
        <f aca="false">'PJM Curve Simulation'!J239</f>
        <v>39.325</v>
      </c>
      <c r="Y239" s="489"/>
      <c r="Z239" s="483"/>
      <c r="AA239" s="59" t="n">
        <f aca="false">AA238</f>
        <v>315</v>
      </c>
      <c r="AB239" s="425" t="n">
        <f aca="false">AA239*F239*16</f>
        <v>110880</v>
      </c>
      <c r="AC239" s="425" t="n">
        <f aca="false">VLOOKUP(K239,'Company Volumes'!$B$20:$C$259,2)</f>
        <v>16567.6543775711</v>
      </c>
      <c r="AD239" s="485" t="n">
        <f aca="false">IF(V239&gt;S239+($AM$5*1000*O239),AA239*F239*16,0)</f>
        <v>0</v>
      </c>
      <c r="AE239" s="425"/>
      <c r="AF239" s="425" t="n">
        <v>0</v>
      </c>
      <c r="AG239" s="425" t="n">
        <v>0</v>
      </c>
      <c r="AH239" s="425" t="n">
        <f aca="false">X239*AD239</f>
        <v>0</v>
      </c>
      <c r="AI239" s="425" t="n">
        <f aca="false">SUM(AF239:AH239)</f>
        <v>0</v>
      </c>
      <c r="AJ239" s="425" t="n">
        <f aca="false">(AD239*1000*$S$2)/1000000*R239</f>
        <v>0</v>
      </c>
      <c r="AK239" s="425" t="n">
        <f aca="false">($AK$5*O239)/12</f>
        <v>83874.4047143396</v>
      </c>
      <c r="AL239" s="425" t="n">
        <f aca="false">($AL$5*O239)/12</f>
        <v>213879.732021566</v>
      </c>
      <c r="AM239" s="425" t="n">
        <f aca="false">AD239*$AM$5*1000*O239</f>
        <v>0</v>
      </c>
      <c r="AN239" s="425" t="n">
        <f aca="false">(($AN$5*O239)/12)*$S$4</f>
        <v>191792.80544679</v>
      </c>
      <c r="AO239" s="425" t="n">
        <f aca="false">($AO$5*O239)/12</f>
        <v>41937.2023571698</v>
      </c>
      <c r="AP239" s="425" t="n">
        <f aca="false">AP238</f>
        <v>46500.5582152336</v>
      </c>
      <c r="AQ239" s="433" t="n">
        <f aca="false">SUM(AK239:AP239)</f>
        <v>577984.702755099</v>
      </c>
      <c r="AR239" s="425" t="n">
        <f aca="false">($AR$5*O239)/12</f>
        <v>20968.6011785849</v>
      </c>
      <c r="AS239" s="433" t="n">
        <f aca="false">AS238</f>
        <v>30387.755</v>
      </c>
      <c r="AT239" s="425" t="n">
        <f aca="false">(AI239/100)*$AT$6*O239</f>
        <v>0</v>
      </c>
      <c r="AU239" s="433" t="n">
        <f aca="false">SUM(AJ239:AT239)-AQ239</f>
        <v>629341.058933683</v>
      </c>
      <c r="AV239" s="433" t="n">
        <f aca="false">AI239-AU239</f>
        <v>-629341.058933683</v>
      </c>
      <c r="AW239" s="493"/>
      <c r="AX239" s="423" t="n">
        <f aca="false">K239</f>
        <v>43586</v>
      </c>
      <c r="BA239" s="126"/>
      <c r="BB239" s="481" t="n">
        <f aca="false">X239</f>
        <v>39.325</v>
      </c>
      <c r="BC239" s="481" t="n">
        <f aca="false">'Curve Analysis - Base Case'!D231</f>
        <v>45.758566705815</v>
      </c>
      <c r="BD239" s="479" t="n">
        <f aca="false">L239</f>
        <v>0.07386177210178</v>
      </c>
      <c r="BE239" s="479" t="n">
        <f aca="false">L239</f>
        <v>0.07386177210178</v>
      </c>
      <c r="BF239" s="489" t="n">
        <f aca="false">BF227</f>
        <v>0.0882814773922483</v>
      </c>
      <c r="BG239" s="425" t="n">
        <f aca="false">(AX239+15)-$K$1</f>
        <v>7012</v>
      </c>
      <c r="BH239" s="433" t="n">
        <f aca="false">AD239</f>
        <v>0</v>
      </c>
      <c r="BJ239" s="486" t="e">
        <f aca="false">EURO(BB239,BC239,BD239,BE239,BF239,BG239,1,0)*BH239</f>
        <v>#NAME?</v>
      </c>
      <c r="BK239" s="433" t="n">
        <f aca="false">(AI239-AJ239)*N239</f>
        <v>0</v>
      </c>
      <c r="BM239" s="433" t="e">
        <f aca="false">BJ239-BK239</f>
        <v>#NAME?</v>
      </c>
    </row>
    <row r="240" customFormat="false" ht="16.5" hidden="false" customHeight="false" outlineLevel="0" collapsed="false">
      <c r="A240" s="59" t="n">
        <f aca="false">A239+1</f>
        <v>234</v>
      </c>
      <c r="C240" s="59" t="n">
        <v>30</v>
      </c>
      <c r="D240" s="59" t="s">
        <v>168</v>
      </c>
      <c r="E240" s="125" t="n">
        <f aca="false">E239+C239</f>
        <v>43617</v>
      </c>
      <c r="F240" s="425" t="n">
        <f aca="false">F192</f>
        <v>21</v>
      </c>
      <c r="G240" s="433" t="n">
        <f aca="false">C240-F240</f>
        <v>9</v>
      </c>
      <c r="H240" s="433"/>
      <c r="I240" s="433"/>
      <c r="J240" s="59" t="n">
        <f aca="false">K241-K240</f>
        <v>30</v>
      </c>
      <c r="K240" s="423" t="n">
        <f aca="false">E240</f>
        <v>43617</v>
      </c>
      <c r="L240" s="490" t="n">
        <v>0.073856598653831</v>
      </c>
      <c r="M240" s="491" t="n">
        <v>0.064871824213363</v>
      </c>
      <c r="N240" s="480" t="n">
        <f aca="false">(1+L240/2)^(-2*((K240+$T$1)-$K$1)/365.25)</f>
        <v>0.245552151936625</v>
      </c>
      <c r="O240" s="127" t="n">
        <f aca="false">VLOOKUP(K240,Inflation!$B$8:$C$266,2)</f>
        <v>1.68121652511111</v>
      </c>
      <c r="P240" s="480"/>
      <c r="Q240" s="481" t="n">
        <f aca="false">VLOOKUP(K240,'Fuel Curve'!$B$11:$F$268,5)</f>
        <v>4.42017241379311</v>
      </c>
      <c r="R240" s="482" t="n">
        <f aca="false">VLOOKUP(K240,'Fuel Curve Simulation'!$B$12:$J$258,9)</f>
        <v>4.42017241379311</v>
      </c>
      <c r="S240" s="481" t="n">
        <f aca="false">(R240*$S$2)/1000</f>
        <v>42.3408315517242</v>
      </c>
      <c r="T240" s="483"/>
      <c r="V240" s="499" t="n">
        <f aca="false">V228</f>
        <v>68.3499984741211</v>
      </c>
      <c r="W240" s="128"/>
      <c r="X240" s="484" t="n">
        <f aca="false">'PJM Curve Simulation'!J240</f>
        <v>68.3499984741211</v>
      </c>
      <c r="Y240" s="489"/>
      <c r="Z240" s="483"/>
      <c r="AA240" s="59" t="n">
        <f aca="false">AA239</f>
        <v>315</v>
      </c>
      <c r="AB240" s="425" t="n">
        <f aca="false">AA240*F240*16</f>
        <v>105840</v>
      </c>
      <c r="AC240" s="425" t="n">
        <f aca="false">VLOOKUP(K240,'Company Volumes'!$B$20:$C$259,2)</f>
        <v>29151.9587726111</v>
      </c>
      <c r="AD240" s="485" t="n">
        <f aca="false">IF(V240&gt;S240+($AM$5*1000*O240),AA240*F240*16,0)</f>
        <v>105840</v>
      </c>
      <c r="AE240" s="425"/>
      <c r="AF240" s="425" t="n">
        <v>0</v>
      </c>
      <c r="AG240" s="425" t="n">
        <v>0</v>
      </c>
      <c r="AH240" s="425" t="n">
        <f aca="false">X240*AD240</f>
        <v>7234163.83850098</v>
      </c>
      <c r="AI240" s="425" t="n">
        <f aca="false">SUM(AF240:AH240)</f>
        <v>7234163.83850098</v>
      </c>
      <c r="AJ240" s="425" t="n">
        <f aca="false">(AD240*1000*$S$2)/1000000*R240</f>
        <v>4481353.61143448</v>
      </c>
      <c r="AK240" s="425" t="n">
        <f aca="false">($AK$5*O240)/12</f>
        <v>84060.8262555556</v>
      </c>
      <c r="AL240" s="425" t="n">
        <f aca="false">($AL$5*O240)/12</f>
        <v>214355.106951667</v>
      </c>
      <c r="AM240" s="425" t="n">
        <f aca="false">AD240*$AM$5*1000*O240</f>
        <v>355879.91403552</v>
      </c>
      <c r="AN240" s="425" t="n">
        <f aca="false">(($AN$5*O240)/12)*$S$4</f>
        <v>192219.089371037</v>
      </c>
      <c r="AO240" s="425" t="n">
        <f aca="false">($AO$5*O240)/12</f>
        <v>42030.4131277778</v>
      </c>
      <c r="AP240" s="425" t="n">
        <f aca="false">AP239</f>
        <v>46500.5582152336</v>
      </c>
      <c r="AQ240" s="433" t="n">
        <f aca="false">SUM(AK240:AP240)</f>
        <v>935045.907956791</v>
      </c>
      <c r="AR240" s="425" t="n">
        <f aca="false">($AR$5*O240)/12</f>
        <v>21015.2065638889</v>
      </c>
      <c r="AS240" s="433" t="n">
        <f aca="false">AS239</f>
        <v>30387.755</v>
      </c>
      <c r="AT240" s="425" t="n">
        <f aca="false">(AI240/100)*$AT$6*O240</f>
        <v>72973.1747438945</v>
      </c>
      <c r="AU240" s="433" t="n">
        <f aca="false">SUM(AJ240:AT240)-AQ240</f>
        <v>5540775.65569906</v>
      </c>
      <c r="AV240" s="433" t="n">
        <f aca="false">AI240-AU240</f>
        <v>1693388.18280192</v>
      </c>
      <c r="AW240" s="493"/>
      <c r="AX240" s="423" t="n">
        <f aca="false">K240</f>
        <v>43617</v>
      </c>
      <c r="BA240" s="126"/>
      <c r="BB240" s="481" t="n">
        <f aca="false">X240</f>
        <v>68.3499984741211</v>
      </c>
      <c r="BC240" s="481" t="n">
        <f aca="false">'Curve Analysis - Base Case'!D232</f>
        <v>45.7032646019464</v>
      </c>
      <c r="BD240" s="479" t="n">
        <f aca="false">L240</f>
        <v>0.073856598653831</v>
      </c>
      <c r="BE240" s="479" t="n">
        <f aca="false">L240</f>
        <v>0.073856598653831</v>
      </c>
      <c r="BF240" s="489" t="n">
        <f aca="false">BF228</f>
        <v>0.113504756647176</v>
      </c>
      <c r="BG240" s="425" t="n">
        <f aca="false">(AX240+15)-$K$1</f>
        <v>7043</v>
      </c>
      <c r="BH240" s="433" t="n">
        <f aca="false">AD240</f>
        <v>105840</v>
      </c>
      <c r="BJ240" s="486" t="e">
        <f aca="false">EURO(BB240,BC240,BD240,BE240,BF240,BG240,1,0)*BH240</f>
        <v>#NAME?</v>
      </c>
      <c r="BK240" s="433" t="n">
        <f aca="false">(AI240-AJ240)*N240</f>
        <v>675958.475129325</v>
      </c>
      <c r="BL240" s="433"/>
      <c r="BM240" s="433" t="e">
        <f aca="false">BJ240-BK240</f>
        <v>#NAME?</v>
      </c>
    </row>
    <row r="241" customFormat="false" ht="16.5" hidden="false" customHeight="false" outlineLevel="0" collapsed="false">
      <c r="A241" s="59" t="n">
        <f aca="false">A240+1</f>
        <v>235</v>
      </c>
      <c r="C241" s="59" t="n">
        <v>31</v>
      </c>
      <c r="D241" s="59" t="s">
        <v>169</v>
      </c>
      <c r="E241" s="125" t="n">
        <f aca="false">E240+C240</f>
        <v>43647</v>
      </c>
      <c r="F241" s="425" t="n">
        <f aca="false">F193</f>
        <v>23</v>
      </c>
      <c r="G241" s="433" t="n">
        <f aca="false">C241-F241</f>
        <v>8</v>
      </c>
      <c r="H241" s="433"/>
      <c r="I241" s="433"/>
      <c r="J241" s="59" t="n">
        <f aca="false">K242-K241</f>
        <v>31</v>
      </c>
      <c r="K241" s="423" t="n">
        <f aca="false">E241</f>
        <v>43647</v>
      </c>
      <c r="L241" s="490" t="n">
        <v>0.073851592091307</v>
      </c>
      <c r="M241" s="491" t="n">
        <v>0.064883061892155</v>
      </c>
      <c r="N241" s="480" t="n">
        <f aca="false">(1+L241/2)^(-2*((K241+$T$1)-$K$1)/365.25)</f>
        <v>0.244116681171432</v>
      </c>
      <c r="O241" s="127" t="n">
        <f aca="false">VLOOKUP(K241,Inflation!$B$8:$C$266,2)</f>
        <v>1.68495324284755</v>
      </c>
      <c r="P241" s="480"/>
      <c r="Q241" s="481" t="n">
        <f aca="false">VLOOKUP(K241,'Fuel Curve'!$B$11:$F$268,5)</f>
        <v>4.47741379310345</v>
      </c>
      <c r="R241" s="482" t="n">
        <f aca="false">VLOOKUP(K241,'Fuel Curve Simulation'!$B$12:$J$258,9)</f>
        <v>4.47741379310345</v>
      </c>
      <c r="S241" s="481" t="n">
        <f aca="false">(R241*$S$2)/1000</f>
        <v>42.8891467241379</v>
      </c>
      <c r="T241" s="483"/>
      <c r="V241" s="499" t="n">
        <f aca="false">V229</f>
        <v>124.949996948242</v>
      </c>
      <c r="W241" s="128"/>
      <c r="X241" s="484" t="n">
        <f aca="false">'PJM Curve Simulation'!J241</f>
        <v>124.949996948242</v>
      </c>
      <c r="Y241" s="489"/>
      <c r="Z241" s="483"/>
      <c r="AA241" s="59" t="n">
        <f aca="false">AA240</f>
        <v>315</v>
      </c>
      <c r="AB241" s="425" t="n">
        <f aca="false">AA241*F241*16</f>
        <v>115920</v>
      </c>
      <c r="AC241" s="425" t="n">
        <f aca="false">VLOOKUP(K241,'Company Volumes'!$B$20:$C$259,2)</f>
        <v>51855.3411183671</v>
      </c>
      <c r="AD241" s="485" t="n">
        <f aca="false">IF(V241&gt;S241+($AM$5*1000*O241),AA241*F241*16,0)</f>
        <v>115920</v>
      </c>
      <c r="AE241" s="425"/>
      <c r="AF241" s="425" t="n">
        <v>0</v>
      </c>
      <c r="AG241" s="425" t="n">
        <v>0</v>
      </c>
      <c r="AH241" s="425" t="n">
        <f aca="false">X241*AD241</f>
        <v>14484203.6462402</v>
      </c>
      <c r="AI241" s="425" t="n">
        <f aca="false">SUM(AF241:AH241)</f>
        <v>14484203.6462402</v>
      </c>
      <c r="AJ241" s="425" t="n">
        <f aca="false">(AD241*1000*$S$2)/1000000*R241</f>
        <v>4971709.88826207</v>
      </c>
      <c r="AK241" s="425" t="n">
        <f aca="false">($AK$5*O241)/12</f>
        <v>84247.6621423774</v>
      </c>
      <c r="AL241" s="425" t="n">
        <f aca="false">($AL$5*O241)/12</f>
        <v>214831.538463062</v>
      </c>
      <c r="AM241" s="425" t="n">
        <f aca="false">AD241*$AM$5*1000*O241</f>
        <v>390639.559821776</v>
      </c>
      <c r="AN241" s="425" t="n">
        <f aca="false">(($AN$5*O241)/12)*$S$4</f>
        <v>192646.32076557</v>
      </c>
      <c r="AO241" s="425" t="n">
        <f aca="false">($AO$5*O241)/12</f>
        <v>42123.8310711887</v>
      </c>
      <c r="AP241" s="425" t="n">
        <f aca="false">AP240</f>
        <v>46500.5582152336</v>
      </c>
      <c r="AQ241" s="433" t="n">
        <f aca="false">SUM(AK241:AP241)</f>
        <v>970989.470479208</v>
      </c>
      <c r="AR241" s="425" t="n">
        <f aca="false">($AR$5*O241)/12</f>
        <v>21061.9155355944</v>
      </c>
      <c r="AS241" s="433" t="n">
        <f aca="false">AS240</f>
        <v>30387.755</v>
      </c>
      <c r="AT241" s="425" t="n">
        <f aca="false">(AI241/100)*$AT$6*O241</f>
        <v>146431.235422781</v>
      </c>
      <c r="AU241" s="433" t="n">
        <f aca="false">SUM(AJ241:AT241)-AQ241</f>
        <v>6140580.26469965</v>
      </c>
      <c r="AV241" s="433" t="n">
        <f aca="false">AI241-AU241</f>
        <v>8343623.38154058</v>
      </c>
      <c r="AW241" s="493"/>
      <c r="AX241" s="423" t="n">
        <f aca="false">K241</f>
        <v>43647</v>
      </c>
      <c r="BA241" s="126"/>
      <c r="BB241" s="481" t="n">
        <f aca="false">X241</f>
        <v>124.949996948242</v>
      </c>
      <c r="BC241" s="481" t="n">
        <f aca="false">'Curve Analysis - Base Case'!D233</f>
        <v>46.259053209833</v>
      </c>
      <c r="BD241" s="479" t="n">
        <f aca="false">L241</f>
        <v>0.073851592091307</v>
      </c>
      <c r="BE241" s="479" t="n">
        <f aca="false">L241</f>
        <v>0.073851592091307</v>
      </c>
      <c r="BF241" s="489" t="n">
        <f aca="false">BF229</f>
        <v>0.138728035902104</v>
      </c>
      <c r="BG241" s="425" t="n">
        <f aca="false">(AX241+15)-$K$1</f>
        <v>7073</v>
      </c>
      <c r="BH241" s="433" t="n">
        <f aca="false">AD241</f>
        <v>115920</v>
      </c>
      <c r="BJ241" s="486" t="e">
        <f aca="false">EURO(BB241,BC241,BD241,BE241,BF241,BG241,1,0)*BH241</f>
        <v>#NAME?</v>
      </c>
      <c r="BK241" s="433" t="n">
        <f aca="false">(AI241-AJ241)*N241</f>
        <v>2322158.4058616</v>
      </c>
      <c r="BM241" s="433" t="e">
        <f aca="false">BJ241-BK241</f>
        <v>#NAME?</v>
      </c>
    </row>
    <row r="242" customFormat="false" ht="16.5" hidden="false" customHeight="false" outlineLevel="0" collapsed="false">
      <c r="A242" s="59" t="n">
        <f aca="false">A241+1</f>
        <v>236</v>
      </c>
      <c r="C242" s="59" t="n">
        <v>31</v>
      </c>
      <c r="D242" s="59" t="s">
        <v>170</v>
      </c>
      <c r="E242" s="125" t="n">
        <f aca="false">E241+C241</f>
        <v>43678</v>
      </c>
      <c r="F242" s="425" t="n">
        <f aca="false">F194</f>
        <v>21</v>
      </c>
      <c r="G242" s="433" t="n">
        <f aca="false">C242-F242</f>
        <v>10</v>
      </c>
      <c r="H242" s="433"/>
      <c r="I242" s="433"/>
      <c r="J242" s="59" t="n">
        <f aca="false">K243-K242</f>
        <v>31</v>
      </c>
      <c r="K242" s="423" t="n">
        <f aca="false">E242</f>
        <v>43678</v>
      </c>
      <c r="L242" s="490" t="n">
        <v>0.073846418643376</v>
      </c>
      <c r="M242" s="491" t="n">
        <v>0.064894674161163</v>
      </c>
      <c r="N242" s="480" t="n">
        <f aca="false">(1+L242/2)^(-2*((K242+$T$1)-$K$1)/365.25)</f>
        <v>0.24264237889093</v>
      </c>
      <c r="O242" s="127" t="n">
        <f aca="false">VLOOKUP(K242,Inflation!$B$8:$C$266,2)</f>
        <v>1.68869826591482</v>
      </c>
      <c r="P242" s="480"/>
      <c r="Q242" s="481" t="n">
        <f aca="false">VLOOKUP(K242,'Fuel Curve'!$B$11:$F$268,5)</f>
        <v>4.56793103448276</v>
      </c>
      <c r="R242" s="482" t="n">
        <f aca="false">VLOOKUP(K242,'Fuel Curve Simulation'!$B$12:$J$258,9)</f>
        <v>4.56793103448276</v>
      </c>
      <c r="S242" s="481" t="n">
        <f aca="false">(R242*$S$2)/1000</f>
        <v>43.7562113793104</v>
      </c>
      <c r="T242" s="483"/>
      <c r="V242" s="499" t="n">
        <f aca="false">V230</f>
        <v>109.699996948242</v>
      </c>
      <c r="W242" s="128"/>
      <c r="X242" s="484" t="n">
        <f aca="false">'PJM Curve Simulation'!J242</f>
        <v>111.949996948242</v>
      </c>
      <c r="Y242" s="489"/>
      <c r="Z242" s="483"/>
      <c r="AA242" s="59" t="n">
        <f aca="false">AA241</f>
        <v>315</v>
      </c>
      <c r="AB242" s="425" t="n">
        <f aca="false">AA242*F242*16</f>
        <v>105840</v>
      </c>
      <c r="AC242" s="425" t="n">
        <f aca="false">VLOOKUP(K242,'Company Volumes'!$B$20:$C$259,2)</f>
        <v>34570.227411916</v>
      </c>
      <c r="AD242" s="485" t="n">
        <f aca="false">IF(V242&gt;S242+($AM$5*1000*O242),AA242*F242*16,0)</f>
        <v>105840</v>
      </c>
      <c r="AE242" s="425"/>
      <c r="AF242" s="425" t="n">
        <v>0</v>
      </c>
      <c r="AG242" s="425" t="n">
        <v>0</v>
      </c>
      <c r="AH242" s="425" t="n">
        <f aca="false">X242*AD242</f>
        <v>11848787.677002</v>
      </c>
      <c r="AI242" s="425" t="n">
        <f aca="false">SUM(AF242:AH242)</f>
        <v>11848787.677002</v>
      </c>
      <c r="AJ242" s="425" t="n">
        <f aca="false">(AD242*1000*$S$2)/1000000*R242</f>
        <v>4631157.41238621</v>
      </c>
      <c r="AK242" s="425" t="n">
        <f aca="false">($AK$5*O242)/12</f>
        <v>84434.9132957409</v>
      </c>
      <c r="AL242" s="425" t="n">
        <f aca="false">($AL$5*O242)/12</f>
        <v>215309.028904139</v>
      </c>
      <c r="AM242" s="425" t="n">
        <f aca="false">AD242*$AM$5*1000*O242</f>
        <v>357463.648928849</v>
      </c>
      <c r="AN242" s="425" t="n">
        <f aca="false">(($AN$5*O242)/12)*$S$4</f>
        <v>193074.501736261</v>
      </c>
      <c r="AO242" s="425" t="n">
        <f aca="false">($AO$5*O242)/12</f>
        <v>42217.4566478704</v>
      </c>
      <c r="AP242" s="425" t="n">
        <f aca="false">AP241</f>
        <v>46500.5582152336</v>
      </c>
      <c r="AQ242" s="433" t="n">
        <f aca="false">SUM(AK242:AP242)</f>
        <v>939000.107728093</v>
      </c>
      <c r="AR242" s="425" t="n">
        <f aca="false">($AR$5*O242)/12</f>
        <v>21108.7283239352</v>
      </c>
      <c r="AS242" s="433" t="n">
        <f aca="false">AS241</f>
        <v>30387.755</v>
      </c>
      <c r="AT242" s="425" t="n">
        <f aca="false">(AI242/100)*$AT$6*O242</f>
        <v>120054.163220076</v>
      </c>
      <c r="AU242" s="433" t="n">
        <f aca="false">SUM(AJ242:AT242)-AQ242</f>
        <v>5741708.16665831</v>
      </c>
      <c r="AV242" s="433" t="n">
        <f aca="false">AI242-AU242</f>
        <v>6107079.51034364</v>
      </c>
      <c r="AW242" s="493"/>
      <c r="AX242" s="423" t="n">
        <f aca="false">K242</f>
        <v>43678</v>
      </c>
      <c r="BA242" s="126"/>
      <c r="BB242" s="481" t="n">
        <f aca="false">X242</f>
        <v>111.949996948242</v>
      </c>
      <c r="BC242" s="481" t="n">
        <f aca="false">'Curve Analysis - Base Case'!D234</f>
        <v>47.13360791114</v>
      </c>
      <c r="BD242" s="479" t="n">
        <f aca="false">L242</f>
        <v>0.073846418643376</v>
      </c>
      <c r="BE242" s="479" t="n">
        <f aca="false">L242</f>
        <v>0.073846418643376</v>
      </c>
      <c r="BF242" s="489" t="n">
        <f aca="false">BF230</f>
        <v>0.138728035902104</v>
      </c>
      <c r="BG242" s="425" t="n">
        <f aca="false">(AX242+15)-$K$1</f>
        <v>7104</v>
      </c>
      <c r="BH242" s="433" t="n">
        <f aca="false">AD242</f>
        <v>105840</v>
      </c>
      <c r="BJ242" s="486" t="e">
        <f aca="false">EURO(BB242,BC242,BD242,BE242,BF242,BG242,1,0)*BH242</f>
        <v>#NAME?</v>
      </c>
      <c r="BK242" s="433" t="n">
        <f aca="false">(AI242-AJ242)*N242</f>
        <v>1751302.97736154</v>
      </c>
      <c r="BM242" s="433" t="e">
        <f aca="false">BJ242-BK242</f>
        <v>#NAME?</v>
      </c>
    </row>
    <row r="243" customFormat="false" ht="16.5" hidden="false" customHeight="false" outlineLevel="0" collapsed="false">
      <c r="A243" s="59" t="n">
        <f aca="false">A242+1</f>
        <v>237</v>
      </c>
      <c r="C243" s="59" t="n">
        <v>30</v>
      </c>
      <c r="D243" s="59" t="s">
        <v>171</v>
      </c>
      <c r="E243" s="125" t="n">
        <f aca="false">E242+C242</f>
        <v>43709</v>
      </c>
      <c r="F243" s="425" t="n">
        <f aca="false">F195</f>
        <v>22</v>
      </c>
      <c r="G243" s="433" t="n">
        <f aca="false">C243-F243</f>
        <v>8</v>
      </c>
      <c r="H243" s="433"/>
      <c r="I243" s="433"/>
      <c r="J243" s="59" t="n">
        <f aca="false">K244-K243</f>
        <v>30</v>
      </c>
      <c r="K243" s="423" t="n">
        <f aca="false">E243</f>
        <v>43709</v>
      </c>
      <c r="L243" s="490" t="n">
        <v>0.073841245195453</v>
      </c>
      <c r="M243" s="491" t="n">
        <v>0.06490628643111</v>
      </c>
      <c r="N243" s="480" t="n">
        <f aca="false">(1+L243/2)^(-2*((K243+$T$1)-$K$1)/365.25)</f>
        <v>0.24117718472775</v>
      </c>
      <c r="O243" s="127" t="n">
        <f aca="false">VLOOKUP(K243,Inflation!$B$8:$C$266,2)</f>
        <v>1.69245161277257</v>
      </c>
      <c r="P243" s="480"/>
      <c r="Q243" s="481" t="n">
        <f aca="false">VLOOKUP(K243,'Fuel Curve'!$B$11:$F$268,5)</f>
        <v>4.66275862068966</v>
      </c>
      <c r="R243" s="482" t="n">
        <f aca="false">VLOOKUP(K243,'Fuel Curve Simulation'!$B$12:$J$258,9)</f>
        <v>4.66275862068966</v>
      </c>
      <c r="S243" s="481" t="n">
        <f aca="false">(R243*$S$2)/1000</f>
        <v>44.6645648275862</v>
      </c>
      <c r="T243" s="483"/>
      <c r="V243" s="499" t="n">
        <f aca="false">V231</f>
        <v>39.9249984741211</v>
      </c>
      <c r="W243" s="128"/>
      <c r="X243" s="484" t="n">
        <f aca="false">'PJM Curve Simulation'!J243</f>
        <v>39.9249984741211</v>
      </c>
      <c r="Y243" s="489"/>
      <c r="Z243" s="483"/>
      <c r="AA243" s="59" t="n">
        <f aca="false">AA242</f>
        <v>315</v>
      </c>
      <c r="AB243" s="425" t="n">
        <f aca="false">AA243*F243*16</f>
        <v>110880</v>
      </c>
      <c r="AC243" s="425" t="n">
        <f aca="false">VLOOKUP(K243,'Company Volumes'!$B$20:$C$259,2)</f>
        <v>20249.3553512413</v>
      </c>
      <c r="AD243" s="485" t="n">
        <f aca="false">IF(V243&gt;S243+($AM$5*1000*O243),AA243*F243*16,0)</f>
        <v>0</v>
      </c>
      <c r="AE243" s="425"/>
      <c r="AF243" s="425" t="n">
        <v>0</v>
      </c>
      <c r="AG243" s="425" t="n">
        <v>0</v>
      </c>
      <c r="AH243" s="425" t="n">
        <f aca="false">X243*AD243</f>
        <v>0</v>
      </c>
      <c r="AI243" s="425" t="n">
        <f aca="false">SUM(AF243:AH243)</f>
        <v>0</v>
      </c>
      <c r="AJ243" s="425" t="n">
        <f aca="false">(AD243*1000*$S$2)/1000000*R243</f>
        <v>0</v>
      </c>
      <c r="AK243" s="425" t="n">
        <f aca="false">($AK$5*O243)/12</f>
        <v>84622.5806386287</v>
      </c>
      <c r="AL243" s="425" t="n">
        <f aca="false">($AL$5*O243)/12</f>
        <v>215787.580628503</v>
      </c>
      <c r="AM243" s="425" t="n">
        <f aca="false">AD243*$AM$5*1000*O243</f>
        <v>0</v>
      </c>
      <c r="AN243" s="425" t="n">
        <f aca="false">(($AN$5*O243)/12)*$S$4</f>
        <v>193503.634393664</v>
      </c>
      <c r="AO243" s="425" t="n">
        <f aca="false">($AO$5*O243)/12</f>
        <v>42311.2903193143</v>
      </c>
      <c r="AP243" s="425" t="n">
        <f aca="false">AP242</f>
        <v>46500.5582152336</v>
      </c>
      <c r="AQ243" s="433" t="n">
        <f aca="false">SUM(AK243:AP243)</f>
        <v>582725.644195344</v>
      </c>
      <c r="AR243" s="425" t="n">
        <f aca="false">($AR$5*O243)/12</f>
        <v>21155.6451596572</v>
      </c>
      <c r="AS243" s="433" t="n">
        <f aca="false">AS242</f>
        <v>30387.755</v>
      </c>
      <c r="AT243" s="425" t="n">
        <f aca="false">(AI243/100)*$AT$6*O243</f>
        <v>0</v>
      </c>
      <c r="AU243" s="433" t="n">
        <f aca="false">SUM(AJ243:AT243)-AQ243</f>
        <v>634269.044355001</v>
      </c>
      <c r="AV243" s="433" t="n">
        <f aca="false">AI243-AU243</f>
        <v>-634269.044355001</v>
      </c>
      <c r="AW243" s="493"/>
      <c r="AX243" s="423" t="n">
        <f aca="false">K243</f>
        <v>43709</v>
      </c>
      <c r="BA243" s="126"/>
      <c r="BB243" s="481" t="n">
        <f aca="false">X243</f>
        <v>39.9249984741211</v>
      </c>
      <c r="BC243" s="481" t="n">
        <f aca="false">'Curve Analysis - Base Case'!D235</f>
        <v>48.0494680531314</v>
      </c>
      <c r="BD243" s="479" t="n">
        <f aca="false">L243</f>
        <v>0.073841245195453</v>
      </c>
      <c r="BE243" s="479" t="n">
        <f aca="false">L243</f>
        <v>0.073841245195453</v>
      </c>
      <c r="BF243" s="489" t="n">
        <f aca="false">BF231</f>
        <v>0.0928887598824161</v>
      </c>
      <c r="BG243" s="425" t="n">
        <f aca="false">(AX243+15)-$K$1</f>
        <v>7135</v>
      </c>
      <c r="BH243" s="433" t="n">
        <f aca="false">AD243</f>
        <v>0</v>
      </c>
      <c r="BJ243" s="486" t="e">
        <f aca="false">EURO(BB243,BC243,BD243,BE243,BF243,BG243,1,0)*BH243</f>
        <v>#NAME?</v>
      </c>
      <c r="BK243" s="433" t="n">
        <f aca="false">(AI243-AJ243)*N243</f>
        <v>0</v>
      </c>
      <c r="BM243" s="433" t="e">
        <f aca="false">BJ243-BK243</f>
        <v>#NAME?</v>
      </c>
    </row>
    <row r="244" customFormat="false" ht="16.5" hidden="false" customHeight="false" outlineLevel="0" collapsed="false">
      <c r="A244" s="59" t="n">
        <f aca="false">A243+1</f>
        <v>238</v>
      </c>
      <c r="C244" s="59" t="n">
        <v>31</v>
      </c>
      <c r="D244" s="59" t="s">
        <v>172</v>
      </c>
      <c r="E244" s="125" t="n">
        <f aca="false">E243+C243</f>
        <v>43739</v>
      </c>
      <c r="F244" s="425" t="n">
        <f aca="false">F196</f>
        <v>23</v>
      </c>
      <c r="G244" s="433" t="n">
        <f aca="false">C244-F244</f>
        <v>8</v>
      </c>
      <c r="H244" s="433"/>
      <c r="I244" s="433"/>
      <c r="J244" s="59" t="n">
        <f aca="false">K245-K244</f>
        <v>31</v>
      </c>
      <c r="K244" s="423" t="n">
        <f aca="false">E244</f>
        <v>43739</v>
      </c>
      <c r="L244" s="490" t="n">
        <v>0.073836238632955</v>
      </c>
      <c r="M244" s="491" t="n">
        <v>0.064917524112598</v>
      </c>
      <c r="N244" s="480" t="n">
        <f aca="false">(1+L244/2)^(-2*((K244+$T$1)-$K$1)/365.25)</f>
        <v>0.239767872896411</v>
      </c>
      <c r="O244" s="127" t="n">
        <f aca="false">VLOOKUP(K244,Inflation!$B$8:$C$266,2)</f>
        <v>1.6962133019215</v>
      </c>
      <c r="P244" s="480"/>
      <c r="Q244" s="481" t="n">
        <f aca="false">VLOOKUP(K244,'Fuel Curve'!$B$11:$F$268,5)</f>
        <v>4.75534482758621</v>
      </c>
      <c r="R244" s="482" t="n">
        <f aca="false">VLOOKUP(K244,'Fuel Curve Simulation'!$B$12:$J$258,9)</f>
        <v>4.75534482758621</v>
      </c>
      <c r="S244" s="481" t="n">
        <f aca="false">(R244*$S$2)/1000</f>
        <v>45.5514481034483</v>
      </c>
      <c r="T244" s="483"/>
      <c r="V244" s="499" t="n">
        <f aca="false">V232</f>
        <v>31.8250003814697</v>
      </c>
      <c r="W244" s="128"/>
      <c r="X244" s="484" t="n">
        <f aca="false">'PJM Curve Simulation'!J244</f>
        <v>31.8250003814697</v>
      </c>
      <c r="Y244" s="489"/>
      <c r="Z244" s="483"/>
      <c r="AA244" s="59" t="n">
        <f aca="false">AA243</f>
        <v>315</v>
      </c>
      <c r="AB244" s="425" t="n">
        <f aca="false">AA244*F244*16</f>
        <v>115920</v>
      </c>
      <c r="AC244" s="425" t="n">
        <f aca="false">VLOOKUP(K244,'Company Volumes'!$B$20:$C$259,2)</f>
        <v>3045.43021362844</v>
      </c>
      <c r="AD244" s="485" t="n">
        <f aca="false">IF(V244&gt;S244+($AM$5*1000*O244),AA244*F244*16,0)</f>
        <v>0</v>
      </c>
      <c r="AE244" s="425"/>
      <c r="AF244" s="425" t="n">
        <v>0</v>
      </c>
      <c r="AG244" s="425" t="n">
        <v>0</v>
      </c>
      <c r="AH244" s="425" t="n">
        <f aca="false">X244*AD244</f>
        <v>0</v>
      </c>
      <c r="AI244" s="425" t="n">
        <f aca="false">SUM(AF244:AH244)</f>
        <v>0</v>
      </c>
      <c r="AJ244" s="425" t="n">
        <f aca="false">(AD244*1000*$S$2)/1000000*R244</f>
        <v>0</v>
      </c>
      <c r="AK244" s="425" t="n">
        <f aca="false">($AK$5*O244)/12</f>
        <v>84810.665096075</v>
      </c>
      <c r="AL244" s="425" t="n">
        <f aca="false">($AL$5*O244)/12</f>
        <v>216267.195994991</v>
      </c>
      <c r="AM244" s="425" t="n">
        <f aca="false">AD244*$AM$5*1000*O244</f>
        <v>0</v>
      </c>
      <c r="AN244" s="425" t="n">
        <f aca="false">(($AN$5*O244)/12)*$S$4</f>
        <v>193933.720853025</v>
      </c>
      <c r="AO244" s="425" t="n">
        <f aca="false">($AO$5*O244)/12</f>
        <v>42405.3325480375</v>
      </c>
      <c r="AP244" s="425" t="n">
        <f aca="false">AP243</f>
        <v>46500.5582152336</v>
      </c>
      <c r="AQ244" s="433" t="n">
        <f aca="false">SUM(AK244:AP244)</f>
        <v>583917.472707362</v>
      </c>
      <c r="AR244" s="425" t="n">
        <f aca="false">($AR$5*O244)/12</f>
        <v>21202.6662740188</v>
      </c>
      <c r="AS244" s="433" t="n">
        <f aca="false">AS243</f>
        <v>30387.755</v>
      </c>
      <c r="AT244" s="425" t="n">
        <f aca="false">(AI244/100)*$AT$6*O244</f>
        <v>0</v>
      </c>
      <c r="AU244" s="433" t="n">
        <f aca="false">SUM(AJ244:AT244)-AQ244</f>
        <v>635507.893981381</v>
      </c>
      <c r="AV244" s="433" t="n">
        <f aca="false">AI244-AU244</f>
        <v>-635507.893981381</v>
      </c>
      <c r="AW244" s="493"/>
      <c r="AX244" s="423" t="n">
        <f aca="false">K244</f>
        <v>43739</v>
      </c>
      <c r="BA244" s="126"/>
      <c r="BB244" s="481" t="n">
        <f aca="false">X244</f>
        <v>31.8250003814697</v>
      </c>
      <c r="BC244" s="481" t="n">
        <f aca="false">'Curve Analysis - Base Case'!D236</f>
        <v>48.9438747072913</v>
      </c>
      <c r="BD244" s="479" t="n">
        <f aca="false">L244</f>
        <v>0.073836238632955</v>
      </c>
      <c r="BE244" s="479" t="n">
        <f aca="false">L244</f>
        <v>0.073836238632955</v>
      </c>
      <c r="BF244" s="489" t="n">
        <f aca="false">BF232</f>
        <v>0.0656856230597085</v>
      </c>
      <c r="BG244" s="425" t="n">
        <f aca="false">(AX244+15)-$K$1</f>
        <v>7165</v>
      </c>
      <c r="BH244" s="433" t="n">
        <f aca="false">AD244</f>
        <v>0</v>
      </c>
      <c r="BJ244" s="486" t="e">
        <f aca="false">EURO(BB244,BC244,BD244,BE244,BF244,BG244,1,0)*BH244</f>
        <v>#NAME?</v>
      </c>
      <c r="BK244" s="433" t="n">
        <f aca="false">(AI244-AJ244)*N244</f>
        <v>0</v>
      </c>
      <c r="BM244" s="433" t="e">
        <f aca="false">BJ244-BK244</f>
        <v>#NAME?</v>
      </c>
    </row>
    <row r="245" customFormat="false" ht="16.5" hidden="false" customHeight="false" outlineLevel="0" collapsed="false">
      <c r="A245" s="59" t="n">
        <f aca="false">A244+1</f>
        <v>239</v>
      </c>
      <c r="C245" s="59" t="n">
        <v>30</v>
      </c>
      <c r="D245" s="59" t="s">
        <v>173</v>
      </c>
      <c r="E245" s="125" t="n">
        <f aca="false">E244+C244</f>
        <v>43770</v>
      </c>
      <c r="F245" s="425" t="n">
        <f aca="false">F197</f>
        <v>20</v>
      </c>
      <c r="G245" s="433" t="n">
        <f aca="false">C245-F245</f>
        <v>10</v>
      </c>
      <c r="H245" s="433"/>
      <c r="I245" s="433"/>
      <c r="J245" s="59" t="n">
        <f aca="false">K246-K245</f>
        <v>30</v>
      </c>
      <c r="K245" s="423" t="n">
        <f aca="false">E245</f>
        <v>43770</v>
      </c>
      <c r="L245" s="490" t="n">
        <v>0.073831065185049</v>
      </c>
      <c r="M245" s="491" t="n">
        <v>0.064929136384391</v>
      </c>
      <c r="N245" s="480" t="n">
        <f aca="false">(1+L245/2)^(-2*((K245+$T$1)-$K$1)/365.25)</f>
        <v>0.238320433690611</v>
      </c>
      <c r="O245" s="127" t="n">
        <f aca="false">VLOOKUP(K245,Inflation!$B$8:$C$266,2)</f>
        <v>1.6999833519034</v>
      </c>
      <c r="P245" s="480"/>
      <c r="Q245" s="481" t="n">
        <f aca="false">VLOOKUP(K245,'Fuel Curve'!$B$11:$F$268,5)</f>
        <v>4.80465517241379</v>
      </c>
      <c r="R245" s="482" t="n">
        <f aca="false">VLOOKUP(K245,'Fuel Curve Simulation'!$B$12:$J$258,9)</f>
        <v>4.80465517241379</v>
      </c>
      <c r="S245" s="481" t="n">
        <f aca="false">(R245*$S$2)/1000</f>
        <v>46.0237918965517</v>
      </c>
      <c r="T245" s="483"/>
      <c r="V245" s="499" t="n">
        <f aca="false">V233</f>
        <v>31.4974990844727</v>
      </c>
      <c r="W245" s="128"/>
      <c r="X245" s="484" t="n">
        <f aca="false">'PJM Curve Simulation'!J245</f>
        <v>31.4974990844727</v>
      </c>
      <c r="Y245" s="489"/>
      <c r="Z245" s="483"/>
      <c r="AA245" s="59" t="n">
        <f aca="false">AA244</f>
        <v>315</v>
      </c>
      <c r="AB245" s="425" t="n">
        <f aca="false">AA245*F245*16</f>
        <v>100800</v>
      </c>
      <c r="AC245" s="425" t="n">
        <f aca="false">VLOOKUP(K245,'Company Volumes'!$B$20:$C$259,2)</f>
        <v>7342.86756395111</v>
      </c>
      <c r="AD245" s="485" t="n">
        <f aca="false">IF(V245&gt;S245+($AM$5*1000*O245),AA245*F245*16,0)</f>
        <v>0</v>
      </c>
      <c r="AE245" s="425"/>
      <c r="AF245" s="425" t="n">
        <v>0</v>
      </c>
      <c r="AG245" s="425" t="n">
        <v>0</v>
      </c>
      <c r="AH245" s="425" t="n">
        <f aca="false">X245*AD245</f>
        <v>0</v>
      </c>
      <c r="AI245" s="425" t="n">
        <f aca="false">SUM(AF245:AH245)</f>
        <v>0</v>
      </c>
      <c r="AJ245" s="425" t="n">
        <f aca="false">(AD245*1000*$S$2)/1000000*R245</f>
        <v>0</v>
      </c>
      <c r="AK245" s="425" t="n">
        <f aca="false">($AK$5*O245)/12</f>
        <v>84999.1675951701</v>
      </c>
      <c r="AL245" s="425" t="n">
        <f aca="false">($AL$5*O245)/12</f>
        <v>216747.877367684</v>
      </c>
      <c r="AM245" s="425" t="n">
        <f aca="false">AD245*$AM$5*1000*O245</f>
        <v>0</v>
      </c>
      <c r="AN245" s="425" t="n">
        <f aca="false">(($AN$5*O245)/12)*$S$4</f>
        <v>194364.763234289</v>
      </c>
      <c r="AO245" s="425" t="n">
        <f aca="false">($AO$5*O245)/12</f>
        <v>42499.5837975851</v>
      </c>
      <c r="AP245" s="425" t="n">
        <f aca="false">AP244</f>
        <v>46500.5582152336</v>
      </c>
      <c r="AQ245" s="433" t="n">
        <f aca="false">SUM(AK245:AP245)</f>
        <v>585111.950209962</v>
      </c>
      <c r="AR245" s="425" t="n">
        <f aca="false">($AR$5*O245)/12</f>
        <v>21249.7918987925</v>
      </c>
      <c r="AS245" s="433" t="n">
        <f aca="false">AS244</f>
        <v>30387.755</v>
      </c>
      <c r="AT245" s="425" t="n">
        <f aca="false">(AI245/100)*$AT$6*O245</f>
        <v>0</v>
      </c>
      <c r="AU245" s="433" t="n">
        <f aca="false">SUM(AJ245:AT245)-AQ245</f>
        <v>636749.497108754</v>
      </c>
      <c r="AV245" s="433" t="n">
        <f aca="false">AI245-AU245</f>
        <v>-636749.497108754</v>
      </c>
      <c r="AW245" s="493"/>
      <c r="AX245" s="423" t="n">
        <f aca="false">K245</f>
        <v>43770</v>
      </c>
      <c r="BA245" s="126"/>
      <c r="BB245" s="481" t="n">
        <f aca="false">X245</f>
        <v>31.4974990844727</v>
      </c>
      <c r="BC245" s="481" t="n">
        <f aca="false">'Curve Analysis - Base Case'!D237</f>
        <v>49.4237586003585</v>
      </c>
      <c r="BD245" s="479" t="n">
        <f aca="false">L245</f>
        <v>0.073831065185049</v>
      </c>
      <c r="BE245" s="479" t="n">
        <f aca="false">L245</f>
        <v>0.073831065185049</v>
      </c>
      <c r="BF245" s="489" t="n">
        <f aca="false">BF233</f>
        <v>0.0656856230597085</v>
      </c>
      <c r="BG245" s="425" t="n">
        <f aca="false">(AX245+15)-$K$1</f>
        <v>7196</v>
      </c>
      <c r="BH245" s="433" t="n">
        <f aca="false">AD245</f>
        <v>0</v>
      </c>
      <c r="BJ245" s="486" t="e">
        <f aca="false">EURO(BB245,BC245,BD245,BE245,BF245,BG245,1,0)*BH245</f>
        <v>#NAME?</v>
      </c>
      <c r="BK245" s="433" t="n">
        <f aca="false">(AI245-AJ245)*N245</f>
        <v>0</v>
      </c>
      <c r="BM245" s="433" t="e">
        <f aca="false">BJ245-BK245</f>
        <v>#NAME?</v>
      </c>
    </row>
    <row r="246" customFormat="false" ht="16.5" hidden="false" customHeight="false" outlineLevel="0" collapsed="false">
      <c r="A246" s="59" t="n">
        <f aca="false">A245+1</f>
        <v>240</v>
      </c>
      <c r="C246" s="59" t="n">
        <v>31</v>
      </c>
      <c r="D246" s="59" t="s">
        <v>174</v>
      </c>
      <c r="E246" s="125" t="n">
        <f aca="false">E245+C245</f>
        <v>43800</v>
      </c>
      <c r="F246" s="425" t="n">
        <f aca="false">F198</f>
        <v>23</v>
      </c>
      <c r="G246" s="433" t="n">
        <f aca="false">C246-F246</f>
        <v>8</v>
      </c>
      <c r="H246" s="433" t="n">
        <f aca="false">SUM(F235:G246)</f>
        <v>365</v>
      </c>
      <c r="I246" s="433"/>
      <c r="J246" s="59" t="n">
        <v>31</v>
      </c>
      <c r="K246" s="423" t="n">
        <f aca="false">E246</f>
        <v>43800</v>
      </c>
      <c r="L246" s="490" t="n">
        <v>0.073826058622568</v>
      </c>
      <c r="M246" s="491" t="n">
        <v>0.064940374067667</v>
      </c>
      <c r="N246" s="480" t="n">
        <f aca="false">(1+L246/2)^(-2*((K246+$T$1)-$K$1)/365.25)</f>
        <v>0.236928197415367</v>
      </c>
      <c r="O246" s="127" t="n">
        <f aca="false">VLOOKUP(K246,Inflation!$B$8:$C$266,2)</f>
        <v>1.7037617813013</v>
      </c>
      <c r="P246" s="480"/>
      <c r="Q246" s="481" t="n">
        <f aca="false">VLOOKUP(K246,'Fuel Curve'!$B$11:$F$268,5)</f>
        <v>4.84741379310345</v>
      </c>
      <c r="R246" s="482" t="n">
        <f aca="false">VLOOKUP(K246,'Fuel Curve Simulation'!$B$12:$J$258,9)</f>
        <v>4.84741379310345</v>
      </c>
      <c r="S246" s="481" t="n">
        <f aca="false">(R246*$S$2)/1000</f>
        <v>46.4333767241379</v>
      </c>
      <c r="T246" s="483"/>
      <c r="V246" s="499" t="n">
        <f aca="false">V234</f>
        <v>33.2499996185303</v>
      </c>
      <c r="W246" s="128"/>
      <c r="X246" s="484" t="n">
        <f aca="false">'PJM Curve Simulation'!J246</f>
        <v>33.2499996185303</v>
      </c>
      <c r="Y246" s="489"/>
      <c r="Z246" s="483"/>
      <c r="AA246" s="59" t="n">
        <f aca="false">AA245</f>
        <v>315</v>
      </c>
      <c r="AB246" s="425" t="n">
        <f aca="false">AA246*F246*16</f>
        <v>115920</v>
      </c>
      <c r="AC246" s="500" t="n">
        <f aca="false">VLOOKUP(K246,'Company Volumes'!$B$20:$C$259,2)</f>
        <v>7342.86756395111</v>
      </c>
      <c r="AD246" s="485" t="n">
        <f aca="false">IF(V246&gt;S246+($AM$5*1000*O246),AA246*F246*16,0)</f>
        <v>0</v>
      </c>
      <c r="AE246" s="425"/>
      <c r="AF246" s="425" t="n">
        <v>0</v>
      </c>
      <c r="AG246" s="425" t="n">
        <v>0</v>
      </c>
      <c r="AH246" s="425" t="n">
        <f aca="false">X246*AD246</f>
        <v>0</v>
      </c>
      <c r="AI246" s="425" t="n">
        <f aca="false">SUM(AF246:AH246)</f>
        <v>0</v>
      </c>
      <c r="AJ246" s="425" t="n">
        <f aca="false">(AD246*1000*$S$2)/1000000*R246</f>
        <v>0</v>
      </c>
      <c r="AK246" s="425" t="n">
        <f aca="false">($AK$5*O246)/12</f>
        <v>85188.0890650648</v>
      </c>
      <c r="AL246" s="425" t="n">
        <f aca="false">($AL$5*O246)/12</f>
        <v>217229.627115915</v>
      </c>
      <c r="AM246" s="425" t="n">
        <f aca="false">AD246*$AM$5*1000*O246</f>
        <v>0</v>
      </c>
      <c r="AN246" s="425" t="n">
        <f aca="false">(($AN$5*O246)/12)*$S$4</f>
        <v>194796.763662115</v>
      </c>
      <c r="AO246" s="425" t="n">
        <f aca="false">($AO$5*O246)/12</f>
        <v>42594.0445325324</v>
      </c>
      <c r="AP246" s="425" t="n">
        <f aca="false">AP245</f>
        <v>46500.5582152336</v>
      </c>
      <c r="AQ246" s="433" t="n">
        <f aca="false">SUM(AK246:AP246)</f>
        <v>586309.082590861</v>
      </c>
      <c r="AR246" s="425" t="n">
        <f aca="false">($AR$5*O246)/12</f>
        <v>21297.0222662662</v>
      </c>
      <c r="AS246" s="433" t="n">
        <f aca="false">AS245</f>
        <v>30387.755</v>
      </c>
      <c r="AT246" s="425" t="n">
        <f aca="false">(AI246/100)*$AT$6*O246</f>
        <v>0</v>
      </c>
      <c r="AU246" s="433" t="n">
        <f aca="false">SUM(AJ246:AT246)-AQ246</f>
        <v>637993.859857127</v>
      </c>
      <c r="AV246" s="433" t="n">
        <f aca="false">AI246-AU246</f>
        <v>-637993.859857127</v>
      </c>
      <c r="AW246" s="493"/>
      <c r="AX246" s="423" t="n">
        <f aca="false">K246</f>
        <v>43800</v>
      </c>
      <c r="AY246" s="425" t="n">
        <f aca="false">'Debt Amortization'!AA8</f>
        <v>10746891.1795574</v>
      </c>
      <c r="AZ246" s="425" t="n">
        <f aca="false">AY246*N246</f>
        <v>2546241.55499164</v>
      </c>
      <c r="BA246" s="126"/>
      <c r="BB246" s="481" t="n">
        <f aca="false">X246</f>
        <v>33.2499996185303</v>
      </c>
      <c r="BC246" s="481" t="n">
        <f aca="false">'Curve Analysis - Base Case'!D238</f>
        <v>49.8409002867405</v>
      </c>
      <c r="BD246" s="479" t="n">
        <f aca="false">L246</f>
        <v>0.073826058622568</v>
      </c>
      <c r="BE246" s="479" t="n">
        <f aca="false">L246</f>
        <v>0.073826058622568</v>
      </c>
      <c r="BF246" s="489" t="n">
        <f aca="false">BF234</f>
        <v>0.0656856230597085</v>
      </c>
      <c r="BG246" s="425" t="n">
        <f aca="false">(AX246+15)-$K$1</f>
        <v>7226</v>
      </c>
      <c r="BH246" s="433" t="n">
        <f aca="false">AD246</f>
        <v>0</v>
      </c>
      <c r="BJ246" s="486" t="e">
        <f aca="false">EURO(BB246,BC246,BD246,BE246,BF246,BG246,1,0)*BH246</f>
        <v>#NAME?</v>
      </c>
      <c r="BK246" s="433" t="n">
        <f aca="false">(AI246-AJ246)*N246</f>
        <v>0</v>
      </c>
      <c r="BM246" s="433" t="e">
        <f aca="false">BJ246-BK246</f>
        <v>#NAME?</v>
      </c>
    </row>
    <row r="247" customFormat="false" ht="16.5" hidden="false" customHeight="false" outlineLevel="0" collapsed="false">
      <c r="A247" s="59" t="n">
        <f aca="false">A246+1</f>
        <v>241</v>
      </c>
      <c r="C247" s="59" t="n">
        <v>31</v>
      </c>
      <c r="D247" s="59" t="s">
        <v>164</v>
      </c>
      <c r="E247" s="125" t="n">
        <f aca="false">E246+C246</f>
        <v>43831</v>
      </c>
      <c r="F247" s="425" t="n">
        <f aca="false">F199</f>
        <v>22</v>
      </c>
      <c r="G247" s="433" t="n">
        <f aca="false">C247-F247</f>
        <v>9</v>
      </c>
      <c r="H247" s="433"/>
      <c r="I247" s="433"/>
      <c r="K247" s="423" t="n">
        <f aca="false">E247</f>
        <v>43831</v>
      </c>
      <c r="L247" s="490" t="n">
        <v>0.07382088517468</v>
      </c>
      <c r="M247" s="491" t="n">
        <v>0.064951986341308</v>
      </c>
      <c r="N247" s="480" t="n">
        <f aca="false">(1+L247/2)^(-2*((K247+$T$1)-$K$1)/365.25)</f>
        <v>0.235498293436497</v>
      </c>
      <c r="O247" s="127" t="n">
        <f aca="false">VLOOKUP(K247,Inflation!$B$8:$C$266,2)</f>
        <v>1.7075486087395</v>
      </c>
      <c r="P247" s="480"/>
      <c r="Q247" s="481" t="n">
        <f aca="false">VLOOKUP(K247,'Fuel Curve'!$B$11:$F$268,5)</f>
        <v>4.79017241379311</v>
      </c>
      <c r="R247" s="482" t="n">
        <f aca="false">VLOOKUP(K247,'Fuel Curve Simulation'!$B$12:$J$258,9)</f>
        <v>4.79017241379311</v>
      </c>
      <c r="S247" s="481" t="n">
        <f aca="false">(R247*$S$2)/1000</f>
        <v>45.8850615517242</v>
      </c>
      <c r="T247" s="483"/>
      <c r="V247" s="499" t="n">
        <f aca="false">V235</f>
        <v>41.8249984741211</v>
      </c>
      <c r="W247" s="128"/>
      <c r="X247" s="484" t="n">
        <f aca="false">'PJM Curve Simulation'!J247</f>
        <v>41.8249984741211</v>
      </c>
      <c r="Y247" s="489"/>
      <c r="AA247" s="59" t="n">
        <f aca="false">AA246</f>
        <v>315</v>
      </c>
      <c r="AB247" s="425" t="n">
        <f aca="false">AA247*F247*16</f>
        <v>110880</v>
      </c>
      <c r="AC247" s="501" t="n">
        <f aca="false">SUM(AC8:AC246)</f>
        <v>3915555.75618317</v>
      </c>
      <c r="AD247" s="485" t="n">
        <f aca="false">IF(V247&gt;S247+($AM$5*1000*O247),AA247*F247*16,0)</f>
        <v>0</v>
      </c>
      <c r="AE247" s="425"/>
      <c r="AF247" s="425" t="n">
        <v>0</v>
      </c>
      <c r="AG247" s="425" t="n">
        <v>0</v>
      </c>
      <c r="AH247" s="425" t="n">
        <f aca="false">X247*AD247</f>
        <v>0</v>
      </c>
      <c r="AI247" s="425" t="n">
        <f aca="false">SUM(AF247:AH247)</f>
        <v>0</v>
      </c>
      <c r="AJ247" s="425" t="n">
        <f aca="false">(AD247*1000*$S$2)/1000000*R247</f>
        <v>0</v>
      </c>
      <c r="AK247" s="425" t="n">
        <f aca="false">($AK$5*O247)/12</f>
        <v>85377.4304369749</v>
      </c>
      <c r="AL247" s="425" t="n">
        <f aca="false">($AL$5*O247)/12</f>
        <v>217712.447614286</v>
      </c>
      <c r="AM247" s="425" t="n">
        <f aca="false">AD247*$AM$5*1000*O247</f>
        <v>0</v>
      </c>
      <c r="AN247" s="425" t="n">
        <f aca="false">(($AN$5*O247)/12)*$S$4</f>
        <v>195229.724265883</v>
      </c>
      <c r="AO247" s="425" t="n">
        <f aca="false">($AO$5*O247)/12</f>
        <v>42688.7152184875</v>
      </c>
      <c r="AP247" s="425" t="n">
        <v>0</v>
      </c>
      <c r="AQ247" s="433" t="n">
        <f aca="false">SUM(AK247:AP247)</f>
        <v>541008.317535631</v>
      </c>
      <c r="AR247" s="425" t="n">
        <f aca="false">($AR$5*O247)/12</f>
        <v>21344.3576092437</v>
      </c>
      <c r="AS247" s="433" t="n">
        <f aca="false">AS246</f>
        <v>30387.755</v>
      </c>
      <c r="AT247" s="425" t="n">
        <f aca="false">(AI247/100)*$AT$6*O247</f>
        <v>0</v>
      </c>
      <c r="AU247" s="433" t="n">
        <f aca="false">SUM(AJ247:AT247)-AQ247</f>
        <v>592740.430144875</v>
      </c>
      <c r="AV247" s="433" t="n">
        <f aca="false">AI247-AU247</f>
        <v>-592740.430144875</v>
      </c>
      <c r="AW247" s="502"/>
      <c r="AX247" s="423" t="n">
        <f aca="false">E247</f>
        <v>43831</v>
      </c>
      <c r="BA247" s="126"/>
      <c r="BB247" s="481" t="n">
        <f aca="false">X247</f>
        <v>41.8249984741211</v>
      </c>
      <c r="BC247" s="481" t="n">
        <f aca="false">'Curve Analysis - Base Case'!D239</f>
        <v>49.3001587692032</v>
      </c>
      <c r="BD247" s="479" t="n">
        <f aca="false">L247</f>
        <v>0.07382088517468</v>
      </c>
      <c r="BE247" s="479" t="n">
        <f aca="false">L247</f>
        <v>0.07382088517468</v>
      </c>
      <c r="BF247" s="489" t="n">
        <f aca="false">BF235</f>
        <v>0.100893117019712</v>
      </c>
      <c r="BG247" s="425" t="n">
        <f aca="false">(AX247+15)-$K$1</f>
        <v>7257</v>
      </c>
      <c r="BH247" s="433" t="n">
        <f aca="false">AD247</f>
        <v>0</v>
      </c>
      <c r="BJ247" s="486" t="e">
        <f aca="false">EURO(BB247,BC247,BD247,BE247,BF247,BG247,1,0)*BH247</f>
        <v>#NAME?</v>
      </c>
      <c r="BK247" s="433" t="n">
        <f aca="false">(AI247-AJ247)*N247</f>
        <v>0</v>
      </c>
      <c r="BM247" s="433" t="e">
        <f aca="false">BJ247-BK247</f>
        <v>#NAME?</v>
      </c>
    </row>
    <row r="248" customFormat="false" ht="16.5" hidden="false" customHeight="false" outlineLevel="0" collapsed="false">
      <c r="A248" s="59" t="n">
        <f aca="false">A247+1</f>
        <v>242</v>
      </c>
      <c r="C248" s="496" t="n">
        <v>29</v>
      </c>
      <c r="D248" s="497" t="s">
        <v>165</v>
      </c>
      <c r="E248" s="125" t="n">
        <f aca="false">E247+C247</f>
        <v>43862</v>
      </c>
      <c r="F248" s="425" t="n">
        <f aca="false">F200</f>
        <v>20</v>
      </c>
      <c r="G248" s="433" t="n">
        <f aca="false">C248-F248</f>
        <v>9</v>
      </c>
      <c r="H248" s="433"/>
      <c r="I248" s="433"/>
      <c r="K248" s="423" t="n">
        <f aca="false">E248</f>
        <v>43862</v>
      </c>
      <c r="L248" s="490" t="n">
        <v>0.0738157117268</v>
      </c>
      <c r="M248" s="491" t="n">
        <v>0.064963598615887</v>
      </c>
      <c r="N248" s="480" t="n">
        <f aca="false">(1+L248/2)^(-2*((K248+$T$1)-$K$1)/365.25)</f>
        <v>0.234077217485193</v>
      </c>
      <c r="O248" s="127" t="n">
        <f aca="false">VLOOKUP(K248,Inflation!$B$8:$C$266,2)</f>
        <v>1.71134385288372</v>
      </c>
      <c r="P248" s="480"/>
      <c r="Q248" s="481" t="n">
        <f aca="false">VLOOKUP(K248,'Fuel Curve'!$B$11:$F$268,5)</f>
        <v>4.69103448275862</v>
      </c>
      <c r="R248" s="482" t="n">
        <f aca="false">VLOOKUP(K248,'Fuel Curve Simulation'!$B$12:$J$258,9)</f>
        <v>4.69103448275862</v>
      </c>
      <c r="S248" s="481" t="n">
        <f aca="false">(R248*$S$2)/1000</f>
        <v>44.9354193103448</v>
      </c>
      <c r="T248" s="483"/>
      <c r="V248" s="499" t="n">
        <f aca="false">V236</f>
        <v>41.8249984741211</v>
      </c>
      <c r="W248" s="128"/>
      <c r="X248" s="484" t="n">
        <f aca="false">'PJM Curve Simulation'!J248</f>
        <v>41.8249984741211</v>
      </c>
      <c r="Y248" s="489"/>
      <c r="AA248" s="59" t="n">
        <f aca="false">AA247</f>
        <v>315</v>
      </c>
      <c r="AB248" s="425" t="n">
        <f aca="false">AA248*F248*16</f>
        <v>100800</v>
      </c>
      <c r="AD248" s="485" t="n">
        <f aca="false">IF(V248&gt;S248+($AM$5*1000*O248),AA248*F248*16,0)</f>
        <v>0</v>
      </c>
      <c r="AF248" s="425" t="n">
        <v>0</v>
      </c>
      <c r="AG248" s="425" t="n">
        <v>0</v>
      </c>
      <c r="AH248" s="425" t="n">
        <f aca="false">X248*AD248</f>
        <v>0</v>
      </c>
      <c r="AI248" s="425" t="n">
        <f aca="false">SUM(AF248:AH248)</f>
        <v>0</v>
      </c>
      <c r="AJ248" s="425" t="n">
        <f aca="false">(AD248*1000*$S$2)/1000000*R248</f>
        <v>0</v>
      </c>
      <c r="AK248" s="425" t="n">
        <f aca="false">($AK$5*O248)/12</f>
        <v>85567.1926441862</v>
      </c>
      <c r="AL248" s="425" t="n">
        <f aca="false">($AL$5*O248)/12</f>
        <v>218196.341242675</v>
      </c>
      <c r="AM248" s="425" t="n">
        <f aca="false">AD248*$AM$5*1000*O248</f>
        <v>0</v>
      </c>
      <c r="AN248" s="425" t="n">
        <f aca="false">(($AN$5*O248)/12)*$S$4</f>
        <v>195663.647179706</v>
      </c>
      <c r="AO248" s="425" t="n">
        <f aca="false">($AO$5*O248)/12</f>
        <v>42783.5963220931</v>
      </c>
      <c r="AP248" s="425" t="n">
        <v>0</v>
      </c>
      <c r="AQ248" s="433" t="n">
        <f aca="false">SUM(AK248:AP248)</f>
        <v>542210.77738866</v>
      </c>
      <c r="AR248" s="425" t="n">
        <f aca="false">($AR$5*O248)/12</f>
        <v>21391.7981610466</v>
      </c>
      <c r="AS248" s="433" t="n">
        <f aca="false">AS247</f>
        <v>30387.755</v>
      </c>
      <c r="AT248" s="425" t="n">
        <f aca="false">(AI248/100)*$AT$6*O248</f>
        <v>0</v>
      </c>
      <c r="AU248" s="433" t="n">
        <f aca="false">SUM(AJ248:AT248)-AQ248</f>
        <v>593990.330549707</v>
      </c>
      <c r="AV248" s="433" t="n">
        <f aca="false">AI248-AU248</f>
        <v>-593990.330549707</v>
      </c>
      <c r="AW248" s="493"/>
      <c r="AX248" s="423" t="n">
        <f aca="false">E248</f>
        <v>43862</v>
      </c>
      <c r="BA248" s="126"/>
      <c r="BB248" s="481" t="n">
        <f aca="false">X248</f>
        <v>41.8249984741211</v>
      </c>
      <c r="BC248" s="481" t="n">
        <f aca="false">'Curve Analysis - Base Case'!D240</f>
        <v>48.3581070161123</v>
      </c>
      <c r="BD248" s="479" t="n">
        <f aca="false">L248</f>
        <v>0.0738157117268</v>
      </c>
      <c r="BE248" s="479" t="n">
        <f aca="false">L248</f>
        <v>0.0738157117268</v>
      </c>
      <c r="BF248" s="489" t="n">
        <f aca="false">BF236</f>
        <v>0.100893117019712</v>
      </c>
      <c r="BG248" s="425" t="n">
        <f aca="false">(AX248+15)-$K$1</f>
        <v>7288</v>
      </c>
      <c r="BH248" s="433" t="n">
        <f aca="false">AD248</f>
        <v>0</v>
      </c>
      <c r="BJ248" s="486" t="e">
        <f aca="false">EURO(BB248,BC248,BD248,BE248,BF248,BG248,1,0)*BH248</f>
        <v>#NAME?</v>
      </c>
      <c r="BK248" s="433" t="n">
        <f aca="false">(AI248-AJ248)*N248</f>
        <v>0</v>
      </c>
      <c r="BM248" s="433" t="e">
        <f aca="false">BJ248-BK248</f>
        <v>#NAME?</v>
      </c>
    </row>
    <row r="249" customFormat="false" ht="16.5" hidden="false" customHeight="false" outlineLevel="0" collapsed="false">
      <c r="A249" s="59" t="n">
        <f aca="false">A248+1</f>
        <v>243</v>
      </c>
      <c r="C249" s="59" t="n">
        <v>31</v>
      </c>
      <c r="D249" s="59" t="s">
        <v>166</v>
      </c>
      <c r="E249" s="125" t="n">
        <f aca="false">E248+C248</f>
        <v>43891</v>
      </c>
      <c r="F249" s="425" t="n">
        <f aca="false">F201</f>
        <v>23</v>
      </c>
      <c r="G249" s="433" t="n">
        <f aca="false">C249-F249</f>
        <v>8</v>
      </c>
      <c r="H249" s="433"/>
      <c r="I249" s="433"/>
      <c r="K249" s="423" t="n">
        <f aca="false">E249</f>
        <v>43891</v>
      </c>
      <c r="L249" s="490" t="n">
        <v>0.07381087204976</v>
      </c>
      <c r="M249" s="491" t="n">
        <v>0.064974461712312</v>
      </c>
      <c r="N249" s="480" t="n">
        <f aca="false">(1+L249/2)^(-2*((K249+$T$1)-$K$1)/365.25)</f>
        <v>0.232755766607559</v>
      </c>
      <c r="O249" s="127" t="n">
        <f aca="false">VLOOKUP(K249,Inflation!$B$8:$C$266,2)</f>
        <v>1.71514753244117</v>
      </c>
      <c r="P249" s="480"/>
      <c r="Q249" s="481" t="n">
        <f aca="false">VLOOKUP(K249,'Fuel Curve'!$B$11:$F$268,5)</f>
        <v>4.59396551724138</v>
      </c>
      <c r="R249" s="482" t="n">
        <f aca="false">VLOOKUP(K249,'Fuel Curve Simulation'!$B$12:$J$258,9)</f>
        <v>4.59396551724138</v>
      </c>
      <c r="S249" s="481" t="n">
        <f aca="false">(R249*$S$2)/1000</f>
        <v>44.0055956896552</v>
      </c>
      <c r="T249" s="483"/>
      <c r="V249" s="499" t="n">
        <f aca="false">V237</f>
        <v>31.5500007629395</v>
      </c>
      <c r="W249" s="128"/>
      <c r="X249" s="484" t="n">
        <f aca="false">'PJM Curve Simulation'!J249</f>
        <v>31.5500007629395</v>
      </c>
      <c r="Y249" s="489"/>
      <c r="AA249" s="59" t="n">
        <f aca="false">AA248</f>
        <v>315</v>
      </c>
      <c r="AB249" s="425" t="n">
        <f aca="false">AA249*F249*16</f>
        <v>115920</v>
      </c>
      <c r="AD249" s="485" t="n">
        <f aca="false">IF(V249&gt;S249+($AM$5*1000*O249),AA249*F249*16,0)</f>
        <v>0</v>
      </c>
      <c r="AF249" s="425" t="n">
        <v>0</v>
      </c>
      <c r="AG249" s="425" t="n">
        <v>0</v>
      </c>
      <c r="AH249" s="425" t="n">
        <f aca="false">X249*AD249</f>
        <v>0</v>
      </c>
      <c r="AI249" s="425" t="n">
        <f aca="false">SUM(AF249:AH249)</f>
        <v>0</v>
      </c>
      <c r="AJ249" s="425" t="n">
        <f aca="false">(AD249*1000*$S$2)/1000000*R249</f>
        <v>0</v>
      </c>
      <c r="AK249" s="425" t="n">
        <f aca="false">($AK$5*O249)/12</f>
        <v>85757.3766220587</v>
      </c>
      <c r="AL249" s="425" t="n">
        <f aca="false">($AL$5*O249)/12</f>
        <v>218681.31038625</v>
      </c>
      <c r="AM249" s="425" t="n">
        <f aca="false">AD249*$AM$5*1000*O249</f>
        <v>0</v>
      </c>
      <c r="AN249" s="425" t="n">
        <f aca="false">(($AN$5*O249)/12)*$S$4</f>
        <v>196098.534542441</v>
      </c>
      <c r="AO249" s="425" t="n">
        <f aca="false">($AO$5*O249)/12</f>
        <v>42878.6883110294</v>
      </c>
      <c r="AP249" s="425" t="n">
        <v>0</v>
      </c>
      <c r="AQ249" s="433" t="n">
        <f aca="false">SUM(AK249:AP249)</f>
        <v>543415.909861779</v>
      </c>
      <c r="AR249" s="425" t="n">
        <f aca="false">($AR$5*O249)/12</f>
        <v>21439.3441555147</v>
      </c>
      <c r="AS249" s="433" t="n">
        <f aca="false">AS248</f>
        <v>30387.755</v>
      </c>
      <c r="AT249" s="425" t="n">
        <f aca="false">(AI249/100)*$AT$6*O249</f>
        <v>0</v>
      </c>
      <c r="AU249" s="433" t="n">
        <f aca="false">SUM(AJ249:AT249)-AQ249</f>
        <v>595243.009017293</v>
      </c>
      <c r="AV249" s="433" t="n">
        <f aca="false">AI249-AU249</f>
        <v>-595243.009017293</v>
      </c>
      <c r="AX249" s="423" t="n">
        <f aca="false">E249</f>
        <v>43891</v>
      </c>
      <c r="BA249" s="126"/>
      <c r="BB249" s="481" t="n">
        <f aca="false">X249</f>
        <v>31.5500007629395</v>
      </c>
      <c r="BC249" s="481" t="n">
        <f aca="false">'Curve Analysis - Base Case'!D241</f>
        <v>47.4358907545375</v>
      </c>
      <c r="BD249" s="479" t="n">
        <f aca="false">L249</f>
        <v>0.07381087204976</v>
      </c>
      <c r="BE249" s="479" t="n">
        <f aca="false">L249</f>
        <v>0.07381087204976</v>
      </c>
      <c r="BF249" s="489" t="n">
        <f aca="false">BF237</f>
        <v>0.0840775975164269</v>
      </c>
      <c r="BG249" s="425" t="n">
        <f aca="false">(AX249+15)-$K$1</f>
        <v>7317</v>
      </c>
      <c r="BH249" s="433" t="n">
        <f aca="false">AD249</f>
        <v>0</v>
      </c>
      <c r="BJ249" s="486" t="e">
        <f aca="false">EURO(BB249,BC249,BD249,BE249,BF249,BG249,1,0)*BH249</f>
        <v>#NAME?</v>
      </c>
      <c r="BK249" s="433" t="n">
        <f aca="false">(AI249-AJ249)*N249</f>
        <v>0</v>
      </c>
      <c r="BM249" s="433" t="e">
        <f aca="false">BJ249-BK249</f>
        <v>#NAME?</v>
      </c>
    </row>
    <row r="250" customFormat="false" ht="16.5" hidden="false" customHeight="false" outlineLevel="0" collapsed="false">
      <c r="A250" s="59" t="n">
        <f aca="false">A249+1</f>
        <v>244</v>
      </c>
      <c r="C250" s="59" t="n">
        <v>30</v>
      </c>
      <c r="D250" s="59" t="s">
        <v>167</v>
      </c>
      <c r="E250" s="125" t="n">
        <f aca="false">E249+C249</f>
        <v>43922</v>
      </c>
      <c r="F250" s="425" t="n">
        <f aca="false">F202</f>
        <v>22</v>
      </c>
      <c r="G250" s="433" t="n">
        <f aca="false">C250-F250</f>
        <v>8</v>
      </c>
      <c r="H250" s="433"/>
      <c r="I250" s="433"/>
      <c r="K250" s="423" t="n">
        <f aca="false">E250</f>
        <v>43922</v>
      </c>
      <c r="L250" s="490" t="n">
        <v>0.073799890656808</v>
      </c>
      <c r="M250" s="491" t="n">
        <v>0.064986073988708</v>
      </c>
      <c r="N250" s="480" t="n">
        <f aca="false">(1+L250/2)^(-2*((K250+$T$1)-$K$1)/365.25)</f>
        <v>0.231377793425829</v>
      </c>
      <c r="O250" s="127" t="n">
        <f aca="false">VLOOKUP(K250,Inflation!$B$8:$C$266,2)</f>
        <v>1.71895966616063</v>
      </c>
      <c r="P250" s="480"/>
      <c r="Q250" s="481" t="n">
        <f aca="false">VLOOKUP(K250,'Fuel Curve'!$B$11:$F$268,5)</f>
        <v>4.49396551724138</v>
      </c>
      <c r="R250" s="482" t="n">
        <f aca="false">VLOOKUP(K250,'Fuel Curve Simulation'!$B$12:$J$258,9)</f>
        <v>4.49396551724138</v>
      </c>
      <c r="S250" s="481" t="n">
        <f aca="false">(R250*$S$2)/1000</f>
        <v>43.0476956896552</v>
      </c>
      <c r="T250" s="483"/>
      <c r="V250" s="499" t="n">
        <f aca="false">V238</f>
        <v>31.3250007629395</v>
      </c>
      <c r="W250" s="128"/>
      <c r="X250" s="484" t="n">
        <f aca="false">'PJM Curve Simulation'!J250</f>
        <v>31.3250007629395</v>
      </c>
      <c r="Y250" s="489"/>
      <c r="AA250" s="59" t="n">
        <f aca="false">AA249</f>
        <v>315</v>
      </c>
      <c r="AB250" s="425" t="n">
        <f aca="false">AA250*F250*16</f>
        <v>110880</v>
      </c>
      <c r="AD250" s="485" t="n">
        <f aca="false">IF(V250&gt;S250+($AM$5*1000*O250),AA250*F250*16,0)</f>
        <v>0</v>
      </c>
      <c r="AF250" s="425" t="n">
        <v>0</v>
      </c>
      <c r="AG250" s="425" t="n">
        <v>0</v>
      </c>
      <c r="AH250" s="425" t="n">
        <f aca="false">X250*AD250</f>
        <v>0</v>
      </c>
      <c r="AI250" s="425" t="n">
        <f aca="false">SUM(AF250:AH250)</f>
        <v>0</v>
      </c>
      <c r="AJ250" s="425" t="n">
        <f aca="false">(AD250*1000*$S$2)/1000000*R250</f>
        <v>0</v>
      </c>
      <c r="AK250" s="425" t="n">
        <f aca="false">($AK$5*O250)/12</f>
        <v>85947.9833080314</v>
      </c>
      <c r="AL250" s="425" t="n">
        <f aca="false">($AL$5*O250)/12</f>
        <v>219167.35743548</v>
      </c>
      <c r="AM250" s="425" t="n">
        <f aca="false">AD250*$AM$5*1000*O250</f>
        <v>0</v>
      </c>
      <c r="AN250" s="425" t="n">
        <f aca="false">(($AN$5*O250)/12)*$S$4</f>
        <v>196534.388497698</v>
      </c>
      <c r="AO250" s="425" t="n">
        <f aca="false">($AO$5*O250)/12</f>
        <v>42973.9916540157</v>
      </c>
      <c r="AP250" s="425" t="n">
        <v>0</v>
      </c>
      <c r="AQ250" s="433" t="n">
        <f aca="false">SUM(AK250:AP250)</f>
        <v>544623.720895225</v>
      </c>
      <c r="AR250" s="425" t="n">
        <f aca="false">($AR$5*O250)/12</f>
        <v>21486.9958270078</v>
      </c>
      <c r="AS250" s="433" t="n">
        <f aca="false">AS249</f>
        <v>30387.755</v>
      </c>
      <c r="AT250" s="425" t="n">
        <f aca="false">(AI250/100)*$AT$6*O250</f>
        <v>0</v>
      </c>
      <c r="AU250" s="433" t="n">
        <f aca="false">SUM(AJ250:AT250)-AQ250</f>
        <v>596498.471722233</v>
      </c>
      <c r="AV250" s="433" t="n">
        <f aca="false">AI250-AU250</f>
        <v>-596498.471722233</v>
      </c>
      <c r="AX250" s="423" t="n">
        <f aca="false">E250</f>
        <v>43922</v>
      </c>
      <c r="BA250" s="126"/>
      <c r="BB250" s="481" t="n">
        <f aca="false">X250</f>
        <v>31.3250007629395</v>
      </c>
      <c r="BC250" s="481" t="n">
        <f aca="false">'Curve Analysis - Base Case'!D242</f>
        <v>46.4856150219764</v>
      </c>
      <c r="BD250" s="479" t="n">
        <f aca="false">L250</f>
        <v>0.073799890656808</v>
      </c>
      <c r="BE250" s="479" t="n">
        <f aca="false">L250</f>
        <v>0.073799890656808</v>
      </c>
      <c r="BF250" s="489" t="n">
        <f aca="false">BF238</f>
        <v>0.0798737176406056</v>
      </c>
      <c r="BG250" s="425" t="n">
        <f aca="false">(AX250+15)-$K$1</f>
        <v>7348</v>
      </c>
      <c r="BH250" s="433" t="n">
        <f aca="false">AD250</f>
        <v>0</v>
      </c>
      <c r="BJ250" s="486" t="e">
        <f aca="false">EURO(BB250,BC250,BD250,BE250,BF250,BG250,1,0)*BH250</f>
        <v>#NAME?</v>
      </c>
      <c r="BK250" s="433" t="n">
        <f aca="false">(AI250-AJ250)*N250</f>
        <v>0</v>
      </c>
      <c r="BM250" s="433" t="e">
        <f aca="false">BJ250-BK250</f>
        <v>#NAME?</v>
      </c>
    </row>
    <row r="251" customFormat="false" ht="16.5" hidden="false" customHeight="false" outlineLevel="0" collapsed="false">
      <c r="A251" s="59" t="n">
        <f aca="false">A250+1</f>
        <v>245</v>
      </c>
      <c r="C251" s="59" t="n">
        <v>31</v>
      </c>
      <c r="D251" s="59" t="s">
        <v>29</v>
      </c>
      <c r="E251" s="125" t="n">
        <f aca="false">E250+C250</f>
        <v>43952</v>
      </c>
      <c r="F251" s="425" t="n">
        <f aca="false">F203</f>
        <v>21</v>
      </c>
      <c r="G251" s="433" t="n">
        <f aca="false">C251-F251</f>
        <v>10</v>
      </c>
      <c r="H251" s="433"/>
      <c r="I251" s="433"/>
      <c r="K251" s="423" t="n">
        <f aca="false">E251</f>
        <v>43952</v>
      </c>
      <c r="L251" s="490" t="n">
        <v>0.073788182619301</v>
      </c>
      <c r="M251" s="491" t="n">
        <v>0.064997311676437</v>
      </c>
      <c r="N251" s="480" t="n">
        <f aca="false">(1+L251/2)^(-2*((K251+$T$1)-$K$1)/365.25)</f>
        <v>0.23005729622688</v>
      </c>
      <c r="O251" s="127" t="n">
        <f aca="false">VLOOKUP(K251,Inflation!$B$8:$C$266,2)</f>
        <v>1.72278027283253</v>
      </c>
      <c r="P251" s="480"/>
      <c r="Q251" s="481" t="n">
        <f aca="false">VLOOKUP(K251,'Fuel Curve'!$B$11:$F$268,5)</f>
        <v>4.42672413793104</v>
      </c>
      <c r="R251" s="482" t="n">
        <f aca="false">VLOOKUP(K251,'Fuel Curve Simulation'!$B$12:$J$258,9)</f>
        <v>4.42672413793104</v>
      </c>
      <c r="S251" s="481" t="n">
        <f aca="false">(R251*$S$2)/1000</f>
        <v>42.4035905172414</v>
      </c>
      <c r="T251" s="483"/>
      <c r="V251" s="499" t="n">
        <f aca="false">V239</f>
        <v>39.325</v>
      </c>
      <c r="W251" s="128"/>
      <c r="X251" s="484" t="n">
        <f aca="false">'PJM Curve Simulation'!J251</f>
        <v>39.325</v>
      </c>
      <c r="Y251" s="489"/>
      <c r="AA251" s="59" t="n">
        <f aca="false">AA250</f>
        <v>315</v>
      </c>
      <c r="AB251" s="425" t="n">
        <f aca="false">AA251*F251*16</f>
        <v>105840</v>
      </c>
      <c r="AD251" s="485" t="n">
        <f aca="false">IF(V251&gt;S251+($AM$5*1000*O251),AA251*F251*16,0)</f>
        <v>0</v>
      </c>
      <c r="AF251" s="425" t="n">
        <v>0</v>
      </c>
      <c r="AG251" s="425" t="n">
        <v>0</v>
      </c>
      <c r="AH251" s="425" t="n">
        <f aca="false">X251*AD251</f>
        <v>0</v>
      </c>
      <c r="AI251" s="425" t="n">
        <f aca="false">SUM(AF251:AH251)</f>
        <v>0</v>
      </c>
      <c r="AJ251" s="425" t="n">
        <f aca="false">(AD251*1000*$S$2)/1000000*R251</f>
        <v>0</v>
      </c>
      <c r="AK251" s="425" t="n">
        <f aca="false">($AK$5*O251)/12</f>
        <v>86139.0136416267</v>
      </c>
      <c r="AL251" s="425" t="n">
        <f aca="false">($AL$5*O251)/12</f>
        <v>219654.484786148</v>
      </c>
      <c r="AM251" s="425" t="n">
        <f aca="false">AD251*$AM$5*1000*O251</f>
        <v>0</v>
      </c>
      <c r="AN251" s="425" t="n">
        <f aca="false">(($AN$5*O251)/12)*$S$4</f>
        <v>196971.211193853</v>
      </c>
      <c r="AO251" s="425" t="n">
        <f aca="false">($AO$5*O251)/12</f>
        <v>43069.5068208134</v>
      </c>
      <c r="AP251" s="425" t="n">
        <v>0</v>
      </c>
      <c r="AQ251" s="433" t="n">
        <f aca="false">SUM(AK251:AP251)</f>
        <v>545834.216442442</v>
      </c>
      <c r="AR251" s="425" t="n">
        <f aca="false">($AR$5*O251)/12</f>
        <v>21534.7534104067</v>
      </c>
      <c r="AS251" s="433" t="n">
        <f aca="false">AS250</f>
        <v>30387.755</v>
      </c>
      <c r="AT251" s="425" t="n">
        <f aca="false">(AI251/100)*$AT$6*O251</f>
        <v>0</v>
      </c>
      <c r="AU251" s="433" t="n">
        <f aca="false">SUM(AJ251:AT251)-AQ251</f>
        <v>597756.724852848</v>
      </c>
      <c r="AV251" s="433" t="n">
        <f aca="false">AI251-AU251</f>
        <v>-597756.724852848</v>
      </c>
      <c r="AX251" s="423" t="n">
        <f aca="false">E251</f>
        <v>43952</v>
      </c>
      <c r="BA251" s="126"/>
      <c r="BB251" s="481" t="n">
        <f aca="false">X251</f>
        <v>39.325</v>
      </c>
      <c r="BC251" s="481" t="n">
        <f aca="false">'Curve Analysis - Base Case'!D243</f>
        <v>45.8491510629065</v>
      </c>
      <c r="BD251" s="479" t="n">
        <f aca="false">L251</f>
        <v>0.073788182619301</v>
      </c>
      <c r="BE251" s="479" t="n">
        <f aca="false">L251</f>
        <v>0.073788182619301</v>
      </c>
      <c r="BF251" s="489" t="n">
        <f aca="false">BF239</f>
        <v>0.0882814773922483</v>
      </c>
      <c r="BG251" s="425" t="n">
        <f aca="false">(AX251+15)-$K$1</f>
        <v>7378</v>
      </c>
      <c r="BH251" s="433" t="n">
        <f aca="false">AD251</f>
        <v>0</v>
      </c>
      <c r="BJ251" s="486" t="e">
        <f aca="false">EURO(BB251,BC251,BD251,BE251,BF251,BG251,1,0)*BH251</f>
        <v>#NAME?</v>
      </c>
      <c r="BK251" s="433" t="n">
        <f aca="false">(AI251-AJ251)*N251</f>
        <v>0</v>
      </c>
      <c r="BM251" s="433" t="e">
        <f aca="false">BJ251-BK251</f>
        <v>#NAME?</v>
      </c>
    </row>
    <row r="252" customFormat="false" ht="16.5" hidden="false" customHeight="false" outlineLevel="0" collapsed="false">
      <c r="A252" s="59" t="n">
        <f aca="false">A251+1</f>
        <v>246</v>
      </c>
      <c r="C252" s="59" t="n">
        <v>30</v>
      </c>
      <c r="D252" s="59" t="s">
        <v>168</v>
      </c>
      <c r="E252" s="125" t="n">
        <f aca="false">E251+C251</f>
        <v>43983</v>
      </c>
      <c r="F252" s="425" t="n">
        <f aca="false">F204</f>
        <v>22</v>
      </c>
      <c r="G252" s="433" t="n">
        <f aca="false">C252-F252</f>
        <v>8</v>
      </c>
      <c r="H252" s="433"/>
      <c r="I252" s="433"/>
      <c r="K252" s="423" t="n">
        <f aca="false">E252</f>
        <v>43983</v>
      </c>
      <c r="L252" s="490" t="n">
        <v>0.073776084313925</v>
      </c>
      <c r="M252" s="491" t="n">
        <v>0.06500892395468</v>
      </c>
      <c r="N252" s="480" t="n">
        <f aca="false">(1+L252/2)^(-2*((K252+$T$1)-$K$1)/365.25)</f>
        <v>0.228701145128967</v>
      </c>
      <c r="O252" s="127" t="n">
        <f aca="false">VLOOKUP(K252,Inflation!$B$8:$C$266,2)</f>
        <v>1.72660937128911</v>
      </c>
      <c r="P252" s="480"/>
      <c r="Q252" s="481" t="n">
        <f aca="false">VLOOKUP(K252,'Fuel Curve'!$B$11:$F$268,5)</f>
        <v>4.42017241379311</v>
      </c>
      <c r="R252" s="482" t="n">
        <f aca="false">VLOOKUP(K252,'Fuel Curve Simulation'!$B$12:$J$258,9)</f>
        <v>4.42017241379311</v>
      </c>
      <c r="S252" s="481" t="n">
        <f aca="false">(R252*$S$2)/1000</f>
        <v>42.3408315517242</v>
      </c>
      <c r="T252" s="483"/>
      <c r="V252" s="499" t="n">
        <f aca="false">V240</f>
        <v>68.3499984741211</v>
      </c>
      <c r="W252" s="128"/>
      <c r="X252" s="484" t="n">
        <f aca="false">'PJM Curve Simulation'!J252</f>
        <v>68.3499984741211</v>
      </c>
      <c r="Y252" s="489"/>
      <c r="AA252" s="59" t="n">
        <f aca="false">AA251</f>
        <v>315</v>
      </c>
      <c r="AB252" s="425" t="n">
        <f aca="false">AA252*F252*16</f>
        <v>110880</v>
      </c>
      <c r="AD252" s="485" t="n">
        <f aca="false">IF(V252&gt;S252+($AM$5*1000*O252),AA252*F252*16,0)</f>
        <v>110880</v>
      </c>
      <c r="AF252" s="425" t="n">
        <v>0</v>
      </c>
      <c r="AG252" s="425" t="n">
        <v>0</v>
      </c>
      <c r="AH252" s="425" t="n">
        <f aca="false">X252*AD252</f>
        <v>7578647.83081055</v>
      </c>
      <c r="AI252" s="425" t="n">
        <f aca="false">SUM(AF252:AH252)</f>
        <v>7578647.83081055</v>
      </c>
      <c r="AJ252" s="425" t="n">
        <f aca="false">(AD252*1000*$S$2)/1000000*R252</f>
        <v>4694751.40245517</v>
      </c>
      <c r="AK252" s="425" t="n">
        <f aca="false">($AK$5*O252)/12</f>
        <v>86330.4685644556</v>
      </c>
      <c r="AL252" s="425" t="n">
        <f aca="false">($AL$5*O252)/12</f>
        <v>220142.694839362</v>
      </c>
      <c r="AM252" s="425" t="n">
        <f aca="false">AD252*$AM$5*1000*O252</f>
        <v>382892.894177074</v>
      </c>
      <c r="AN252" s="425" t="n">
        <f aca="false">(($AN$5*O252)/12)*$S$4</f>
        <v>197409.004784055</v>
      </c>
      <c r="AO252" s="425" t="n">
        <f aca="false">($AO$5*O252)/12</f>
        <v>43165.2342822278</v>
      </c>
      <c r="AP252" s="425" t="n">
        <v>0</v>
      </c>
      <c r="AQ252" s="433" t="n">
        <f aca="false">SUM(AK252:AP252)</f>
        <v>929940.296647174</v>
      </c>
      <c r="AR252" s="425" t="n">
        <f aca="false">($AR$5*O252)/12</f>
        <v>21582.6171411139</v>
      </c>
      <c r="AS252" s="433" t="n">
        <f aca="false">AS251</f>
        <v>30387.755</v>
      </c>
      <c r="AT252" s="425" t="n">
        <f aca="false">(AI252/100)*$AT$6*O252</f>
        <v>78512.1861982644</v>
      </c>
      <c r="AU252" s="433" t="n">
        <f aca="false">SUM(AJ252:AT252)-AQ252</f>
        <v>5755174.25744173</v>
      </c>
      <c r="AV252" s="433" t="n">
        <f aca="false">AI252-AU252</f>
        <v>1823473.57336882</v>
      </c>
      <c r="AX252" s="423" t="n">
        <f aca="false">E252</f>
        <v>43983</v>
      </c>
      <c r="BA252" s="126"/>
      <c r="BB252" s="481" t="n">
        <f aca="false">X252</f>
        <v>68.3499984741211</v>
      </c>
      <c r="BC252" s="481" t="n">
        <f aca="false">'Curve Analysis - Base Case'!D244</f>
        <v>45.7940502943024</v>
      </c>
      <c r="BD252" s="479" t="n">
        <f aca="false">L252</f>
        <v>0.073776084313925</v>
      </c>
      <c r="BE252" s="479" t="n">
        <f aca="false">L252</f>
        <v>0.073776084313925</v>
      </c>
      <c r="BF252" s="489" t="n">
        <f aca="false">BF240</f>
        <v>0.113504756647176</v>
      </c>
      <c r="BG252" s="425" t="n">
        <f aca="false">(AX252+15)-$K$1</f>
        <v>7409</v>
      </c>
      <c r="BH252" s="433" t="n">
        <f aca="false">AD252</f>
        <v>110880</v>
      </c>
      <c r="BJ252" s="486" t="e">
        <f aca="false">EURO(BB252,BC252,BD252,BE252,BF252,BG252,1,0)*BH252</f>
        <v>#NAME?</v>
      </c>
      <c r="BK252" s="433" t="n">
        <f aca="false">(AI252-AJ252)*N252</f>
        <v>659550.415598212</v>
      </c>
      <c r="BM252" s="433" t="e">
        <f aca="false">BJ252-BK252</f>
        <v>#NAME?</v>
      </c>
    </row>
    <row r="253" customFormat="false" ht="16.5" hidden="false" customHeight="false" outlineLevel="0" collapsed="false">
      <c r="A253" s="59" t="n">
        <f aca="false">A252+1</f>
        <v>247</v>
      </c>
      <c r="C253" s="59" t="n">
        <v>31</v>
      </c>
      <c r="D253" s="59" t="s">
        <v>169</v>
      </c>
      <c r="E253" s="125" t="n">
        <f aca="false">E252+C252</f>
        <v>44013</v>
      </c>
      <c r="F253" s="425" t="n">
        <f aca="false">F205</f>
        <v>22</v>
      </c>
      <c r="G253" s="433" t="n">
        <f aca="false">C253-F253</f>
        <v>9</v>
      </c>
      <c r="H253" s="433"/>
      <c r="I253" s="433"/>
      <c r="K253" s="423" t="n">
        <f aca="false">E253</f>
        <v>44013</v>
      </c>
      <c r="L253" s="490" t="n">
        <v>0.07376437627651</v>
      </c>
      <c r="M253" s="491" t="n">
        <v>0.065020161644196</v>
      </c>
      <c r="N253" s="480" t="n">
        <f aca="false">(1+L253/2)^(-2*((K253+$T$1)-$K$1)/365.25)</f>
        <v>0.227396782077709</v>
      </c>
      <c r="O253" s="127" t="n">
        <f aca="false">VLOOKUP(K253,Inflation!$B$8:$C$266,2)</f>
        <v>1.73044698040443</v>
      </c>
      <c r="P253" s="480"/>
      <c r="Q253" s="481" t="n">
        <f aca="false">VLOOKUP(K253,'Fuel Curve'!$B$11:$F$268,5)</f>
        <v>4.47741379310345</v>
      </c>
      <c r="R253" s="482" t="n">
        <f aca="false">VLOOKUP(K253,'Fuel Curve Simulation'!$B$12:$J$258,9)</f>
        <v>4.47741379310345</v>
      </c>
      <c r="S253" s="481" t="n">
        <f aca="false">(R253*$S$2)/1000</f>
        <v>42.8891467241379</v>
      </c>
      <c r="T253" s="483"/>
      <c r="V253" s="499" t="n">
        <f aca="false">V241</f>
        <v>124.949996948242</v>
      </c>
      <c r="W253" s="128"/>
      <c r="X253" s="484" t="n">
        <f aca="false">'PJM Curve Simulation'!J253</f>
        <v>124.949996948242</v>
      </c>
      <c r="Y253" s="489"/>
      <c r="AA253" s="59" t="n">
        <f aca="false">AA252</f>
        <v>315</v>
      </c>
      <c r="AB253" s="425" t="n">
        <f aca="false">AA253*F253*16</f>
        <v>110880</v>
      </c>
      <c r="AD253" s="485" t="n">
        <f aca="false">IF(V253&gt;S253+($AM$5*1000*O253),AA253*F253*16,0)</f>
        <v>110880</v>
      </c>
      <c r="AF253" s="425" t="n">
        <v>0</v>
      </c>
      <c r="AG253" s="425" t="n">
        <v>0</v>
      </c>
      <c r="AH253" s="425" t="n">
        <f aca="false">X253*AD253</f>
        <v>13854455.6616211</v>
      </c>
      <c r="AI253" s="425" t="n">
        <f aca="false">SUM(AF253:AH253)</f>
        <v>13854455.6616211</v>
      </c>
      <c r="AJ253" s="425" t="n">
        <f aca="false">(AD253*1000*$S$2)/1000000*R253</f>
        <v>4755548.58877241</v>
      </c>
      <c r="AK253" s="425" t="n">
        <f aca="false">($AK$5*O253)/12</f>
        <v>86522.3490202216</v>
      </c>
      <c r="AL253" s="425" t="n">
        <f aca="false">($AL$5*O253)/12</f>
        <v>220631.990001565</v>
      </c>
      <c r="AM253" s="425" t="n">
        <f aca="false">AD253*$AM$5*1000*O253</f>
        <v>383743.922374487</v>
      </c>
      <c r="AN253" s="425" t="n">
        <f aca="false">(($AN$5*O253)/12)*$S$4</f>
        <v>197847.77142624</v>
      </c>
      <c r="AO253" s="425" t="n">
        <f aca="false">($AO$5*O253)/12</f>
        <v>43261.1745101108</v>
      </c>
      <c r="AP253" s="425" t="n">
        <v>0</v>
      </c>
      <c r="AQ253" s="433" t="n">
        <f aca="false">SUM(AK253:AP253)</f>
        <v>932007.207332625</v>
      </c>
      <c r="AR253" s="425" t="n">
        <f aca="false">($AR$5*O253)/12</f>
        <v>21630.5872550554</v>
      </c>
      <c r="AS253" s="433" t="n">
        <f aca="false">AS252</f>
        <v>30387.755</v>
      </c>
      <c r="AT253" s="425" t="n">
        <f aca="false">(AI253/100)*$AT$6*O253</f>
        <v>143846.405788796</v>
      </c>
      <c r="AU253" s="433" t="n">
        <f aca="false">SUM(AJ253:AT253)-AQ253</f>
        <v>5883420.54414889</v>
      </c>
      <c r="AV253" s="433" t="n">
        <f aca="false">AI253-AU253</f>
        <v>7971035.1174722</v>
      </c>
      <c r="AX253" s="423" t="n">
        <f aca="false">E253</f>
        <v>44013</v>
      </c>
      <c r="BA253" s="126"/>
      <c r="BB253" s="481" t="n">
        <f aca="false">X253</f>
        <v>124.949996948242</v>
      </c>
      <c r="BC253" s="481" t="n">
        <f aca="false">'Curve Analysis - Base Case'!D245</f>
        <v>46.3500406849468</v>
      </c>
      <c r="BD253" s="479" t="n">
        <f aca="false">L253</f>
        <v>0.07376437627651</v>
      </c>
      <c r="BE253" s="479" t="n">
        <f aca="false">L253</f>
        <v>0.07376437627651</v>
      </c>
      <c r="BF253" s="489" t="n">
        <f aca="false">BF241</f>
        <v>0.138728035902104</v>
      </c>
      <c r="BG253" s="425" t="n">
        <f aca="false">(AX253+15)-$K$1</f>
        <v>7439</v>
      </c>
      <c r="BH253" s="433" t="n">
        <f aca="false">AD253</f>
        <v>110880</v>
      </c>
      <c r="BJ253" s="486" t="e">
        <f aca="false">EURO(BB253,BC253,BD253,BE253,BF253,BG253,1,0)*BH253</f>
        <v>#NAME?</v>
      </c>
      <c r="BK253" s="433" t="n">
        <f aca="false">(AI253-AJ253)*N253</f>
        <v>2069062.1887899</v>
      </c>
      <c r="BM253" s="433" t="e">
        <f aca="false">BJ253-BK253</f>
        <v>#NAME?</v>
      </c>
    </row>
    <row r="254" customFormat="false" ht="16.5" hidden="false" customHeight="false" outlineLevel="0" collapsed="false">
      <c r="A254" s="59" t="n">
        <f aca="false">A253+1</f>
        <v>248</v>
      </c>
      <c r="C254" s="59" t="n">
        <v>31</v>
      </c>
      <c r="D254" s="59" t="s">
        <v>170</v>
      </c>
      <c r="E254" s="125" t="n">
        <f aca="false">E253+C253</f>
        <v>44044</v>
      </c>
      <c r="F254" s="425" t="n">
        <f aca="false">F206</f>
        <v>22</v>
      </c>
      <c r="G254" s="433" t="n">
        <f aca="false">C254-F254</f>
        <v>9</v>
      </c>
      <c r="H254" s="433"/>
      <c r="I254" s="433"/>
      <c r="K254" s="423" t="n">
        <f aca="false">E254</f>
        <v>44044</v>
      </c>
      <c r="L254" s="490" t="n">
        <v>0.073752277971228</v>
      </c>
      <c r="M254" s="491" t="n">
        <v>0.065031773924286</v>
      </c>
      <c r="N254" s="480" t="n">
        <f aca="false">(1+L254/2)^(-2*((K254+$T$1)-$K$1)/365.25)</f>
        <v>0.226057195914463</v>
      </c>
      <c r="O254" s="127" t="n">
        <f aca="false">VLOOKUP(K254,Inflation!$B$8:$C$266,2)</f>
        <v>1.73429311909452</v>
      </c>
      <c r="P254" s="480"/>
      <c r="Q254" s="481" t="n">
        <f aca="false">VLOOKUP(K254,'Fuel Curve'!$B$11:$F$268,5)</f>
        <v>4.56793103448276</v>
      </c>
      <c r="R254" s="482" t="n">
        <f aca="false">VLOOKUP(K254,'Fuel Curve Simulation'!$B$12:$J$258,9)</f>
        <v>4.56793103448276</v>
      </c>
      <c r="S254" s="481" t="n">
        <f aca="false">(R254*$S$2)/1000</f>
        <v>43.7562113793104</v>
      </c>
      <c r="T254" s="483"/>
      <c r="V254" s="499" t="n">
        <f aca="false">V242</f>
        <v>109.699996948242</v>
      </c>
      <c r="W254" s="128"/>
      <c r="X254" s="484" t="n">
        <f aca="false">'PJM Curve Simulation'!J254</f>
        <v>111.949996948242</v>
      </c>
      <c r="Y254" s="489"/>
      <c r="AA254" s="59" t="n">
        <f aca="false">AA253</f>
        <v>315</v>
      </c>
      <c r="AB254" s="425" t="n">
        <f aca="false">AA254*F254*16</f>
        <v>110880</v>
      </c>
      <c r="AD254" s="485" t="n">
        <f aca="false">IF(V254&gt;S254+($AM$5*1000*O254),AA254*F254*16,0)</f>
        <v>110880</v>
      </c>
      <c r="AF254" s="425" t="n">
        <v>0</v>
      </c>
      <c r="AG254" s="425" t="n">
        <v>0</v>
      </c>
      <c r="AH254" s="425" t="n">
        <f aca="false">X254*AD254</f>
        <v>12413015.6616211</v>
      </c>
      <c r="AI254" s="425" t="n">
        <f aca="false">SUM(AF254:AH254)</f>
        <v>12413015.6616211</v>
      </c>
      <c r="AJ254" s="425" t="n">
        <f aca="false">(AD254*1000*$S$2)/1000000*R254</f>
        <v>4851688.71773793</v>
      </c>
      <c r="AK254" s="425" t="n">
        <f aca="false">($AK$5*O254)/12</f>
        <v>86714.6559547259</v>
      </c>
      <c r="AL254" s="425" t="n">
        <f aca="false">($AL$5*O254)/12</f>
        <v>221122.372684551</v>
      </c>
      <c r="AM254" s="425" t="n">
        <f aca="false">AD254*$AM$5*1000*O254</f>
        <v>384596.8420904</v>
      </c>
      <c r="AN254" s="425" t="n">
        <f aca="false">(($AN$5*O254)/12)*$S$4</f>
        <v>198287.51328314</v>
      </c>
      <c r="AO254" s="425" t="n">
        <f aca="false">($AO$5*O254)/12</f>
        <v>43357.3279773629</v>
      </c>
      <c r="AP254" s="425" t="n">
        <v>0</v>
      </c>
      <c r="AQ254" s="433" t="n">
        <f aca="false">SUM(AK254:AP254)</f>
        <v>934078.71199018</v>
      </c>
      <c r="AR254" s="425" t="n">
        <f aca="false">($AR$5*O254)/12</f>
        <v>21678.6639886815</v>
      </c>
      <c r="AS254" s="433" t="n">
        <f aca="false">AS253</f>
        <v>30387.755</v>
      </c>
      <c r="AT254" s="425" t="n">
        <f aca="false">(AI254/100)*$AT$6*O254</f>
        <v>129166.845894972</v>
      </c>
      <c r="AU254" s="433" t="n">
        <f aca="false">SUM(AJ254:AT254)-AQ254</f>
        <v>5967000.69461176</v>
      </c>
      <c r="AV254" s="433" t="n">
        <f aca="false">AI254-AU254</f>
        <v>6446014.96700933</v>
      </c>
      <c r="AX254" s="423" t="n">
        <f aca="false">E254</f>
        <v>44044</v>
      </c>
      <c r="BA254" s="126"/>
      <c r="BB254" s="481" t="n">
        <f aca="false">X254</f>
        <v>111.949996948242</v>
      </c>
      <c r="BC254" s="481" t="n">
        <f aca="false">'Curve Analysis - Base Case'!D246</f>
        <v>47.2247976174994</v>
      </c>
      <c r="BD254" s="479" t="n">
        <f aca="false">L254</f>
        <v>0.073752277971228</v>
      </c>
      <c r="BE254" s="479" t="n">
        <f aca="false">L254</f>
        <v>0.073752277971228</v>
      </c>
      <c r="BF254" s="489" t="n">
        <f aca="false">BF242</f>
        <v>0.138728035902104</v>
      </c>
      <c r="BG254" s="425" t="n">
        <f aca="false">(AX254+15)-$K$1</f>
        <v>7470</v>
      </c>
      <c r="BH254" s="433" t="n">
        <f aca="false">AD254</f>
        <v>110880</v>
      </c>
      <c r="BJ254" s="486" t="e">
        <f aca="false">EURO(BB254,BC254,BD254,BE254,BF254,BG254,1,0)*BH254</f>
        <v>#NAME?</v>
      </c>
      <c r="BK254" s="433" t="n">
        <f aca="false">(AI254-AJ254)*N254</f>
        <v>1709292.3663267</v>
      </c>
      <c r="BM254" s="433" t="e">
        <f aca="false">BJ254-BK254</f>
        <v>#NAME?</v>
      </c>
    </row>
    <row r="255" customFormat="false" ht="16.5" hidden="false" customHeight="false" outlineLevel="0" collapsed="false">
      <c r="A255" s="59" t="n">
        <f aca="false">A254+1</f>
        <v>249</v>
      </c>
      <c r="C255" s="59" t="n">
        <v>30</v>
      </c>
      <c r="D255" s="59" t="s">
        <v>171</v>
      </c>
      <c r="E255" s="125" t="n">
        <f aca="false">E254+C254</f>
        <v>44075</v>
      </c>
      <c r="F255" s="425" t="n">
        <f aca="false">F207</f>
        <v>22</v>
      </c>
      <c r="G255" s="433" t="n">
        <f aca="false">C255-F255</f>
        <v>8</v>
      </c>
      <c r="H255" s="433"/>
      <c r="I255" s="433"/>
      <c r="K255" s="423" t="n">
        <f aca="false">E255</f>
        <v>44075</v>
      </c>
      <c r="L255" s="490" t="n">
        <v>0.073740179666</v>
      </c>
      <c r="M255" s="491" t="n">
        <v>0.065002176191765</v>
      </c>
      <c r="N255" s="480" t="n">
        <f aca="false">(1+L255/2)^(-2*((K255+$T$1)-$K$1)/365.25)</f>
        <v>0.224725946612535</v>
      </c>
      <c r="O255" s="127" t="n">
        <f aca="false">VLOOKUP(K255,Inflation!$B$8:$C$266,2)</f>
        <v>1.73814780631743</v>
      </c>
      <c r="P255" s="480"/>
      <c r="Q255" s="481" t="n">
        <f aca="false">VLOOKUP(K255,'Fuel Curve'!$B$11:$F$268,5)</f>
        <v>4.66275862068966</v>
      </c>
      <c r="R255" s="482" t="n">
        <f aca="false">VLOOKUP(K255,'Fuel Curve Simulation'!$B$12:$J$258,9)</f>
        <v>4.66275862068966</v>
      </c>
      <c r="S255" s="481" t="n">
        <f aca="false">(R255*$S$2)/1000</f>
        <v>44.6645648275862</v>
      </c>
      <c r="T255" s="483"/>
      <c r="V255" s="499" t="n">
        <f aca="false">V243</f>
        <v>39.9249984741211</v>
      </c>
      <c r="W255" s="128"/>
      <c r="X255" s="484" t="n">
        <f aca="false">'PJM Curve Simulation'!J255</f>
        <v>39.9249984741211</v>
      </c>
      <c r="Y255" s="489"/>
      <c r="AA255" s="59" t="n">
        <f aca="false">AA254</f>
        <v>315</v>
      </c>
      <c r="AB255" s="425" t="n">
        <f aca="false">AA255*F255*16</f>
        <v>110880</v>
      </c>
      <c r="AD255" s="485" t="n">
        <f aca="false">IF(V255&gt;S255+($AM$5*1000*O255),AA255*F255*16,0)</f>
        <v>0</v>
      </c>
      <c r="AF255" s="425" t="n">
        <v>0</v>
      </c>
      <c r="AG255" s="425" t="n">
        <v>0</v>
      </c>
      <c r="AH255" s="425" t="n">
        <f aca="false">X255*AD255</f>
        <v>0</v>
      </c>
      <c r="AI255" s="425" t="n">
        <f aca="false">SUM(AF255:AH255)</f>
        <v>0</v>
      </c>
      <c r="AJ255" s="425" t="n">
        <f aca="false">(AD255*1000*$S$2)/1000000*R255</f>
        <v>0</v>
      </c>
      <c r="AK255" s="425" t="n">
        <f aca="false">($AK$5*O255)/12</f>
        <v>86907.3903158716</v>
      </c>
      <c r="AL255" s="425" t="n">
        <f aca="false">($AL$5*O255)/12</f>
        <v>221613.845305473</v>
      </c>
      <c r="AM255" s="425" t="n">
        <f aca="false">AD255*$AM$5*1000*O255</f>
        <v>0</v>
      </c>
      <c r="AN255" s="425" t="n">
        <f aca="false">(($AN$5*O255)/12)*$S$4</f>
        <v>198728.232522293</v>
      </c>
      <c r="AO255" s="425" t="n">
        <f aca="false">($AO$5*O255)/12</f>
        <v>43453.6951579358</v>
      </c>
      <c r="AP255" s="425" t="n">
        <v>0</v>
      </c>
      <c r="AQ255" s="433" t="n">
        <f aca="false">SUM(AK255:AP255)</f>
        <v>550703.163301573</v>
      </c>
      <c r="AR255" s="425" t="n">
        <f aca="false">($AR$5*O255)/12</f>
        <v>21726.8475789679</v>
      </c>
      <c r="AS255" s="433" t="n">
        <f aca="false">AS254</f>
        <v>30387.755</v>
      </c>
      <c r="AT255" s="425" t="n">
        <f aca="false">(AI255/100)*$AT$6*O255</f>
        <v>0</v>
      </c>
      <c r="AU255" s="433" t="n">
        <f aca="false">SUM(AJ255:AT255)-AQ255</f>
        <v>602817.765880541</v>
      </c>
      <c r="AV255" s="433" t="n">
        <f aca="false">AI255-AU255</f>
        <v>-602817.765880541</v>
      </c>
      <c r="AX255" s="423" t="n">
        <f aca="false">E255</f>
        <v>44075</v>
      </c>
      <c r="BA255" s="126"/>
      <c r="BB255" s="481" t="n">
        <f aca="false">X255</f>
        <v>39.9249984741211</v>
      </c>
      <c r="BC255" s="481" t="n">
        <f aca="false">'Curve Analysis - Base Case'!D247</f>
        <v>48.1408604402211</v>
      </c>
      <c r="BD255" s="479" t="n">
        <f aca="false">L255</f>
        <v>0.073740179666</v>
      </c>
      <c r="BE255" s="479" t="n">
        <f aca="false">L255</f>
        <v>0.073740179666</v>
      </c>
      <c r="BF255" s="489" t="n">
        <f aca="false">BF243</f>
        <v>0.0928887598824161</v>
      </c>
      <c r="BG255" s="425" t="n">
        <f aca="false">(AX255+15)-$K$1</f>
        <v>7501</v>
      </c>
      <c r="BH255" s="433" t="n">
        <f aca="false">AD255</f>
        <v>0</v>
      </c>
      <c r="BJ255" s="486" t="e">
        <f aca="false">EURO(BB255,BC255,BD255,BE255,BF255,BG255,1,0)*BH255</f>
        <v>#NAME?</v>
      </c>
      <c r="BK255" s="433" t="n">
        <f aca="false">(AI255-AJ255)*N255</f>
        <v>0</v>
      </c>
      <c r="BM255" s="433" t="e">
        <f aca="false">BJ255-BK255</f>
        <v>#NAME?</v>
      </c>
    </row>
    <row r="256" customFormat="false" ht="16.5" hidden="false" customHeight="false" outlineLevel="0" collapsed="false">
      <c r="A256" s="59" t="n">
        <f aca="false">A255+1</f>
        <v>250</v>
      </c>
      <c r="C256" s="59" t="n">
        <v>31</v>
      </c>
      <c r="D256" s="59" t="s">
        <v>172</v>
      </c>
      <c r="E256" s="125" t="n">
        <f aca="false">E255+C255</f>
        <v>44105</v>
      </c>
      <c r="F256" s="425" t="n">
        <f aca="false">F208</f>
        <v>21</v>
      </c>
      <c r="G256" s="433" t="n">
        <f aca="false">C256-F256</f>
        <v>10</v>
      </c>
      <c r="H256" s="433"/>
      <c r="I256" s="433"/>
      <c r="K256" s="423" t="n">
        <f aca="false">E256</f>
        <v>44105</v>
      </c>
      <c r="L256" s="490" t="n">
        <v>0.073728471628718</v>
      </c>
      <c r="M256" s="491" t="n">
        <v>0.064940690350579</v>
      </c>
      <c r="N256" s="480" t="n">
        <f aca="false">(1+L256/2)^(-2*((K256+$T$1)-$K$1)/365.25)</f>
        <v>0.22344552744093</v>
      </c>
      <c r="O256" s="127" t="n">
        <f aca="false">VLOOKUP(K256,Inflation!$B$8:$C$266,2)</f>
        <v>1.74201106107338</v>
      </c>
      <c r="P256" s="480"/>
      <c r="Q256" s="481" t="n">
        <f aca="false">VLOOKUP(K256,'Fuel Curve'!$B$11:$F$268,5)</f>
        <v>4.75534482758621</v>
      </c>
      <c r="R256" s="482" t="n">
        <f aca="false">VLOOKUP(K256,'Fuel Curve Simulation'!$B$12:$J$258,9)</f>
        <v>4.75534482758621</v>
      </c>
      <c r="S256" s="481" t="n">
        <f aca="false">(R256*$S$2)/1000</f>
        <v>45.5514481034483</v>
      </c>
      <c r="T256" s="483"/>
      <c r="V256" s="499" t="n">
        <f aca="false">V244</f>
        <v>31.8250003814697</v>
      </c>
      <c r="W256" s="128"/>
      <c r="X256" s="484" t="n">
        <f aca="false">'PJM Curve Simulation'!J256</f>
        <v>31.8250003814697</v>
      </c>
      <c r="Y256" s="489"/>
      <c r="AA256" s="59" t="n">
        <f aca="false">AA255</f>
        <v>315</v>
      </c>
      <c r="AB256" s="425" t="n">
        <f aca="false">AA256*F256*16</f>
        <v>105840</v>
      </c>
      <c r="AD256" s="485" t="n">
        <f aca="false">IF(V256&gt;S256+($AM$5*1000*O256),AA256*F256*16,0)</f>
        <v>0</v>
      </c>
      <c r="AF256" s="425" t="n">
        <v>0</v>
      </c>
      <c r="AG256" s="425" t="n">
        <v>0</v>
      </c>
      <c r="AH256" s="425" t="n">
        <f aca="false">X256*AD256</f>
        <v>0</v>
      </c>
      <c r="AI256" s="425" t="n">
        <f aca="false">SUM(AF256:AH256)</f>
        <v>0</v>
      </c>
      <c r="AJ256" s="425" t="n">
        <f aca="false">(AD256*1000*$S$2)/1000000*R256</f>
        <v>0</v>
      </c>
      <c r="AK256" s="425" t="n">
        <f aca="false">($AK$5*O256)/12</f>
        <v>87100.553053669</v>
      </c>
      <c r="AL256" s="425" t="n">
        <f aca="false">($AL$5*O256)/12</f>
        <v>222106.410286856</v>
      </c>
      <c r="AM256" s="425" t="n">
        <f aca="false">AD256*$AM$5*1000*O256</f>
        <v>0</v>
      </c>
      <c r="AN256" s="425" t="n">
        <f aca="false">(($AN$5*O256)/12)*$S$4</f>
        <v>199169.931316057</v>
      </c>
      <c r="AO256" s="425" t="n">
        <f aca="false">($AO$5*O256)/12</f>
        <v>43550.2765268345</v>
      </c>
      <c r="AP256" s="425" t="n">
        <v>0</v>
      </c>
      <c r="AQ256" s="433" t="n">
        <f aca="false">SUM(AK256:AP256)</f>
        <v>551927.171183416</v>
      </c>
      <c r="AR256" s="425" t="n">
        <f aca="false">($AR$5*O256)/12</f>
        <v>21775.1382634173</v>
      </c>
      <c r="AS256" s="433" t="n">
        <f aca="false">AS255</f>
        <v>30387.755</v>
      </c>
      <c r="AT256" s="425" t="n">
        <f aca="false">(AI256/100)*$AT$6*O256</f>
        <v>0</v>
      </c>
      <c r="AU256" s="433" t="n">
        <f aca="false">SUM(AJ256:AT256)-AQ256</f>
        <v>604090.064446833</v>
      </c>
      <c r="AV256" s="433" t="n">
        <f aca="false">AI256-AU256</f>
        <v>-604090.064446833</v>
      </c>
      <c r="AX256" s="423" t="n">
        <f aca="false">E256</f>
        <v>44105</v>
      </c>
      <c r="BA256" s="126"/>
      <c r="BB256" s="481" t="n">
        <f aca="false">X256</f>
        <v>31.8250003814697</v>
      </c>
      <c r="BC256" s="481" t="n">
        <f aca="false">'Curve Analysis - Base Case'!D248</f>
        <v>49.035470225595</v>
      </c>
      <c r="BD256" s="479" t="n">
        <f aca="false">L256</f>
        <v>0.073728471628718</v>
      </c>
      <c r="BE256" s="479" t="n">
        <f aca="false">L256</f>
        <v>0.073728471628718</v>
      </c>
      <c r="BF256" s="489" t="n">
        <f aca="false">BF244</f>
        <v>0.0656856230597085</v>
      </c>
      <c r="BG256" s="425" t="n">
        <f aca="false">(AX256+15)-$K$1</f>
        <v>7531</v>
      </c>
      <c r="BH256" s="433" t="n">
        <f aca="false">AD256</f>
        <v>0</v>
      </c>
      <c r="BJ256" s="486" t="e">
        <f aca="false">EURO(BB256,BC256,BD256,BE256,BF256,BG256,1,0)*BH256</f>
        <v>#NAME?</v>
      </c>
      <c r="BK256" s="433" t="n">
        <f aca="false">(AI256-AJ256)*N256</f>
        <v>0</v>
      </c>
      <c r="BM256" s="433" t="e">
        <f aca="false">BJ256-BK256</f>
        <v>#NAME?</v>
      </c>
    </row>
    <row r="257" customFormat="false" ht="16.5" hidden="false" customHeight="false" outlineLevel="0" collapsed="false">
      <c r="A257" s="59" t="n">
        <f aca="false">A256+1</f>
        <v>251</v>
      </c>
      <c r="C257" s="59" t="n">
        <v>30</v>
      </c>
      <c r="D257" s="59" t="s">
        <v>173</v>
      </c>
      <c r="E257" s="125" t="n">
        <f aca="false">E256+C256</f>
        <v>44136</v>
      </c>
      <c r="F257" s="425" t="n">
        <f aca="false">F209</f>
        <v>22</v>
      </c>
      <c r="G257" s="433" t="n">
        <f aca="false">C257-F257</f>
        <v>8</v>
      </c>
      <c r="H257" s="433"/>
      <c r="I257" s="433"/>
      <c r="K257" s="423" t="n">
        <f aca="false">E257</f>
        <v>44136</v>
      </c>
      <c r="L257" s="490" t="n">
        <v>0.07371637332358</v>
      </c>
      <c r="M257" s="491" t="n">
        <v>0.064877155009</v>
      </c>
      <c r="N257" s="480" t="n">
        <f aca="false">(1+L257/2)^(-2*((K257+$T$1)-$K$1)/365.25)</f>
        <v>0.222130524573187</v>
      </c>
      <c r="O257" s="127" t="n">
        <f aca="false">VLOOKUP(K257,Inflation!$B$8:$C$266,2)</f>
        <v>1.74588290240479</v>
      </c>
      <c r="P257" s="480"/>
      <c r="Q257" s="481" t="n">
        <f aca="false">VLOOKUP(K257,'Fuel Curve'!$B$11:$F$268,5)</f>
        <v>4.80465517241379</v>
      </c>
      <c r="R257" s="482" t="n">
        <f aca="false">VLOOKUP(K257,'Fuel Curve Simulation'!$B$12:$J$258,9)</f>
        <v>4.80465517241379</v>
      </c>
      <c r="S257" s="481" t="n">
        <f aca="false">(R257*$S$2)/1000</f>
        <v>46.0237918965517</v>
      </c>
      <c r="T257" s="483"/>
      <c r="V257" s="499" t="n">
        <f aca="false">V245</f>
        <v>31.4974990844727</v>
      </c>
      <c r="W257" s="128"/>
      <c r="X257" s="484" t="n">
        <f aca="false">'PJM Curve Simulation'!J257</f>
        <v>31.4974990844727</v>
      </c>
      <c r="Y257" s="489"/>
      <c r="AA257" s="59" t="n">
        <f aca="false">AA256</f>
        <v>315</v>
      </c>
      <c r="AB257" s="425" t="n">
        <f aca="false">AA257*F257*16</f>
        <v>110880</v>
      </c>
      <c r="AD257" s="485" t="n">
        <f aca="false">IF(V257&gt;S257+($AM$5*1000*O257),AA257*F257*16,0)</f>
        <v>0</v>
      </c>
      <c r="AF257" s="425" t="n">
        <v>0</v>
      </c>
      <c r="AG257" s="425" t="n">
        <v>0</v>
      </c>
      <c r="AH257" s="425" t="n">
        <f aca="false">X257*AD257</f>
        <v>0</v>
      </c>
      <c r="AI257" s="425" t="n">
        <f aca="false">SUM(AF257:AH257)</f>
        <v>0</v>
      </c>
      <c r="AJ257" s="425" t="n">
        <f aca="false">(AD257*1000*$S$2)/1000000*R257</f>
        <v>0</v>
      </c>
      <c r="AK257" s="425" t="n">
        <f aca="false">($AK$5*O257)/12</f>
        <v>87294.1451202397</v>
      </c>
      <c r="AL257" s="425" t="n">
        <f aca="false">($AL$5*O257)/12</f>
        <v>222600.070056611</v>
      </c>
      <c r="AM257" s="425" t="n">
        <f aca="false">AD257*$AM$5*1000*O257</f>
        <v>0</v>
      </c>
      <c r="AN257" s="425" t="n">
        <f aca="false">(($AN$5*O257)/12)*$S$4</f>
        <v>199612.611841615</v>
      </c>
      <c r="AO257" s="425" t="n">
        <f aca="false">($AO$5*O257)/12</f>
        <v>43647.0725601199</v>
      </c>
      <c r="AP257" s="425" t="n">
        <v>0</v>
      </c>
      <c r="AQ257" s="433" t="n">
        <f aca="false">SUM(AK257:AP257)</f>
        <v>553153.899578586</v>
      </c>
      <c r="AR257" s="425" t="n">
        <f aca="false">($AR$5*O257)/12</f>
        <v>21823.5362800599</v>
      </c>
      <c r="AS257" s="433" t="n">
        <f aca="false">AS256</f>
        <v>30387.755</v>
      </c>
      <c r="AT257" s="425" t="n">
        <f aca="false">(AI257/100)*$AT$6*O257</f>
        <v>0</v>
      </c>
      <c r="AU257" s="433" t="n">
        <f aca="false">SUM(AJ257:AT257)-AQ257</f>
        <v>605365.190858646</v>
      </c>
      <c r="AV257" s="433" t="n">
        <f aca="false">AI257-AU257</f>
        <v>-605365.190858646</v>
      </c>
      <c r="AX257" s="423" t="n">
        <f aca="false">E257</f>
        <v>44136</v>
      </c>
      <c r="BA257" s="126"/>
      <c r="BB257" s="481" t="n">
        <f aca="false">X257</f>
        <v>31.4974990844727</v>
      </c>
      <c r="BC257" s="481" t="n">
        <f aca="false">'Curve Analysis - Base Case'!D249</f>
        <v>49.5155577013613</v>
      </c>
      <c r="BD257" s="479" t="n">
        <f aca="false">L257</f>
        <v>0.07371637332358</v>
      </c>
      <c r="BE257" s="479" t="n">
        <f aca="false">L257</f>
        <v>0.07371637332358</v>
      </c>
      <c r="BF257" s="489" t="n">
        <f aca="false">BF245</f>
        <v>0.0656856230597085</v>
      </c>
      <c r="BG257" s="425" t="n">
        <f aca="false">(AX257+15)-$K$1</f>
        <v>7562</v>
      </c>
      <c r="BH257" s="433" t="n">
        <f aca="false">AD257</f>
        <v>0</v>
      </c>
      <c r="BJ257" s="486" t="e">
        <f aca="false">EURO(BB257,BC257,BD257,BE257,BF257,BG257,1,0)*BH257</f>
        <v>#NAME?</v>
      </c>
      <c r="BK257" s="433" t="n">
        <f aca="false">(AI257-AJ257)*N257</f>
        <v>0</v>
      </c>
      <c r="BM257" s="433" t="e">
        <f aca="false">BJ257-BK257</f>
        <v>#NAME?</v>
      </c>
    </row>
    <row r="258" customFormat="false" ht="17.25" hidden="false" customHeight="false" outlineLevel="0" collapsed="false">
      <c r="A258" s="59" t="n">
        <f aca="false">A257+1</f>
        <v>252</v>
      </c>
      <c r="C258" s="59" t="n">
        <v>31</v>
      </c>
      <c r="D258" s="59" t="s">
        <v>174</v>
      </c>
      <c r="E258" s="125" t="n">
        <f aca="false">E257+C257</f>
        <v>44166</v>
      </c>
      <c r="F258" s="425" t="n">
        <f aca="false">F210</f>
        <v>23</v>
      </c>
      <c r="G258" s="433" t="n">
        <f aca="false">C258-F258</f>
        <v>8</v>
      </c>
      <c r="H258" s="433" t="n">
        <f aca="false">SUM(F247:G258)</f>
        <v>366</v>
      </c>
      <c r="I258" s="433"/>
      <c r="K258" s="423" t="n">
        <f aca="false">E258</f>
        <v>44166</v>
      </c>
      <c r="L258" s="503" t="n">
        <v>0.073704665286396</v>
      </c>
      <c r="M258" s="504" t="n">
        <v>0.064815669221322</v>
      </c>
      <c r="N258" s="480" t="n">
        <f aca="false">(1+L258/2)^(-2*((K258+$T$1)-$K$1)/365.25)</f>
        <v>0.22086572693959</v>
      </c>
      <c r="O258" s="127" t="n">
        <f aca="false">VLOOKUP(K258,Inflation!$B$8:$C$266,2)</f>
        <v>1.74976334939643</v>
      </c>
      <c r="P258" s="480"/>
      <c r="Q258" s="481" t="n">
        <f aca="false">VLOOKUP(K258,'Fuel Curve'!$B$11:$F$268,5)</f>
        <v>4.84741379310345</v>
      </c>
      <c r="R258" s="505" t="n">
        <f aca="false">VLOOKUP(K258,'Fuel Curve Simulation'!$B$12:$J$258,9)</f>
        <v>4.84741379310345</v>
      </c>
      <c r="S258" s="481" t="n">
        <f aca="false">(R258*$S$2)/1000</f>
        <v>46.4333767241379</v>
      </c>
      <c r="T258" s="483"/>
      <c r="V258" s="506" t="n">
        <f aca="false">V246</f>
        <v>33.2499996185303</v>
      </c>
      <c r="W258" s="128"/>
      <c r="X258" s="507" t="n">
        <f aca="false">'PJM Curve Simulation'!J258</f>
        <v>33.2499996185303</v>
      </c>
      <c r="Y258" s="489"/>
      <c r="AA258" s="59" t="n">
        <f aca="false">AA257</f>
        <v>315</v>
      </c>
      <c r="AB258" s="425" t="n">
        <f aca="false">AA258*F258*16</f>
        <v>115920</v>
      </c>
      <c r="AD258" s="508" t="n">
        <f aca="false">IF(V258&gt;S258+($AM$5*1000*O258),AA258*F258*16,0)</f>
        <v>0</v>
      </c>
      <c r="AF258" s="425" t="n">
        <v>0</v>
      </c>
      <c r="AG258" s="425" t="n">
        <v>0</v>
      </c>
      <c r="AH258" s="425" t="n">
        <f aca="false">X258*AD258</f>
        <v>0</v>
      </c>
      <c r="AI258" s="425" t="n">
        <f aca="false">SUM(AF258:AH258)</f>
        <v>0</v>
      </c>
      <c r="AJ258" s="425" t="n">
        <f aca="false">(AD258*1000*$S$2)/1000000*R258</f>
        <v>0</v>
      </c>
      <c r="AK258" s="425" t="n">
        <f aca="false">($AK$5*O258)/12</f>
        <v>87488.1674698215</v>
      </c>
      <c r="AL258" s="425" t="n">
        <f aca="false">($AL$5*O258)/12</f>
        <v>223094.827048045</v>
      </c>
      <c r="AM258" s="425" t="n">
        <f aca="false">AD258*$AM$5*1000*O258</f>
        <v>0</v>
      </c>
      <c r="AN258" s="425" t="n">
        <f aca="false">(($AN$5*O258)/12)*$S$4</f>
        <v>200056.276280992</v>
      </c>
      <c r="AO258" s="425" t="n">
        <f aca="false">($AO$5*O258)/12</f>
        <v>43744.0837349108</v>
      </c>
      <c r="AP258" s="425" t="n">
        <v>0</v>
      </c>
      <c r="AQ258" s="433" t="n">
        <f aca="false">SUM(AK258:AP258)</f>
        <v>554383.354533769</v>
      </c>
      <c r="AR258" s="425" t="n">
        <f aca="false">($AR$5*O258)/12</f>
        <v>21872.0418674554</v>
      </c>
      <c r="AS258" s="433" t="n">
        <f aca="false">AS257</f>
        <v>30387.755</v>
      </c>
      <c r="AT258" s="425" t="n">
        <f aca="false">(AI258/100)*$AT$6*O258</f>
        <v>0</v>
      </c>
      <c r="AU258" s="433" t="n">
        <f aca="false">SUM(AJ258:AT258)-AQ258</f>
        <v>606643.151401224</v>
      </c>
      <c r="AV258" s="433" t="n">
        <f aca="false">AI258-AU258</f>
        <v>-606643.151401224</v>
      </c>
      <c r="AX258" s="423" t="n">
        <f aca="false">E258</f>
        <v>44166</v>
      </c>
      <c r="AY258" s="500" t="n">
        <f aca="false">'Debt Amortization'!AB8</f>
        <v>11687152.7835558</v>
      </c>
      <c r="AZ258" s="500" t="n">
        <f aca="false">AY258*N258</f>
        <v>2581291.49539409</v>
      </c>
      <c r="BA258" s="126"/>
      <c r="BB258" s="481" t="n">
        <f aca="false">X258</f>
        <v>33.2499996185303</v>
      </c>
      <c r="BC258" s="481" t="n">
        <f aca="false">'Curve Analysis - Base Case'!D250</f>
        <v>49.9329034229308</v>
      </c>
      <c r="BD258" s="479" t="n">
        <f aca="false">L258</f>
        <v>0.073704665286396</v>
      </c>
      <c r="BE258" s="479" t="n">
        <f aca="false">L258</f>
        <v>0.073704665286396</v>
      </c>
      <c r="BF258" s="489" t="n">
        <f aca="false">BF246</f>
        <v>0.0656856230597085</v>
      </c>
      <c r="BG258" s="425" t="n">
        <f aca="false">(AX258+15)-$K$1</f>
        <v>7592</v>
      </c>
      <c r="BH258" s="433" t="n">
        <f aca="false">AD258</f>
        <v>0</v>
      </c>
      <c r="BJ258" s="486" t="e">
        <f aca="false">EURO(BB258,BC258,BD258,BE258,BF258,BG258,1,0)*BH258</f>
        <v>#NAME?</v>
      </c>
      <c r="BK258" s="433" t="n">
        <f aca="false">(AI258-AJ258)*N258</f>
        <v>0</v>
      </c>
      <c r="BM258" s="433" t="e">
        <f aca="false">BJ258-BK258</f>
        <v>#NAME?</v>
      </c>
    </row>
    <row r="259" customFormat="false" ht="16.5" hidden="false" customHeight="false" outlineLevel="0" collapsed="false">
      <c r="A259" s="59" t="n">
        <f aca="false">A258+1</f>
        <v>253</v>
      </c>
      <c r="C259" s="59" t="n">
        <v>31</v>
      </c>
      <c r="D259" s="59" t="s">
        <v>164</v>
      </c>
      <c r="E259" s="125" t="n">
        <f aca="false">E258+C258</f>
        <v>44197</v>
      </c>
      <c r="F259" s="425" t="n">
        <f aca="false">F211</f>
        <v>23</v>
      </c>
      <c r="G259" s="433" t="n">
        <f aca="false">C259-F259</f>
        <v>8</v>
      </c>
      <c r="H259" s="433"/>
      <c r="I259" s="433"/>
      <c r="K259" s="423" t="n">
        <f aca="false">E259</f>
        <v>44197</v>
      </c>
      <c r="L259" s="479" t="n">
        <v>0.073692566981353</v>
      </c>
      <c r="M259" s="479" t="n">
        <v>0.064752133935037</v>
      </c>
      <c r="N259" s="480" t="n">
        <f aca="false">(1+L259/2)^(-2*((K259+$T$1)-$K$1)/365.25)</f>
        <v>0.219566762849172</v>
      </c>
      <c r="P259" s="480"/>
      <c r="AH259" s="425"/>
      <c r="AI259" s="492"/>
      <c r="AJ259" s="425"/>
      <c r="AX259" s="423"/>
      <c r="AY259" s="425" t="n">
        <f aca="false">SUM(AY8:AY258)</f>
        <v>118125000</v>
      </c>
      <c r="AZ259" s="425" t="n">
        <f aca="false">SUM(AZ8:AZ258)</f>
        <v>46274106.1835174</v>
      </c>
      <c r="BH259" s="501" t="n">
        <f aca="false">SUM(BH8:BH258)</f>
        <v>6935040</v>
      </c>
      <c r="BJ259" s="509" t="e">
        <f aca="false">SUM(BJ8:BJ258)</f>
        <v>#NAME?</v>
      </c>
      <c r="BK259" s="501" t="n">
        <f aca="false">SUM(BK8:BK258)</f>
        <v>148931234.462496</v>
      </c>
      <c r="BM259" s="501" t="e">
        <f aca="false">SUM(BM8:BM258)</f>
        <v>#NAME?</v>
      </c>
    </row>
    <row r="260" customFormat="false" ht="16.5" hidden="false" customHeight="false" outlineLevel="0" collapsed="false">
      <c r="A260" s="59" t="n">
        <f aca="false">A259+1</f>
        <v>254</v>
      </c>
      <c r="C260" s="59" t="n">
        <v>28</v>
      </c>
      <c r="D260" s="59" t="s">
        <v>165</v>
      </c>
      <c r="E260" s="125" t="n">
        <f aca="false">E259+C259</f>
        <v>44228</v>
      </c>
      <c r="F260" s="425" t="n">
        <f aca="false">F212</f>
        <v>20</v>
      </c>
      <c r="G260" s="433" t="n">
        <f aca="false">C260-F260</f>
        <v>8</v>
      </c>
      <c r="H260" s="433"/>
      <c r="I260" s="433"/>
      <c r="K260" s="423" t="n">
        <f aca="false">E260</f>
        <v>44228</v>
      </c>
      <c r="L260" s="479" t="n">
        <v>0.073680468676358</v>
      </c>
      <c r="M260" s="479" t="n">
        <v>0.064688598676853</v>
      </c>
      <c r="N260" s="480" t="n">
        <f aca="false">(1+L260/2)^(-2*((K260+$T$1)-$K$1)/365.25)</f>
        <v>0.218275870919432</v>
      </c>
      <c r="P260" s="480"/>
      <c r="AI260" s="425"/>
      <c r="AJ260" s="425"/>
      <c r="AX260" s="423"/>
    </row>
    <row r="261" customFormat="false" ht="16.5" hidden="false" customHeight="false" outlineLevel="0" collapsed="false">
      <c r="A261" s="59" t="n">
        <f aca="false">A260+1</f>
        <v>255</v>
      </c>
      <c r="C261" s="59" t="n">
        <v>31</v>
      </c>
      <c r="D261" s="59" t="s">
        <v>166</v>
      </c>
      <c r="E261" s="125" t="n">
        <f aca="false">E260+C260</f>
        <v>44256</v>
      </c>
      <c r="F261" s="425" t="n">
        <f aca="false">F213</f>
        <v>22</v>
      </c>
      <c r="G261" s="433" t="n">
        <f aca="false">C261-F261</f>
        <v>9</v>
      </c>
      <c r="H261" s="433"/>
      <c r="I261" s="433"/>
      <c r="K261" s="423" t="n">
        <f aca="false">E261</f>
        <v>44256</v>
      </c>
      <c r="L261" s="479" t="n">
        <v>0.073669541175114</v>
      </c>
      <c r="M261" s="479" t="n">
        <v>0.064631212016196</v>
      </c>
      <c r="N261" s="480" t="n">
        <f aca="false">(1+L261/2)^(-2*((K261+$T$1)-$K$1)/365.25)</f>
        <v>0.217116798485681</v>
      </c>
      <c r="P261" s="480"/>
      <c r="AJ261" s="425"/>
      <c r="AX261" s="423"/>
    </row>
    <row r="262" customFormat="false" ht="16.5" hidden="false" customHeight="false" outlineLevel="0" collapsed="false">
      <c r="A262" s="59" t="n">
        <f aca="false">A261+1</f>
        <v>256</v>
      </c>
      <c r="C262" s="59" t="n">
        <v>30</v>
      </c>
      <c r="D262" s="59" t="s">
        <v>167</v>
      </c>
      <c r="E262" s="125" t="n">
        <f aca="false">E261+C261</f>
        <v>44287</v>
      </c>
      <c r="F262" s="425" t="n">
        <f aca="false">F214</f>
        <v>21</v>
      </c>
      <c r="G262" s="433" t="n">
        <f aca="false">C262-F262</f>
        <v>9</v>
      </c>
      <c r="H262" s="433"/>
      <c r="I262" s="433"/>
      <c r="K262" s="423" t="n">
        <f aca="false">E262</f>
        <v>44287</v>
      </c>
      <c r="L262" s="479" t="n">
        <v>0.073657442870211</v>
      </c>
      <c r="M262" s="479" t="n">
        <v>0.064567676811498</v>
      </c>
      <c r="N262" s="480" t="n">
        <f aca="false">(1+L262/2)^(-2*((K262+$T$1)-$K$1)/365.25)</f>
        <v>0.215841124795463</v>
      </c>
      <c r="P262" s="480"/>
      <c r="AX262" s="423"/>
    </row>
    <row r="263" customFormat="false" ht="16.5" hidden="false" customHeight="false" outlineLevel="0" collapsed="false">
      <c r="A263" s="59" t="n">
        <f aca="false">A262+1</f>
        <v>257</v>
      </c>
      <c r="C263" s="59" t="n">
        <v>31</v>
      </c>
      <c r="D263" s="59" t="s">
        <v>29</v>
      </c>
      <c r="E263" s="125" t="n">
        <f aca="false">E262+C262</f>
        <v>44317</v>
      </c>
      <c r="F263" s="425" t="n">
        <f aca="false">F215</f>
        <v>23</v>
      </c>
      <c r="G263" s="433" t="n">
        <f aca="false">C263-F263</f>
        <v>8</v>
      </c>
      <c r="H263" s="433"/>
      <c r="I263" s="433"/>
      <c r="K263" s="423" t="n">
        <f aca="false">E263</f>
        <v>44317</v>
      </c>
      <c r="L263" s="479" t="n">
        <v>0.073645734833254</v>
      </c>
      <c r="M263" s="479" t="n">
        <v>0.064506191156291</v>
      </c>
      <c r="N263" s="480" t="n">
        <f aca="false">(1+L263/2)^(-2*((K263+$T$1)-$K$1)/365.25)</f>
        <v>0.214614143824744</v>
      </c>
      <c r="P263" s="480"/>
      <c r="AX263" s="423"/>
      <c r="BJ263" s="425" t="e">
        <f aca="false">SUM(BJ252:BJ254)</f>
        <v>#NAME?</v>
      </c>
    </row>
    <row r="264" customFormat="false" ht="16.5" hidden="false" customHeight="false" outlineLevel="0" collapsed="false">
      <c r="A264" s="59" t="n">
        <f aca="false">A263+1</f>
        <v>258</v>
      </c>
      <c r="C264" s="59" t="n">
        <v>30</v>
      </c>
      <c r="D264" s="59" t="s">
        <v>168</v>
      </c>
      <c r="E264" s="125" t="n">
        <f aca="false">E263+C263</f>
        <v>44348</v>
      </c>
      <c r="F264" s="425" t="n">
        <f aca="false">F216</f>
        <v>21</v>
      </c>
      <c r="G264" s="433" t="n">
        <f aca="false">C264-F264</f>
        <v>9</v>
      </c>
      <c r="H264" s="433"/>
      <c r="I264" s="433"/>
      <c r="K264" s="423" t="n">
        <f aca="false">E264</f>
        <v>44348</v>
      </c>
      <c r="L264" s="479" t="n">
        <v>0.073633636528446</v>
      </c>
      <c r="M264" s="479" t="n">
        <v>0.064442656006896</v>
      </c>
      <c r="N264" s="480" t="n">
        <f aca="false">(1+L264/2)^(-2*((K264+$T$1)-$K$1)/365.25)</f>
        <v>0.21335400668384</v>
      </c>
      <c r="P264" s="480"/>
      <c r="AX264" s="423"/>
    </row>
    <row r="265" customFormat="false" ht="16.5" hidden="false" customHeight="false" outlineLevel="0" collapsed="false">
      <c r="A265" s="59" t="n">
        <f aca="false">A264+1</f>
        <v>259</v>
      </c>
      <c r="C265" s="59" t="n">
        <v>31</v>
      </c>
      <c r="D265" s="59" t="s">
        <v>169</v>
      </c>
      <c r="E265" s="125" t="n">
        <f aca="false">E264+C264</f>
        <v>44378</v>
      </c>
      <c r="F265" s="425" t="n">
        <f aca="false">F217</f>
        <v>22</v>
      </c>
      <c r="G265" s="433" t="n">
        <f aca="false">C265-F265</f>
        <v>9</v>
      </c>
      <c r="H265" s="433"/>
      <c r="I265" s="433"/>
      <c r="K265" s="423" t="n">
        <f aca="false">E265</f>
        <v>44378</v>
      </c>
      <c r="L265" s="479" t="n">
        <v>0.073621928491582</v>
      </c>
      <c r="M265" s="479" t="n">
        <v>0.064381170405208</v>
      </c>
      <c r="N265" s="480" t="n">
        <f aca="false">(1+L265/2)^(-2*((K265+$T$1)-$K$1)/365.25)</f>
        <v>0.212141964850588</v>
      </c>
      <c r="P265" s="480"/>
      <c r="AX265" s="423"/>
    </row>
    <row r="266" customFormat="false" ht="16.5" hidden="false" customHeight="false" outlineLevel="0" collapsed="false">
      <c r="A266" s="59" t="n">
        <f aca="false">A265+1</f>
        <v>260</v>
      </c>
      <c r="C266" s="59" t="n">
        <v>31</v>
      </c>
      <c r="D266" s="59" t="s">
        <v>170</v>
      </c>
      <c r="E266" s="125" t="n">
        <f aca="false">E265+C265</f>
        <v>44409</v>
      </c>
      <c r="F266" s="425" t="n">
        <f aca="false">F218</f>
        <v>23</v>
      </c>
      <c r="G266" s="433" t="n">
        <f aca="false">C266-F266</f>
        <v>8</v>
      </c>
      <c r="H266" s="433"/>
      <c r="I266" s="433"/>
      <c r="K266" s="423" t="n">
        <f aca="false">E266</f>
        <v>44409</v>
      </c>
      <c r="L266" s="479" t="n">
        <v>0.073609830186869</v>
      </c>
      <c r="M266" s="479" t="n">
        <v>0.064317635311118</v>
      </c>
      <c r="N266" s="480" t="n">
        <f aca="false">(1+L266/2)^(-2*((K266+$T$1)-$K$1)/365.25)</f>
        <v>0.210897166044393</v>
      </c>
      <c r="P266" s="480"/>
      <c r="AX266" s="423"/>
    </row>
    <row r="267" customFormat="false" ht="16.5" hidden="false" customHeight="false" outlineLevel="0" collapsed="false">
      <c r="A267" s="59" t="n">
        <f aca="false">A266+1</f>
        <v>261</v>
      </c>
      <c r="C267" s="59" t="n">
        <v>30</v>
      </c>
      <c r="D267" s="59" t="s">
        <v>171</v>
      </c>
      <c r="E267" s="125" t="n">
        <f aca="false">E266+C266</f>
        <v>44440</v>
      </c>
      <c r="F267" s="425" t="n">
        <f aca="false">F219</f>
        <v>20</v>
      </c>
      <c r="G267" s="433" t="n">
        <f aca="false">C267-F267</f>
        <v>10</v>
      </c>
      <c r="H267" s="433"/>
      <c r="I267" s="433"/>
      <c r="K267" s="423" t="n">
        <f aca="false">E267</f>
        <v>44440</v>
      </c>
      <c r="L267" s="479" t="n">
        <v>0.073597731882205</v>
      </c>
      <c r="M267" s="479" t="n">
        <v>0.064254100245135</v>
      </c>
      <c r="N267" s="480" t="n">
        <f aca="false">(1+L267/2)^(-2*((K267+$T$1)-$K$1)/365.25)</f>
        <v>0.20966008701299</v>
      </c>
      <c r="P267" s="480"/>
      <c r="AX267" s="423"/>
    </row>
    <row r="268" customFormat="false" ht="16.5" hidden="false" customHeight="false" outlineLevel="0" collapsed="false">
      <c r="A268" s="59" t="n">
        <f aca="false">A267+1</f>
        <v>262</v>
      </c>
      <c r="C268" s="59" t="n">
        <v>31</v>
      </c>
      <c r="D268" s="59" t="s">
        <v>172</v>
      </c>
      <c r="E268" s="125" t="n">
        <f aca="false">E267+C267</f>
        <v>44470</v>
      </c>
      <c r="F268" s="425" t="n">
        <f aca="false">F220</f>
        <v>23</v>
      </c>
      <c r="G268" s="433" t="n">
        <f aca="false">C268-F268</f>
        <v>8</v>
      </c>
      <c r="H268" s="433"/>
      <c r="I268" s="433"/>
      <c r="K268" s="423" t="n">
        <f aca="false">E268</f>
        <v>44470</v>
      </c>
      <c r="L268" s="479" t="n">
        <v>0.073586023845479</v>
      </c>
      <c r="M268" s="479" t="n">
        <v>0.064192614724173</v>
      </c>
      <c r="N268" s="480" t="n">
        <f aca="false">(1+L268/2)^(-2*((K268+$T$1)-$K$1)/365.25)</f>
        <v>0.208470216754198</v>
      </c>
      <c r="P268" s="480"/>
      <c r="AX268" s="423"/>
    </row>
    <row r="269" customFormat="false" ht="16.5" hidden="false" customHeight="false" outlineLevel="0" collapsed="false">
      <c r="A269" s="59" t="n">
        <f aca="false">A268+1</f>
        <v>263</v>
      </c>
      <c r="C269" s="59" t="n">
        <v>30</v>
      </c>
      <c r="D269" s="59" t="s">
        <v>173</v>
      </c>
      <c r="E269" s="125" t="n">
        <f aca="false">E268+C268</f>
        <v>44501</v>
      </c>
      <c r="F269" s="425" t="n">
        <f aca="false">F221</f>
        <v>22</v>
      </c>
      <c r="G269" s="433" t="n">
        <f aca="false">C269-F269</f>
        <v>8</v>
      </c>
      <c r="H269" s="433"/>
      <c r="I269" s="433"/>
      <c r="K269" s="423" t="n">
        <f aca="false">E269</f>
        <v>44501</v>
      </c>
      <c r="L269" s="479" t="n">
        <v>0.073573925540909</v>
      </c>
      <c r="M269" s="479" t="n">
        <v>0.0641290797135</v>
      </c>
      <c r="N269" s="480" t="n">
        <f aca="false">(1+L269/2)^(-2*((K269+$T$1)-$K$1)/365.25)</f>
        <v>0.207248182080379</v>
      </c>
      <c r="P269" s="480"/>
      <c r="AX269" s="423"/>
    </row>
    <row r="270" customFormat="false" ht="16.5" hidden="false" customHeight="false" outlineLevel="0" collapsed="false">
      <c r="A270" s="59" t="n">
        <f aca="false">A269+1</f>
        <v>264</v>
      </c>
      <c r="C270" s="59" t="n">
        <v>31</v>
      </c>
      <c r="D270" s="59" t="s">
        <v>174</v>
      </c>
      <c r="E270" s="125" t="n">
        <f aca="false">E269+C269</f>
        <v>44531</v>
      </c>
      <c r="F270" s="425" t="n">
        <f aca="false">F222</f>
        <v>21</v>
      </c>
      <c r="G270" s="433" t="n">
        <f aca="false">C270-F270</f>
        <v>10</v>
      </c>
      <c r="H270" s="433" t="n">
        <f aca="false">SUM(F259:G270)</f>
        <v>365</v>
      </c>
      <c r="I270" s="433"/>
      <c r="K270" s="423" t="n">
        <f aca="false">E270</f>
        <v>44531</v>
      </c>
      <c r="L270" s="479" t="n">
        <v>0.073562217504275</v>
      </c>
      <c r="M270" s="479" t="n">
        <v>0.064067594246065</v>
      </c>
      <c r="N270" s="480" t="n">
        <f aca="false">(1+L270/2)^(-2*((K270+$T$1)-$K$1)/365.25)</f>
        <v>0.206072777818546</v>
      </c>
      <c r="P270" s="480"/>
      <c r="AX270" s="423"/>
      <c r="AZ270" s="425" t="n">
        <f aca="false">AY270*N270</f>
        <v>0</v>
      </c>
    </row>
    <row r="271" customFormat="false" ht="16.5" hidden="false" customHeight="false" outlineLevel="0" collapsed="false">
      <c r="A271" s="59" t="n">
        <f aca="false">A270+1</f>
        <v>265</v>
      </c>
      <c r="C271" s="59" t="n">
        <v>31</v>
      </c>
      <c r="D271" s="59" t="s">
        <v>164</v>
      </c>
      <c r="E271" s="125" t="n">
        <f aca="false">E270+C270</f>
        <v>44562</v>
      </c>
      <c r="F271" s="425" t="n">
        <f aca="false">F223</f>
        <v>23</v>
      </c>
      <c r="G271" s="433" t="n">
        <f aca="false">C271-F271</f>
        <v>8</v>
      </c>
      <c r="H271" s="433"/>
      <c r="I271" s="433"/>
      <c r="K271" s="423" t="n">
        <f aca="false">E271</f>
        <v>44562</v>
      </c>
      <c r="L271" s="479" t="n">
        <v>0.073550119199801</v>
      </c>
      <c r="M271" s="479" t="n">
        <v>0.064004059290706</v>
      </c>
      <c r="N271" s="480" t="n">
        <f aca="false">(1+L271/2)^(-2*((K271+$T$1)-$K$1)/365.25)</f>
        <v>0.204865595824649</v>
      </c>
      <c r="P271" s="480"/>
      <c r="AX271" s="423"/>
    </row>
    <row r="272" customFormat="false" ht="16.5" hidden="false" customHeight="false" outlineLevel="0" collapsed="false">
      <c r="A272" s="59" t="n">
        <f aca="false">A271+1</f>
        <v>266</v>
      </c>
      <c r="C272" s="59" t="n">
        <v>28</v>
      </c>
      <c r="D272" s="59" t="s">
        <v>165</v>
      </c>
      <c r="E272" s="125" t="n">
        <f aca="false">E271+C271</f>
        <v>44593</v>
      </c>
      <c r="F272" s="425" t="n">
        <f aca="false">F224</f>
        <v>20</v>
      </c>
      <c r="G272" s="433" t="n">
        <f aca="false">C272-F272</f>
        <v>8</v>
      </c>
      <c r="H272" s="433"/>
      <c r="I272" s="433"/>
      <c r="K272" s="423" t="n">
        <f aca="false">E272</f>
        <v>44593</v>
      </c>
      <c r="L272" s="479" t="n">
        <v>0.073538020895375</v>
      </c>
      <c r="M272" s="479" t="n">
        <v>0.06394052436346</v>
      </c>
      <c r="N272" s="480" t="n">
        <f aca="false">(1+L272/2)^(-2*((K272+$T$1)-$K$1)/365.25)</f>
        <v>0.203665889273653</v>
      </c>
      <c r="P272" s="480"/>
      <c r="AX272" s="423"/>
    </row>
    <row r="273" customFormat="false" ht="16.5" hidden="false" customHeight="false" outlineLevel="0" collapsed="false">
      <c r="A273" s="59" t="n">
        <f aca="false">A272+1</f>
        <v>267</v>
      </c>
      <c r="C273" s="59" t="n">
        <v>31</v>
      </c>
      <c r="D273" s="59" t="s">
        <v>166</v>
      </c>
      <c r="E273" s="125" t="n">
        <f aca="false">E272+C272</f>
        <v>44621</v>
      </c>
      <c r="F273" s="425" t="n">
        <f aca="false">F225</f>
        <v>21</v>
      </c>
      <c r="G273" s="433" t="n">
        <f aca="false">C273-F273</f>
        <v>10</v>
      </c>
      <c r="H273" s="433"/>
      <c r="I273" s="433"/>
      <c r="K273" s="423" t="n">
        <f aca="false">E273</f>
        <v>44621</v>
      </c>
      <c r="L273" s="479" t="n">
        <v>0.073527093394645</v>
      </c>
      <c r="M273" s="479" t="n">
        <v>0.063883138001722</v>
      </c>
      <c r="N273" s="480" t="n">
        <f aca="false">(1+L273/2)^(-2*((K273+$T$1)-$K$1)/365.25)</f>
        <v>0.202588668297613</v>
      </c>
      <c r="P273" s="480"/>
      <c r="AX273" s="423"/>
    </row>
    <row r="274" customFormat="false" ht="16.5" hidden="false" customHeight="false" outlineLevel="0" collapsed="false">
      <c r="A274" s="59" t="n">
        <f aca="false">A273+1</f>
        <v>268</v>
      </c>
      <c r="C274" s="59" t="n">
        <v>30</v>
      </c>
      <c r="D274" s="59" t="s">
        <v>167</v>
      </c>
      <c r="E274" s="125" t="n">
        <f aca="false">E273+C273</f>
        <v>44652</v>
      </c>
      <c r="F274" s="425" t="n">
        <f aca="false">F226</f>
        <v>22</v>
      </c>
      <c r="G274" s="433" t="n">
        <f aca="false">C274-F274</f>
        <v>8</v>
      </c>
      <c r="H274" s="433"/>
      <c r="I274" s="433"/>
      <c r="K274" s="423" t="n">
        <f aca="false">E274</f>
        <v>44652</v>
      </c>
      <c r="L274" s="479" t="n">
        <v>0.073514995090311</v>
      </c>
      <c r="M274" s="479" t="n">
        <v>0.06381960312798</v>
      </c>
      <c r="N274" s="480" t="n">
        <f aca="false">(1+L274/2)^(-2*((K274+$T$1)-$K$1)/365.25)</f>
        <v>0.201403055439002</v>
      </c>
      <c r="P274" s="480"/>
      <c r="AX274" s="423"/>
    </row>
    <row r="275" customFormat="false" ht="16.5" hidden="false" customHeight="false" outlineLevel="0" collapsed="false">
      <c r="A275" s="59" t="n">
        <f aca="false">A274+1</f>
        <v>269</v>
      </c>
      <c r="C275" s="59" t="n">
        <v>31</v>
      </c>
      <c r="D275" s="59" t="s">
        <v>29</v>
      </c>
      <c r="E275" s="125" t="n">
        <f aca="false">E274+C274</f>
        <v>44682</v>
      </c>
      <c r="F275" s="425" t="n">
        <f aca="false">F227</f>
        <v>23</v>
      </c>
      <c r="G275" s="433" t="n">
        <f aca="false">C275-F275</f>
        <v>8</v>
      </c>
      <c r="H275" s="433"/>
      <c r="I275" s="433"/>
      <c r="K275" s="423" t="n">
        <f aca="false">E275</f>
        <v>44682</v>
      </c>
      <c r="L275" s="479" t="n">
        <v>0.073503287053905</v>
      </c>
      <c r="M275" s="479" t="n">
        <v>0.063758117793061</v>
      </c>
      <c r="N275" s="480" t="n">
        <f aca="false">(1+L275/2)^(-2*((K275+$T$1)-$K$1)/365.25)</f>
        <v>0.200262673013115</v>
      </c>
      <c r="P275" s="480"/>
      <c r="AX275" s="423"/>
    </row>
    <row r="276" customFormat="false" ht="16.5" hidden="false" customHeight="false" outlineLevel="0" collapsed="false">
      <c r="A276" s="59" t="n">
        <f aca="false">A275+1</f>
        <v>270</v>
      </c>
      <c r="C276" s="59" t="n">
        <v>30</v>
      </c>
      <c r="D276" s="59" t="s">
        <v>168</v>
      </c>
      <c r="E276" s="125" t="n">
        <f aca="false">E275+C275</f>
        <v>44713</v>
      </c>
      <c r="F276" s="425" t="n">
        <f aca="false">F228</f>
        <v>20</v>
      </c>
      <c r="G276" s="433" t="n">
        <f aca="false">C276-F276</f>
        <v>10</v>
      </c>
      <c r="H276" s="433"/>
      <c r="I276" s="433"/>
      <c r="K276" s="423" t="n">
        <f aca="false">E276</f>
        <v>44713</v>
      </c>
      <c r="L276" s="479" t="n">
        <v>0.073491188749666</v>
      </c>
      <c r="M276" s="479" t="n">
        <v>0.063694582974641</v>
      </c>
      <c r="N276" s="480" t="n">
        <f aca="false">(1+L276/2)^(-2*((K276+$T$1)-$K$1)/365.25)</f>
        <v>0.199091449220766</v>
      </c>
      <c r="P276" s="480"/>
      <c r="AX276" s="423"/>
    </row>
    <row r="277" customFormat="false" ht="16.5" hidden="false" customHeight="false" outlineLevel="0" collapsed="false">
      <c r="A277" s="59" t="n">
        <f aca="false">A276+1</f>
        <v>271</v>
      </c>
      <c r="C277" s="59" t="n">
        <v>31</v>
      </c>
      <c r="D277" s="59" t="s">
        <v>169</v>
      </c>
      <c r="E277" s="125" t="n">
        <f aca="false">E276+C276</f>
        <v>44743</v>
      </c>
      <c r="F277" s="425" t="n">
        <f aca="false">F229</f>
        <v>23</v>
      </c>
      <c r="G277" s="433" t="n">
        <f aca="false">C277-F277</f>
        <v>8</v>
      </c>
      <c r="H277" s="433"/>
      <c r="I277" s="433"/>
      <c r="K277" s="423" t="n">
        <f aca="false">E277</f>
        <v>44743</v>
      </c>
      <c r="L277" s="479" t="n">
        <v>0.073479480713352</v>
      </c>
      <c r="M277" s="479" t="n">
        <v>0.063633097693262</v>
      </c>
      <c r="N277" s="480" t="n">
        <f aca="false">(1+L277/2)^(-2*((K277+$T$1)-$K$1)/365.25)</f>
        <v>0.197964902858545</v>
      </c>
      <c r="P277" s="480"/>
      <c r="AX277" s="423"/>
    </row>
    <row r="278" customFormat="false" ht="16.5" hidden="false" customHeight="false" outlineLevel="0" collapsed="false">
      <c r="A278" s="59" t="n">
        <f aca="false">A277+1</f>
        <v>272</v>
      </c>
      <c r="C278" s="59" t="n">
        <v>31</v>
      </c>
      <c r="D278" s="59" t="s">
        <v>170</v>
      </c>
      <c r="E278" s="125" t="n">
        <f aca="false">E277+C277</f>
        <v>44774</v>
      </c>
      <c r="F278" s="425" t="n">
        <f aca="false">F230</f>
        <v>22</v>
      </c>
      <c r="G278" s="433" t="n">
        <f aca="false">C278-F278</f>
        <v>9</v>
      </c>
      <c r="H278" s="433"/>
      <c r="I278" s="433"/>
      <c r="K278" s="423" t="n">
        <f aca="false">E278</f>
        <v>44774</v>
      </c>
      <c r="L278" s="479" t="n">
        <v>0.073467382409208</v>
      </c>
      <c r="M278" s="479" t="n">
        <v>0.063569562930166</v>
      </c>
      <c r="N278" s="480" t="n">
        <f aca="false">(1+L278/2)^(-2*((K278+$T$1)-$K$1)/365.25)</f>
        <v>0.196807885145048</v>
      </c>
      <c r="P278" s="480"/>
      <c r="AX278" s="423"/>
    </row>
    <row r="279" customFormat="false" ht="16.5" hidden="false" customHeight="false" outlineLevel="0" collapsed="false">
      <c r="A279" s="59" t="n">
        <f aca="false">A278+1</f>
        <v>273</v>
      </c>
      <c r="C279" s="59" t="n">
        <v>30</v>
      </c>
      <c r="D279" s="59" t="s">
        <v>171</v>
      </c>
      <c r="E279" s="125" t="n">
        <f aca="false">E278+C278</f>
        <v>44805</v>
      </c>
      <c r="F279" s="425" t="n">
        <f aca="false">F231</f>
        <v>21</v>
      </c>
      <c r="G279" s="433" t="n">
        <f aca="false">C279-F279</f>
        <v>9</v>
      </c>
      <c r="H279" s="433"/>
      <c r="I279" s="433"/>
      <c r="K279" s="423" t="n">
        <f aca="false">E279</f>
        <v>44805</v>
      </c>
      <c r="L279" s="479" t="n">
        <v>0.073455284105112</v>
      </c>
      <c r="M279" s="479" t="n">
        <v>0.063506028195188</v>
      </c>
      <c r="N279" s="480" t="n">
        <f aca="false">(1+L279/2)^(-2*((K279+$T$1)-$K$1)/365.25)</f>
        <v>0.195658017565903</v>
      </c>
      <c r="P279" s="480"/>
      <c r="AX279" s="423"/>
    </row>
    <row r="280" customFormat="false" ht="16.5" hidden="false" customHeight="false" outlineLevel="0" collapsed="false">
      <c r="A280" s="59" t="n">
        <f aca="false">A279+1</f>
        <v>274</v>
      </c>
      <c r="C280" s="59" t="n">
        <v>31</v>
      </c>
      <c r="D280" s="59" t="s">
        <v>172</v>
      </c>
      <c r="E280" s="125" t="n">
        <f aca="false">E279+C279</f>
        <v>44835</v>
      </c>
      <c r="F280" s="425" t="n">
        <f aca="false">F232</f>
        <v>23</v>
      </c>
      <c r="G280" s="433" t="n">
        <f aca="false">C280-F280</f>
        <v>8</v>
      </c>
      <c r="H280" s="433"/>
      <c r="I280" s="433"/>
      <c r="K280" s="423" t="n">
        <f aca="false">E280</f>
        <v>44835</v>
      </c>
      <c r="L280" s="479" t="n">
        <v>0.073443576068937</v>
      </c>
      <c r="M280" s="479" t="n">
        <v>0.063444542994561</v>
      </c>
      <c r="N280" s="480" t="n">
        <f aca="false">(1+L280/2)^(-2*((K280+$T$1)-$K$1)/365.25)</f>
        <v>0.19455200674083</v>
      </c>
      <c r="P280" s="480"/>
      <c r="AX280" s="423"/>
    </row>
    <row r="281" customFormat="false" ht="16.5" hidden="false" customHeight="false" outlineLevel="0" collapsed="false">
      <c r="A281" s="59" t="n">
        <f aca="false">A280+1</f>
        <v>275</v>
      </c>
      <c r="C281" s="59" t="n">
        <v>30</v>
      </c>
      <c r="D281" s="59" t="s">
        <v>173</v>
      </c>
      <c r="E281" s="125" t="n">
        <f aca="false">E280+C280</f>
        <v>44866</v>
      </c>
      <c r="F281" s="425" t="n">
        <f aca="false">F233</f>
        <v>21</v>
      </c>
      <c r="G281" s="433" t="n">
        <f aca="false">C281-F281</f>
        <v>9</v>
      </c>
      <c r="H281" s="433"/>
      <c r="I281" s="433"/>
      <c r="K281" s="423" t="n">
        <f aca="false">E281</f>
        <v>44866</v>
      </c>
      <c r="L281" s="479" t="n">
        <v>0.073431477764937</v>
      </c>
      <c r="M281" s="479" t="n">
        <v>0.063381008314912</v>
      </c>
      <c r="N281" s="480" t="n">
        <f aca="false">(1+L281/2)^(-2*((K281+$T$1)-$K$1)/365.25)</f>
        <v>0.193416073833654</v>
      </c>
      <c r="P281" s="480"/>
      <c r="AX281" s="423"/>
    </row>
    <row r="282" customFormat="false" ht="16.5" hidden="false" customHeight="false" outlineLevel="0" collapsed="false">
      <c r="A282" s="59" t="n">
        <f aca="false">A281+1</f>
        <v>276</v>
      </c>
      <c r="C282" s="59" t="n">
        <v>31</v>
      </c>
      <c r="D282" s="59" t="s">
        <v>174</v>
      </c>
      <c r="E282" s="125" t="n">
        <f aca="false">E281+C281</f>
        <v>44896</v>
      </c>
      <c r="F282" s="425" t="n">
        <f aca="false">F234</f>
        <v>22</v>
      </c>
      <c r="G282" s="433" t="n">
        <f aca="false">C282-F282</f>
        <v>9</v>
      </c>
      <c r="H282" s="433" t="n">
        <f aca="false">SUM(F271:G282)</f>
        <v>365</v>
      </c>
      <c r="I282" s="433"/>
      <c r="K282" s="423" t="n">
        <f aca="false">E282</f>
        <v>44896</v>
      </c>
      <c r="L282" s="479" t="n">
        <v>0.073419769728853</v>
      </c>
      <c r="M282" s="479" t="n">
        <v>0.063319523167833</v>
      </c>
      <c r="N282" s="480" t="n">
        <f aca="false">(1+L282/2)^(-2*((K282+$T$1)-$K$1)/365.25)</f>
        <v>0.192323462257439</v>
      </c>
      <c r="P282" s="480"/>
      <c r="AX282" s="423"/>
      <c r="AZ282" s="425" t="n">
        <f aca="false">AY282*N282</f>
        <v>0</v>
      </c>
    </row>
    <row r="283" customFormat="false" ht="16.5" hidden="false" customHeight="false" outlineLevel="0" collapsed="false">
      <c r="A283" s="59" t="n">
        <f aca="false">A282+1</f>
        <v>277</v>
      </c>
      <c r="C283" s="59" t="n">
        <v>31</v>
      </c>
      <c r="D283" s="59" t="s">
        <v>164</v>
      </c>
      <c r="E283" s="125" t="n">
        <f aca="false">E282+C282</f>
        <v>44927</v>
      </c>
      <c r="F283" s="425" t="n">
        <f aca="false">F235</f>
        <v>23</v>
      </c>
      <c r="G283" s="433" t="n">
        <f aca="false">C283-F283</f>
        <v>8</v>
      </c>
      <c r="H283" s="433"/>
      <c r="I283" s="433"/>
      <c r="K283" s="423" t="n">
        <f aca="false">E283</f>
        <v>44927</v>
      </c>
      <c r="L283" s="479" t="n">
        <v>0.073407671424948</v>
      </c>
      <c r="M283" s="479" t="n">
        <v>0.063255988543518</v>
      </c>
      <c r="N283" s="480" t="n">
        <f aca="false">(1+L283/2)^(-2*((K283+$T$1)-$K$1)/365.25)</f>
        <v>0.191201287051867</v>
      </c>
      <c r="P283" s="480"/>
      <c r="AX283" s="423"/>
    </row>
    <row r="284" customFormat="false" ht="16.5" hidden="false" customHeight="false" outlineLevel="0" collapsed="false">
      <c r="A284" s="59" t="n">
        <f aca="false">A283+1</f>
        <v>278</v>
      </c>
      <c r="C284" s="59" t="n">
        <v>28</v>
      </c>
      <c r="D284" s="59" t="s">
        <v>165</v>
      </c>
      <c r="E284" s="125" t="n">
        <f aca="false">E283+C283</f>
        <v>44958</v>
      </c>
      <c r="F284" s="425" t="n">
        <f aca="false">F236</f>
        <v>20</v>
      </c>
      <c r="G284" s="433" t="n">
        <f aca="false">C284-F284</f>
        <v>8</v>
      </c>
      <c r="H284" s="433"/>
      <c r="I284" s="433"/>
      <c r="K284" s="423" t="n">
        <f aca="false">E284</f>
        <v>44958</v>
      </c>
      <c r="L284" s="479" t="n">
        <v>0.073395573121091</v>
      </c>
      <c r="M284" s="479" t="n">
        <v>0.063192453947324</v>
      </c>
      <c r="N284" s="480" t="n">
        <f aca="false">(1+L284/2)^(-2*((K284+$T$1)-$K$1)/365.25)</f>
        <v>0.190086036396192</v>
      </c>
      <c r="P284" s="480"/>
    </row>
    <row r="285" customFormat="false" ht="16.5" hidden="false" customHeight="false" outlineLevel="0" collapsed="false">
      <c r="A285" s="59" t="n">
        <f aca="false">A284+1</f>
        <v>279</v>
      </c>
      <c r="C285" s="59" t="n">
        <v>31</v>
      </c>
      <c r="D285" s="59" t="s">
        <v>166</v>
      </c>
      <c r="E285" s="125" t="n">
        <f aca="false">E284+C284</f>
        <v>44986</v>
      </c>
      <c r="F285" s="425" t="n">
        <f aca="false">F237</f>
        <v>21</v>
      </c>
      <c r="G285" s="433" t="n">
        <f aca="false">C285-F285</f>
        <v>10</v>
      </c>
      <c r="H285" s="433"/>
      <c r="I285" s="433"/>
      <c r="K285" s="423" t="n">
        <f aca="false">E285</f>
        <v>44986</v>
      </c>
      <c r="L285" s="479" t="n">
        <v>0.073384645620874</v>
      </c>
      <c r="M285" s="479" t="n">
        <v>0.063135067884611</v>
      </c>
      <c r="N285" s="480" t="n">
        <f aca="false">(1+L285/2)^(-2*((K285+$T$1)-$K$1)/365.25)</f>
        <v>0.189084627754724</v>
      </c>
      <c r="P285" s="480"/>
    </row>
    <row r="286" customFormat="false" ht="16.5" hidden="false" customHeight="false" outlineLevel="0" collapsed="false">
      <c r="A286" s="59" t="n">
        <f aca="false">A285+1</f>
        <v>280</v>
      </c>
      <c r="C286" s="59" t="n">
        <v>30</v>
      </c>
      <c r="D286" s="59" t="s">
        <v>167</v>
      </c>
      <c r="E286" s="125" t="n">
        <f aca="false">E285+C285</f>
        <v>45017</v>
      </c>
      <c r="F286" s="425" t="n">
        <f aca="false">F238</f>
        <v>22</v>
      </c>
      <c r="G286" s="433" t="n">
        <f aca="false">C286-F286</f>
        <v>8</v>
      </c>
      <c r="H286" s="433"/>
      <c r="I286" s="433"/>
      <c r="K286" s="423" t="n">
        <f aca="false">E286</f>
        <v>45017</v>
      </c>
      <c r="L286" s="479" t="n">
        <v>0.073372547317109</v>
      </c>
      <c r="M286" s="479" t="n">
        <v>0.06307153334194</v>
      </c>
      <c r="N286" s="480" t="n">
        <f aca="false">(1+L286/2)^(-2*((K286+$T$1)-$K$1)/365.25)</f>
        <v>0.187982432573029</v>
      </c>
      <c r="P286" s="480"/>
    </row>
    <row r="287" customFormat="false" ht="16.5" hidden="false" customHeight="false" outlineLevel="0" collapsed="false">
      <c r="A287" s="59" t="n">
        <f aca="false">A286+1</f>
        <v>281</v>
      </c>
      <c r="C287" s="59" t="n">
        <v>31</v>
      </c>
      <c r="D287" s="59" t="s">
        <v>29</v>
      </c>
      <c r="E287" s="125" t="n">
        <f aca="false">E286+C286</f>
        <v>45047</v>
      </c>
      <c r="F287" s="425" t="n">
        <f aca="false">F239</f>
        <v>22</v>
      </c>
      <c r="G287" s="433" t="n">
        <f aca="false">C287-F287</f>
        <v>9</v>
      </c>
      <c r="H287" s="433"/>
      <c r="I287" s="433"/>
      <c r="K287" s="423" t="n">
        <f aca="false">E287</f>
        <v>45047</v>
      </c>
      <c r="L287" s="479" t="n">
        <v>0.073360839281253</v>
      </c>
      <c r="M287" s="479" t="n">
        <v>0.063010048327425</v>
      </c>
      <c r="N287" s="480" t="n">
        <f aca="false">(1+L287/2)^(-2*((K287+$T$1)-$K$1)/365.25)</f>
        <v>0.186922262584636</v>
      </c>
      <c r="P287" s="480"/>
    </row>
    <row r="288" customFormat="false" ht="16.5" hidden="false" customHeight="false" outlineLevel="0" collapsed="false">
      <c r="A288" s="59" t="n">
        <f aca="false">A287+1</f>
        <v>282</v>
      </c>
      <c r="C288" s="59" t="n">
        <v>30</v>
      </c>
      <c r="D288" s="59" t="s">
        <v>168</v>
      </c>
      <c r="E288" s="125" t="n">
        <f aca="false">E287+C287</f>
        <v>45078</v>
      </c>
      <c r="F288" s="425" t="n">
        <f aca="false">F240</f>
        <v>21</v>
      </c>
      <c r="G288" s="433" t="n">
        <f aca="false">C288-F288</f>
        <v>9</v>
      </c>
      <c r="H288" s="433"/>
      <c r="I288" s="433"/>
      <c r="K288" s="423" t="n">
        <f aca="false">E288</f>
        <v>45078</v>
      </c>
      <c r="L288" s="479" t="n">
        <v>0.073348740977584</v>
      </c>
      <c r="M288" s="479" t="n">
        <v>0.062946513840096</v>
      </c>
      <c r="N288" s="480" t="n">
        <f aca="false">(1+L288/2)^(-2*((K288+$T$1)-$K$1)/365.25)</f>
        <v>0.185833397033977</v>
      </c>
      <c r="P288" s="480"/>
    </row>
    <row r="289" customFormat="false" ht="16.5" hidden="false" customHeight="false" outlineLevel="0" collapsed="false">
      <c r="A289" s="59" t="n">
        <f aca="false">A288+1</f>
        <v>283</v>
      </c>
      <c r="C289" s="59" t="n">
        <v>31</v>
      </c>
      <c r="D289" s="59" t="s">
        <v>169</v>
      </c>
      <c r="E289" s="125" t="n">
        <f aca="false">E288+C288</f>
        <v>45108</v>
      </c>
      <c r="F289" s="425" t="n">
        <f aca="false">F241</f>
        <v>23</v>
      </c>
      <c r="G289" s="433" t="n">
        <f aca="false">C289-F289</f>
        <v>8</v>
      </c>
      <c r="H289" s="433"/>
      <c r="I289" s="433"/>
      <c r="K289" s="423" t="n">
        <f aca="false">E289</f>
        <v>45108</v>
      </c>
      <c r="L289" s="479" t="n">
        <v>0.07333703294182</v>
      </c>
      <c r="M289" s="479" t="n">
        <v>0.062885028879136</v>
      </c>
      <c r="N289" s="480" t="n">
        <f aca="false">(1+L289/2)^(-2*((K289+$T$1)-$K$1)/365.25)</f>
        <v>0.184786044655354</v>
      </c>
      <c r="P289" s="480"/>
    </row>
    <row r="290" customFormat="false" ht="16.5" hidden="false" customHeight="false" outlineLevel="0" collapsed="false">
      <c r="A290" s="59" t="n">
        <f aca="false">A289+1</f>
        <v>284</v>
      </c>
      <c r="C290" s="59" t="n">
        <v>31</v>
      </c>
      <c r="D290" s="59" t="s">
        <v>170</v>
      </c>
      <c r="E290" s="125" t="n">
        <f aca="false">E289+C289</f>
        <v>45139</v>
      </c>
      <c r="F290" s="425" t="n">
        <f aca="false">F242</f>
        <v>21</v>
      </c>
      <c r="G290" s="433" t="n">
        <f aca="false">C290-F290</f>
        <v>10</v>
      </c>
      <c r="H290" s="433"/>
      <c r="I290" s="433"/>
      <c r="K290" s="423" t="n">
        <f aca="false">E290</f>
        <v>45139</v>
      </c>
      <c r="L290" s="479" t="n">
        <v>0.073324934638245</v>
      </c>
      <c r="M290" s="479" t="n">
        <v>0.062821494447152</v>
      </c>
      <c r="N290" s="480" t="n">
        <f aca="false">(1+L290/2)^(-2*((K290+$T$1)-$K$1)/365.25)</f>
        <v>0.183710339765359</v>
      </c>
      <c r="P290" s="480"/>
    </row>
    <row r="291" customFormat="false" ht="16.5" hidden="false" customHeight="false" outlineLevel="0" collapsed="false">
      <c r="A291" s="59" t="n">
        <f aca="false">A290+1</f>
        <v>285</v>
      </c>
      <c r="C291" s="59" t="n">
        <v>30</v>
      </c>
      <c r="D291" s="59" t="s">
        <v>171</v>
      </c>
      <c r="E291" s="125" t="n">
        <f aca="false">E290+C290</f>
        <v>45170</v>
      </c>
      <c r="F291" s="425" t="n">
        <f aca="false">F243</f>
        <v>22</v>
      </c>
      <c r="G291" s="433" t="n">
        <f aca="false">C291-F291</f>
        <v>8</v>
      </c>
      <c r="H291" s="433"/>
      <c r="I291" s="433"/>
      <c r="K291" s="423" t="n">
        <f aca="false">E291</f>
        <v>45170</v>
      </c>
      <c r="L291" s="479" t="n">
        <v>0.073312836334718</v>
      </c>
      <c r="M291" s="479" t="n">
        <v>0.062757960043294</v>
      </c>
      <c r="N291" s="480" t="n">
        <f aca="false">(1+L291/2)^(-2*((K291+$T$1)-$K$1)/365.25)</f>
        <v>0.182641259041636</v>
      </c>
      <c r="P291" s="480"/>
    </row>
    <row r="292" customFormat="false" ht="16.5" hidden="false" customHeight="false" outlineLevel="0" collapsed="false">
      <c r="A292" s="59" t="n">
        <f aca="false">A291+1</f>
        <v>286</v>
      </c>
      <c r="C292" s="59" t="n">
        <v>31</v>
      </c>
      <c r="D292" s="59" t="s">
        <v>172</v>
      </c>
      <c r="E292" s="125" t="n">
        <f aca="false">E291+C291</f>
        <v>45200</v>
      </c>
      <c r="F292" s="425" t="n">
        <f aca="false">F244</f>
        <v>23</v>
      </c>
      <c r="G292" s="433" t="n">
        <f aca="false">C292-F292</f>
        <v>8</v>
      </c>
      <c r="H292" s="433"/>
      <c r="I292" s="433"/>
      <c r="K292" s="423" t="n">
        <f aca="false">E292</f>
        <v>45200</v>
      </c>
      <c r="L292" s="479" t="n">
        <v>0.073301128299094</v>
      </c>
      <c r="M292" s="479" t="n">
        <v>0.062696475163118</v>
      </c>
      <c r="N292" s="480" t="n">
        <f aca="false">(1+L292/2)^(-2*((K292+$T$1)-$K$1)/365.25)</f>
        <v>0.181612931592307</v>
      </c>
      <c r="P292" s="480"/>
    </row>
    <row r="293" customFormat="false" ht="16.5" hidden="false" customHeight="false" outlineLevel="0" collapsed="false">
      <c r="A293" s="59" t="n">
        <f aca="false">A292+1</f>
        <v>287</v>
      </c>
      <c r="C293" s="59" t="n">
        <v>30</v>
      </c>
      <c r="D293" s="59" t="s">
        <v>173</v>
      </c>
      <c r="E293" s="125" t="n">
        <f aca="false">E292+C292</f>
        <v>45231</v>
      </c>
      <c r="F293" s="425" t="n">
        <f aca="false">F245</f>
        <v>20</v>
      </c>
      <c r="G293" s="433" t="n">
        <f aca="false">C293-F293</f>
        <v>10</v>
      </c>
      <c r="H293" s="433"/>
      <c r="I293" s="433"/>
      <c r="K293" s="423" t="n">
        <f aca="false">E293</f>
        <v>45231</v>
      </c>
      <c r="L293" s="479" t="n">
        <v>0.073289029995662</v>
      </c>
      <c r="M293" s="479" t="n">
        <v>0.062632940814609</v>
      </c>
      <c r="N293" s="480" t="n">
        <f aca="false">(1+L293/2)^(-2*((K293+$T$1)-$K$1)/365.25)</f>
        <v>0.180556760899885</v>
      </c>
      <c r="P293" s="480"/>
    </row>
    <row r="294" customFormat="false" ht="16.5" hidden="false" customHeight="false" outlineLevel="0" collapsed="false">
      <c r="A294" s="59" t="n">
        <f aca="false">A293+1</f>
        <v>288</v>
      </c>
      <c r="C294" s="59" t="n">
        <v>31</v>
      </c>
      <c r="D294" s="59" t="s">
        <v>174</v>
      </c>
      <c r="E294" s="125" t="n">
        <f aca="false">E293+C293</f>
        <v>45261</v>
      </c>
      <c r="F294" s="425" t="n">
        <f aca="false">F246</f>
        <v>23</v>
      </c>
      <c r="G294" s="433" t="n">
        <f aca="false">C294-F294</f>
        <v>8</v>
      </c>
      <c r="H294" s="433" t="n">
        <f aca="false">SUM(F283:G294)</f>
        <v>365</v>
      </c>
      <c r="I294" s="433"/>
      <c r="K294" s="423" t="n">
        <f aca="false">E294</f>
        <v>45261</v>
      </c>
      <c r="L294" s="479" t="n">
        <v>0.073277321960129</v>
      </c>
      <c r="M294" s="479" t="n">
        <v>0.062571455988</v>
      </c>
      <c r="N294" s="480" t="n">
        <f aca="false">(1+L294/2)^(-2*((K294+$T$1)-$K$1)/365.25)</f>
        <v>0.179540847685889</v>
      </c>
      <c r="P294" s="480"/>
      <c r="AZ294" s="425" t="n">
        <f aca="false">AY294*N294</f>
        <v>0</v>
      </c>
    </row>
    <row r="295" customFormat="false" ht="16.5" hidden="false" customHeight="false" outlineLevel="0" collapsed="false">
      <c r="A295" s="59" t="n">
        <f aca="false">A294+1</f>
        <v>289</v>
      </c>
      <c r="C295" s="59" t="n">
        <v>31</v>
      </c>
      <c r="D295" s="59" t="s">
        <v>164</v>
      </c>
      <c r="E295" s="125" t="n">
        <f aca="false">E294+C294</f>
        <v>45292</v>
      </c>
      <c r="F295" s="425" t="n">
        <f aca="false">F247</f>
        <v>22</v>
      </c>
      <c r="G295" s="433" t="n">
        <f aca="false">C295-F295</f>
        <v>9</v>
      </c>
      <c r="H295" s="433"/>
      <c r="I295" s="433"/>
      <c r="K295" s="423" t="n">
        <f aca="false">E295</f>
        <v>45292</v>
      </c>
      <c r="L295" s="479" t="n">
        <v>0.073265223656793</v>
      </c>
      <c r="M295" s="479" t="n">
        <v>0.062507921694842</v>
      </c>
      <c r="N295" s="480" t="n">
        <f aca="false">(1+L295/2)^(-2*((K295+$T$1)-$K$1)/365.25)</f>
        <v>0.178497423594144</v>
      </c>
      <c r="P295" s="480"/>
    </row>
    <row r="296" customFormat="false" ht="16.5" hidden="false" customHeight="false" outlineLevel="0" collapsed="false">
      <c r="A296" s="59" t="n">
        <f aca="false">A295+1</f>
        <v>290</v>
      </c>
      <c r="C296" s="496" t="n">
        <v>29</v>
      </c>
      <c r="D296" s="497" t="s">
        <v>165</v>
      </c>
      <c r="E296" s="125" t="n">
        <f aca="false">E295+C295</f>
        <v>45323</v>
      </c>
      <c r="F296" s="425" t="n">
        <f aca="false">F248</f>
        <v>20</v>
      </c>
      <c r="G296" s="433" t="n">
        <f aca="false">C296-F296</f>
        <v>9</v>
      </c>
      <c r="H296" s="433"/>
      <c r="I296" s="433"/>
      <c r="K296" s="423" t="n">
        <f aca="false">E296</f>
        <v>45323</v>
      </c>
      <c r="L296" s="479" t="n">
        <v>0.073253125353505</v>
      </c>
      <c r="M296" s="479" t="n">
        <v>0.062444387429819</v>
      </c>
      <c r="N296" s="480" t="n">
        <f aca="false">(1+L296/2)^(-2*((K296+$T$1)-$K$1)/365.25)</f>
        <v>0.177460415343407</v>
      </c>
      <c r="P296" s="480"/>
    </row>
    <row r="297" customFormat="false" ht="16.5" hidden="false" customHeight="false" outlineLevel="0" collapsed="false">
      <c r="A297" s="59" t="n">
        <f aca="false">A296+1</f>
        <v>291</v>
      </c>
      <c r="C297" s="59" t="n">
        <v>31</v>
      </c>
      <c r="D297" s="59" t="s">
        <v>166</v>
      </c>
      <c r="E297" s="125" t="n">
        <f aca="false">E296+C296</f>
        <v>45352</v>
      </c>
      <c r="F297" s="425" t="n">
        <f aca="false">F249</f>
        <v>23</v>
      </c>
      <c r="G297" s="433" t="n">
        <f aca="false">C297-F297</f>
        <v>8</v>
      </c>
      <c r="H297" s="433"/>
      <c r="I297" s="433"/>
      <c r="K297" s="423" t="n">
        <f aca="false">E297</f>
        <v>45352</v>
      </c>
      <c r="L297" s="479" t="n">
        <v>0.073241807585957</v>
      </c>
      <c r="M297" s="479" t="n">
        <v>0.062384952175103</v>
      </c>
      <c r="N297" s="480" t="n">
        <f aca="false">(1+L297/2)^(-2*((K297+$T$1)-$K$1)/365.25)</f>
        <v>0.176496082504409</v>
      </c>
      <c r="P297" s="480"/>
    </row>
    <row r="298" customFormat="false" ht="16.5" hidden="false" customHeight="false" outlineLevel="0" collapsed="false">
      <c r="A298" s="59" t="n">
        <f aca="false">A297+1</f>
        <v>292</v>
      </c>
      <c r="C298" s="59" t="n">
        <v>30</v>
      </c>
      <c r="D298" s="59" t="s">
        <v>167</v>
      </c>
      <c r="E298" s="125" t="n">
        <f aca="false">E297+C297</f>
        <v>45383</v>
      </c>
      <c r="F298" s="425" t="n">
        <f aca="false">F250</f>
        <v>22</v>
      </c>
      <c r="G298" s="433" t="n">
        <f aca="false">C298-F298</f>
        <v>8</v>
      </c>
      <c r="H298" s="433"/>
      <c r="I298" s="433"/>
      <c r="K298" s="423" t="n">
        <f aca="false">E298</f>
        <v>45383</v>
      </c>
      <c r="L298" s="479" t="n">
        <v>0.073229709282762</v>
      </c>
      <c r="M298" s="479" t="n">
        <v>0.062321417964529</v>
      </c>
      <c r="N298" s="480" t="n">
        <f aca="false">(1+L298/2)^(-2*((K298+$T$1)-$K$1)/365.25)</f>
        <v>0.175471374730509</v>
      </c>
      <c r="P298" s="480"/>
    </row>
    <row r="299" customFormat="false" ht="16.5" hidden="false" customHeight="false" outlineLevel="0" collapsed="false">
      <c r="A299" s="59" t="n">
        <f aca="false">A298+1</f>
        <v>293</v>
      </c>
      <c r="C299" s="59" t="n">
        <v>31</v>
      </c>
      <c r="D299" s="59" t="s">
        <v>29</v>
      </c>
      <c r="E299" s="125" t="n">
        <f aca="false">E298+C298</f>
        <v>45413</v>
      </c>
      <c r="F299" s="425" t="n">
        <f aca="false">F251</f>
        <v>21</v>
      </c>
      <c r="G299" s="433" t="n">
        <f aca="false">C299-F299</f>
        <v>10</v>
      </c>
      <c r="H299" s="433"/>
      <c r="I299" s="433"/>
      <c r="K299" s="423" t="n">
        <f aca="false">E299</f>
        <v>45413</v>
      </c>
      <c r="L299" s="479" t="n">
        <v>0.073218001247458</v>
      </c>
      <c r="M299" s="479" t="n">
        <v>0.062259933271406</v>
      </c>
      <c r="N299" s="480" t="n">
        <f aca="false">(1+L299/2)^(-2*((K299+$T$1)-$K$1)/365.25)</f>
        <v>0.17448571631702</v>
      </c>
      <c r="P299" s="480"/>
    </row>
    <row r="300" customFormat="false" ht="16.5" hidden="false" customHeight="false" outlineLevel="0" collapsed="false">
      <c r="A300" s="59" t="n">
        <f aca="false">A299+1</f>
        <v>294</v>
      </c>
      <c r="C300" s="59" t="n">
        <v>30</v>
      </c>
      <c r="D300" s="59" t="s">
        <v>168</v>
      </c>
      <c r="E300" s="125" t="n">
        <f aca="false">E299+C299</f>
        <v>45444</v>
      </c>
      <c r="F300" s="425" t="n">
        <f aca="false">F252</f>
        <v>22</v>
      </c>
      <c r="G300" s="433" t="n">
        <f aca="false">C300-F300</f>
        <v>8</v>
      </c>
      <c r="H300" s="433"/>
      <c r="I300" s="433"/>
      <c r="K300" s="423" t="n">
        <f aca="false">E300</f>
        <v>45444</v>
      </c>
      <c r="L300" s="479" t="n">
        <v>0.073205902944359</v>
      </c>
      <c r="M300" s="479" t="n">
        <v>0.062196399116193</v>
      </c>
      <c r="N300" s="480" t="n">
        <f aca="false">(1+L300/2)^(-2*((K300+$T$1)-$K$1)/365.25)</f>
        <v>0.173473357221824</v>
      </c>
      <c r="P300" s="480"/>
    </row>
    <row r="301" customFormat="false" ht="16.5" hidden="false" customHeight="false" outlineLevel="0" collapsed="false">
      <c r="A301" s="59" t="n">
        <f aca="false">A300+1</f>
        <v>295</v>
      </c>
      <c r="C301" s="59" t="n">
        <v>31</v>
      </c>
      <c r="D301" s="59" t="s">
        <v>169</v>
      </c>
      <c r="E301" s="125" t="n">
        <f aca="false">E300+C300</f>
        <v>45474</v>
      </c>
      <c r="F301" s="425" t="n">
        <f aca="false">F253</f>
        <v>22</v>
      </c>
      <c r="G301" s="433" t="n">
        <f aca="false">C301-F301</f>
        <v>9</v>
      </c>
      <c r="H301" s="433"/>
      <c r="I301" s="433"/>
      <c r="K301" s="423" t="n">
        <f aca="false">E301</f>
        <v>45474</v>
      </c>
      <c r="L301" s="479" t="n">
        <v>0.073194194909147</v>
      </c>
      <c r="M301" s="479" t="n">
        <v>0.062134914476646</v>
      </c>
      <c r="N301" s="480" t="n">
        <f aca="false">(1+L301/2)^(-2*((K301+$T$1)-$K$1)/365.25)</f>
        <v>0.172499573392357</v>
      </c>
      <c r="P301" s="480"/>
    </row>
    <row r="302" customFormat="false" ht="16.5" hidden="false" customHeight="false" outlineLevel="0" collapsed="false">
      <c r="A302" s="59" t="n">
        <f aca="false">A301+1</f>
        <v>296</v>
      </c>
      <c r="C302" s="59" t="n">
        <v>31</v>
      </c>
      <c r="D302" s="59" t="s">
        <v>170</v>
      </c>
      <c r="E302" s="125" t="n">
        <f aca="false">E301+C301</f>
        <v>45505</v>
      </c>
      <c r="F302" s="425" t="n">
        <f aca="false">F254</f>
        <v>22</v>
      </c>
      <c r="G302" s="433" t="n">
        <f aca="false">C302-F302</f>
        <v>9</v>
      </c>
      <c r="H302" s="433"/>
      <c r="I302" s="433"/>
      <c r="K302" s="423" t="n">
        <f aca="false">E302</f>
        <v>45505</v>
      </c>
      <c r="L302" s="479" t="n">
        <v>0.073182096606143</v>
      </c>
      <c r="M302" s="479" t="n">
        <v>0.062071380376797</v>
      </c>
      <c r="N302" s="480" t="n">
        <f aca="false">(1+L302/2)^(-2*((K302+$T$1)-$K$1)/365.25)</f>
        <v>0.171499406945447</v>
      </c>
      <c r="P302" s="480"/>
    </row>
    <row r="303" customFormat="false" ht="16.5" hidden="false" customHeight="false" outlineLevel="0" collapsed="false">
      <c r="A303" s="59" t="n">
        <f aca="false">A302+1</f>
        <v>297</v>
      </c>
      <c r="C303" s="59" t="n">
        <v>30</v>
      </c>
      <c r="D303" s="59" t="s">
        <v>171</v>
      </c>
      <c r="E303" s="125" t="n">
        <f aca="false">E302+C302</f>
        <v>45536</v>
      </c>
      <c r="F303" s="425" t="n">
        <f aca="false">F255</f>
        <v>22</v>
      </c>
      <c r="G303" s="433" t="n">
        <f aca="false">C303-F303</f>
        <v>8</v>
      </c>
      <c r="H303" s="433"/>
      <c r="I303" s="433"/>
      <c r="K303" s="423" t="n">
        <f aca="false">E303</f>
        <v>45536</v>
      </c>
      <c r="L303" s="479" t="n">
        <v>0.073169998303187</v>
      </c>
      <c r="M303" s="479" t="n">
        <v>0.062007846305085</v>
      </c>
      <c r="N303" s="480" t="n">
        <f aca="false">(1+L303/2)^(-2*((K303+$T$1)-$K$1)/365.25)</f>
        <v>0.170505377626249</v>
      </c>
      <c r="P303" s="480"/>
    </row>
    <row r="304" customFormat="false" ht="16.5" hidden="false" customHeight="false" outlineLevel="0" collapsed="false">
      <c r="A304" s="59" t="n">
        <f aca="false">A303+1</f>
        <v>298</v>
      </c>
      <c r="C304" s="59" t="n">
        <v>31</v>
      </c>
      <c r="D304" s="59" t="s">
        <v>172</v>
      </c>
      <c r="E304" s="125" t="n">
        <f aca="false">E303+C303</f>
        <v>45566</v>
      </c>
      <c r="F304" s="425" t="n">
        <f aca="false">F256</f>
        <v>21</v>
      </c>
      <c r="G304" s="433" t="n">
        <f aca="false">C304-F304</f>
        <v>10</v>
      </c>
      <c r="H304" s="433"/>
      <c r="I304" s="433"/>
      <c r="K304" s="423" t="n">
        <f aca="false">E304</f>
        <v>45566</v>
      </c>
      <c r="L304" s="479" t="n">
        <v>0.073158290268114</v>
      </c>
      <c r="M304" s="479" t="n">
        <v>0.061946361746348</v>
      </c>
      <c r="N304" s="480" t="n">
        <f aca="false">(1+L304/2)^(-2*((K304+$T$1)-$K$1)/365.25)</f>
        <v>0.16954921992597</v>
      </c>
      <c r="P304" s="480"/>
    </row>
    <row r="305" customFormat="false" ht="16.5" hidden="false" customHeight="false" outlineLevel="0" collapsed="false">
      <c r="A305" s="59" t="n">
        <f aca="false">A304+1</f>
        <v>299</v>
      </c>
      <c r="C305" s="59" t="n">
        <v>30</v>
      </c>
      <c r="D305" s="59" t="s">
        <v>173</v>
      </c>
      <c r="E305" s="125" t="n">
        <f aca="false">E304+C304</f>
        <v>45597</v>
      </c>
      <c r="F305" s="425" t="n">
        <f aca="false">F257</f>
        <v>22</v>
      </c>
      <c r="G305" s="433" t="n">
        <f aca="false">C305-F305</f>
        <v>8</v>
      </c>
      <c r="H305" s="433"/>
      <c r="I305" s="433"/>
      <c r="K305" s="423" t="n">
        <f aca="false">E305</f>
        <v>45597</v>
      </c>
      <c r="L305" s="479" t="n">
        <v>0.073146191965253</v>
      </c>
      <c r="M305" s="479" t="n">
        <v>0.061882827730005</v>
      </c>
      <c r="N305" s="480" t="n">
        <f aca="false">(1+L305/2)^(-2*((K305+$T$1)-$K$1)/365.25)</f>
        <v>0.168567151807599</v>
      </c>
      <c r="P305" s="480"/>
    </row>
    <row r="306" customFormat="false" ht="16.5" hidden="false" customHeight="false" outlineLevel="0" collapsed="false">
      <c r="A306" s="59" t="n">
        <f aca="false">A305+1</f>
        <v>300</v>
      </c>
      <c r="C306" s="59" t="n">
        <v>31</v>
      </c>
      <c r="D306" s="59" t="s">
        <v>174</v>
      </c>
      <c r="E306" s="125" t="n">
        <f aca="false">E305+C305</f>
        <v>45627</v>
      </c>
      <c r="F306" s="425" t="n">
        <f aca="false">F258</f>
        <v>23</v>
      </c>
      <c r="G306" s="433" t="n">
        <f aca="false">C306-F306</f>
        <v>8</v>
      </c>
      <c r="H306" s="433" t="n">
        <f aca="false">SUM(F295:G306)</f>
        <v>366</v>
      </c>
      <c r="I306" s="433"/>
      <c r="K306" s="423" t="n">
        <f aca="false">E306</f>
        <v>45627</v>
      </c>
      <c r="L306" s="479" t="n">
        <v>0.073134483930272</v>
      </c>
      <c r="M306" s="479" t="n">
        <v>0.061821343224852</v>
      </c>
      <c r="N306" s="480" t="n">
        <f aca="false">(1+L306/2)^(-2*((K306+$T$1)-$K$1)/365.25)</f>
        <v>0.167622496189203</v>
      </c>
      <c r="P306" s="480"/>
      <c r="AZ306" s="425" t="n">
        <f aca="false">AY306*N306</f>
        <v>0</v>
      </c>
    </row>
    <row r="307" customFormat="false" ht="16.5" hidden="false" customHeight="false" outlineLevel="0" collapsed="false">
      <c r="A307" s="59" t="n">
        <f aca="false">A306+1</f>
        <v>301</v>
      </c>
      <c r="C307" s="59" t="n">
        <v>31</v>
      </c>
      <c r="D307" s="59" t="s">
        <v>164</v>
      </c>
      <c r="E307" s="125" t="n">
        <f aca="false">E306+C306</f>
        <v>45658</v>
      </c>
      <c r="F307" s="425" t="n">
        <f aca="false">F259</f>
        <v>23</v>
      </c>
      <c r="G307" s="433" t="n">
        <f aca="false">C307-F307</f>
        <v>8</v>
      </c>
      <c r="H307" s="433"/>
      <c r="I307" s="433"/>
      <c r="K307" s="423" t="n">
        <f aca="false">E307</f>
        <v>45658</v>
      </c>
      <c r="L307" s="479" t="n">
        <v>0.073122385627507</v>
      </c>
      <c r="M307" s="479" t="n">
        <v>0.061757809263881</v>
      </c>
      <c r="N307" s="480" t="n">
        <f aca="false">(1+L307/2)^(-2*((K307+$T$1)-$K$1)/365.25)</f>
        <v>0.166652238341611</v>
      </c>
      <c r="P307" s="480"/>
    </row>
    <row r="308" customFormat="false" ht="16.5" hidden="false" customHeight="false" outlineLevel="0" collapsed="false">
      <c r="A308" s="59" t="n">
        <f aca="false">A307+1</f>
        <v>302</v>
      </c>
      <c r="C308" s="59" t="n">
        <v>28</v>
      </c>
      <c r="D308" s="59" t="s">
        <v>165</v>
      </c>
      <c r="E308" s="125" t="n">
        <f aca="false">E307+C307</f>
        <v>45689</v>
      </c>
      <c r="F308" s="425" t="n">
        <f aca="false">F260</f>
        <v>20</v>
      </c>
      <c r="G308" s="433" t="n">
        <f aca="false">C308-F308</f>
        <v>8</v>
      </c>
      <c r="H308" s="433"/>
      <c r="I308" s="433"/>
      <c r="K308" s="423" t="n">
        <f aca="false">E308</f>
        <v>45689</v>
      </c>
      <c r="L308" s="479" t="n">
        <v>0.073110287324789</v>
      </c>
      <c r="M308" s="479" t="n">
        <v>0.061694275331052</v>
      </c>
      <c r="N308" s="480" t="n">
        <f aca="false">(1+L308/2)^(-2*((K308+$T$1)-$K$1)/365.25)</f>
        <v>0.165687925231003</v>
      </c>
      <c r="P308" s="480"/>
    </row>
    <row r="309" customFormat="false" ht="16.5" hidden="false" customHeight="false" outlineLevel="0" collapsed="false">
      <c r="A309" s="59" t="n">
        <f aca="false">A308+1</f>
        <v>303</v>
      </c>
      <c r="C309" s="59" t="n">
        <v>31</v>
      </c>
      <c r="D309" s="59" t="s">
        <v>166</v>
      </c>
      <c r="E309" s="125" t="n">
        <f aca="false">E308+C308</f>
        <v>45717</v>
      </c>
      <c r="F309" s="425" t="n">
        <f aca="false">F261</f>
        <v>22</v>
      </c>
      <c r="G309" s="433" t="n">
        <f aca="false">C309-F309</f>
        <v>9</v>
      </c>
      <c r="H309" s="433"/>
      <c r="I309" s="433"/>
      <c r="K309" s="423" t="n">
        <f aca="false">E309</f>
        <v>45717</v>
      </c>
      <c r="L309" s="479" t="n">
        <v>0.073099359825602</v>
      </c>
      <c r="M309" s="479" t="n">
        <v>0.061636889867524</v>
      </c>
      <c r="N309" s="480" t="n">
        <f aca="false">(1+L309/2)^(-2*((K309+$T$1)-$K$1)/365.25)</f>
        <v>0.164822010585138</v>
      </c>
      <c r="P309" s="480"/>
    </row>
    <row r="310" customFormat="false" ht="16.5" hidden="false" customHeight="false" outlineLevel="0" collapsed="false">
      <c r="A310" s="59" t="n">
        <f aca="false">A309+1</f>
        <v>304</v>
      </c>
      <c r="C310" s="59" t="n">
        <v>30</v>
      </c>
      <c r="D310" s="59" t="s">
        <v>167</v>
      </c>
      <c r="E310" s="125" t="n">
        <f aca="false">E309+C309</f>
        <v>45748</v>
      </c>
      <c r="F310" s="425" t="n">
        <f aca="false">F262</f>
        <v>21</v>
      </c>
      <c r="G310" s="433" t="n">
        <f aca="false">C310-F310</f>
        <v>9</v>
      </c>
      <c r="H310" s="433"/>
      <c r="I310" s="433"/>
      <c r="K310" s="423" t="n">
        <f aca="false">E310</f>
        <v>45748</v>
      </c>
      <c r="L310" s="479" t="n">
        <v>0.073087261522976</v>
      </c>
      <c r="M310" s="479" t="n">
        <v>0.061573355988255</v>
      </c>
      <c r="N310" s="480" t="n">
        <f aca="false">(1+L310/2)^(-2*((K310+$T$1)-$K$1)/365.25)</f>
        <v>0.163868906302902</v>
      </c>
      <c r="P310" s="480"/>
    </row>
    <row r="311" customFormat="false" ht="16.5" hidden="false" customHeight="false" outlineLevel="0" collapsed="false">
      <c r="A311" s="59" t="n">
        <f aca="false">A310+1</f>
        <v>305</v>
      </c>
      <c r="C311" s="59" t="n">
        <v>31</v>
      </c>
      <c r="D311" s="59" t="s">
        <v>29</v>
      </c>
      <c r="E311" s="125" t="n">
        <f aca="false">E310+C310</f>
        <v>45778</v>
      </c>
      <c r="F311" s="425" t="n">
        <f aca="false">F263</f>
        <v>23</v>
      </c>
      <c r="G311" s="433" t="n">
        <f aca="false">C311-F311</f>
        <v>8</v>
      </c>
      <c r="H311" s="433"/>
      <c r="I311" s="433"/>
      <c r="K311" s="423" t="n">
        <f aca="false">E311</f>
        <v>45778</v>
      </c>
      <c r="L311" s="479" t="n">
        <v>0.073075553488223</v>
      </c>
      <c r="M311" s="479" t="n">
        <v>0.06151187161576</v>
      </c>
      <c r="N311" s="480" t="n">
        <f aca="false">(1+L311/2)^(-2*((K311+$T$1)-$K$1)/365.25)</f>
        <v>0.162952102938702</v>
      </c>
      <c r="P311" s="480"/>
    </row>
    <row r="312" customFormat="false" ht="16.5" hidden="false" customHeight="false" outlineLevel="0" collapsed="false">
      <c r="A312" s="59" t="n">
        <f aca="false">A311+1</f>
        <v>306</v>
      </c>
      <c r="C312" s="59" t="n">
        <v>30</v>
      </c>
      <c r="D312" s="59" t="s">
        <v>168</v>
      </c>
      <c r="E312" s="125" t="n">
        <f aca="false">E311+C311</f>
        <v>45809</v>
      </c>
      <c r="F312" s="425" t="n">
        <f aca="false">F264</f>
        <v>21</v>
      </c>
      <c r="G312" s="433" t="n">
        <f aca="false">C312-F312</f>
        <v>9</v>
      </c>
      <c r="H312" s="433"/>
      <c r="I312" s="433"/>
      <c r="K312" s="423" t="n">
        <f aca="false">E312</f>
        <v>45809</v>
      </c>
      <c r="L312" s="479" t="n">
        <v>0.073063455185693</v>
      </c>
      <c r="M312" s="479" t="n">
        <v>0.061448337791872</v>
      </c>
      <c r="N312" s="480" t="n">
        <f aca="false">(1+L312/2)^(-2*((K312+$T$1)-$K$1)/365.25)</f>
        <v>0.162010443794635</v>
      </c>
      <c r="P312" s="480"/>
    </row>
    <row r="313" customFormat="false" ht="16.5" hidden="false" customHeight="false" outlineLevel="0" collapsed="false">
      <c r="A313" s="59" t="n">
        <f aca="false">A312+1</f>
        <v>307</v>
      </c>
      <c r="C313" s="59" t="n">
        <v>31</v>
      </c>
      <c r="D313" s="59" t="s">
        <v>169</v>
      </c>
      <c r="E313" s="125" t="n">
        <f aca="false">E312+C312</f>
        <v>45839</v>
      </c>
      <c r="F313" s="425" t="n">
        <f aca="false">F265</f>
        <v>22</v>
      </c>
      <c r="G313" s="433" t="n">
        <f aca="false">C313-F313</f>
        <v>9</v>
      </c>
      <c r="H313" s="433"/>
      <c r="I313" s="433"/>
      <c r="K313" s="423" t="n">
        <f aca="false">E313</f>
        <v>45839</v>
      </c>
      <c r="L313" s="479" t="n">
        <v>0.073051747151032</v>
      </c>
      <c r="M313" s="479" t="n">
        <v>0.061386853472972</v>
      </c>
      <c r="N313" s="480" t="n">
        <f aca="false">(1+L313/2)^(-2*((K313+$T$1)-$K$1)/365.25)</f>
        <v>0.161104646390182</v>
      </c>
      <c r="P313" s="480"/>
    </row>
    <row r="314" customFormat="false" ht="16.5" hidden="false" customHeight="false" outlineLevel="0" collapsed="false">
      <c r="A314" s="59" t="n">
        <f aca="false">A313+1</f>
        <v>308</v>
      </c>
      <c r="C314" s="59" t="n">
        <v>31</v>
      </c>
      <c r="D314" s="59" t="s">
        <v>170</v>
      </c>
      <c r="E314" s="125" t="n">
        <f aca="false">E313+C313</f>
        <v>45870</v>
      </c>
      <c r="F314" s="425" t="n">
        <f aca="false">F266</f>
        <v>23</v>
      </c>
      <c r="G314" s="433" t="n">
        <f aca="false">C314-F314</f>
        <v>8</v>
      </c>
      <c r="H314" s="433"/>
      <c r="I314" s="433"/>
      <c r="K314" s="423" t="n">
        <f aca="false">E314</f>
        <v>45870</v>
      </c>
      <c r="L314" s="479" t="n">
        <v>0.073039648848597</v>
      </c>
      <c r="M314" s="479" t="n">
        <v>0.061323319704468</v>
      </c>
      <c r="N314" s="480" t="n">
        <f aca="false">(1+L314/2)^(-2*((K314+$T$1)-$K$1)/365.25)</f>
        <v>0.160174288237053</v>
      </c>
      <c r="P314" s="480"/>
    </row>
    <row r="315" customFormat="false" ht="16.5" hidden="false" customHeight="false" outlineLevel="0" collapsed="false">
      <c r="A315" s="59" t="n">
        <f aca="false">A314+1</f>
        <v>309</v>
      </c>
      <c r="C315" s="59" t="n">
        <v>30</v>
      </c>
      <c r="D315" s="59" t="s">
        <v>171</v>
      </c>
      <c r="E315" s="125" t="n">
        <f aca="false">E314+C314</f>
        <v>45901</v>
      </c>
      <c r="F315" s="425" t="n">
        <f aca="false">F267</f>
        <v>20</v>
      </c>
      <c r="G315" s="433" t="n">
        <f aca="false">C315-F315</f>
        <v>10</v>
      </c>
      <c r="H315" s="433"/>
      <c r="I315" s="433"/>
      <c r="K315" s="423" t="n">
        <f aca="false">E315</f>
        <v>45901</v>
      </c>
      <c r="L315" s="479" t="n">
        <v>0.073027550546209</v>
      </c>
      <c r="M315" s="479" t="n">
        <v>0.06125978596411</v>
      </c>
      <c r="N315" s="480" t="n">
        <f aca="false">(1+L315/2)^(-2*((K315+$T$1)-$K$1)/365.25)</f>
        <v>0.159249618576252</v>
      </c>
      <c r="P315" s="480"/>
    </row>
    <row r="316" customFormat="false" ht="16.5" hidden="false" customHeight="false" outlineLevel="0" collapsed="false">
      <c r="A316" s="59" t="n">
        <f aca="false">A315+1</f>
        <v>310</v>
      </c>
      <c r="C316" s="59" t="n">
        <v>31</v>
      </c>
      <c r="D316" s="59" t="s">
        <v>172</v>
      </c>
      <c r="E316" s="125" t="n">
        <f aca="false">E315+C315</f>
        <v>45931</v>
      </c>
      <c r="F316" s="425" t="n">
        <f aca="false">F268</f>
        <v>23</v>
      </c>
      <c r="G316" s="433" t="n">
        <f aca="false">C316-F316</f>
        <v>8</v>
      </c>
      <c r="H316" s="433"/>
      <c r="I316" s="433"/>
      <c r="K316" s="423" t="n">
        <f aca="false">E316</f>
        <v>45931</v>
      </c>
      <c r="L316" s="479" t="n">
        <v>0.073015842511687</v>
      </c>
      <c r="M316" s="479" t="n">
        <v>0.061198301726049</v>
      </c>
      <c r="N316" s="480" t="n">
        <f aca="false">(1+L316/2)^(-2*((K316+$T$1)-$K$1)/365.25)</f>
        <v>0.158360158796907</v>
      </c>
      <c r="P316" s="480"/>
    </row>
    <row r="317" customFormat="false" ht="16.5" hidden="false" customHeight="false" outlineLevel="0" collapsed="false">
      <c r="A317" s="59" t="n">
        <f aca="false">A316+1</f>
        <v>311</v>
      </c>
      <c r="C317" s="59" t="n">
        <v>30</v>
      </c>
      <c r="D317" s="59" t="s">
        <v>173</v>
      </c>
      <c r="E317" s="125" t="n">
        <f aca="false">E316+C316</f>
        <v>45962</v>
      </c>
      <c r="F317" s="425" t="n">
        <f aca="false">F269</f>
        <v>22</v>
      </c>
      <c r="G317" s="433" t="n">
        <f aca="false">C317-F317</f>
        <v>8</v>
      </c>
      <c r="H317" s="433"/>
      <c r="I317" s="433"/>
      <c r="K317" s="423" t="n">
        <f aca="false">E317</f>
        <v>45962</v>
      </c>
      <c r="L317" s="479" t="n">
        <v>0.073003744209395</v>
      </c>
      <c r="M317" s="479" t="n">
        <v>0.06113476804108</v>
      </c>
      <c r="N317" s="480" t="n">
        <f aca="false">(1+L317/2)^(-2*((K317+$T$1)-$K$1)/365.25)</f>
        <v>0.157446576295804</v>
      </c>
      <c r="P317" s="480"/>
    </row>
    <row r="318" customFormat="false" ht="16.5" hidden="false" customHeight="false" outlineLevel="0" collapsed="false">
      <c r="A318" s="59" t="n">
        <f aca="false">A317+1</f>
        <v>312</v>
      </c>
      <c r="C318" s="59" t="n">
        <v>31</v>
      </c>
      <c r="D318" s="59" t="s">
        <v>174</v>
      </c>
      <c r="E318" s="125" t="n">
        <f aca="false">E317+C317</f>
        <v>45992</v>
      </c>
      <c r="F318" s="425" t="n">
        <f aca="false">F270</f>
        <v>21</v>
      </c>
      <c r="G318" s="433" t="n">
        <f aca="false">C318-F318</f>
        <v>10</v>
      </c>
      <c r="H318" s="433" t="n">
        <f aca="false">SUM(F307:G318)</f>
        <v>365</v>
      </c>
      <c r="I318" s="433"/>
      <c r="K318" s="423" t="n">
        <f aca="false">E318</f>
        <v>45992</v>
      </c>
      <c r="L318" s="479" t="n">
        <v>0.072992036174965</v>
      </c>
      <c r="M318" s="479" t="n">
        <v>0.061073283856622</v>
      </c>
      <c r="N318" s="480" t="n">
        <f aca="false">(1+L318/2)^(-2*((K318+$T$1)-$K$1)/365.25)</f>
        <v>0.156567778326487</v>
      </c>
      <c r="P318" s="480"/>
      <c r="AZ318" s="425" t="n">
        <f aca="false">AY318*N318</f>
        <v>0</v>
      </c>
    </row>
    <row r="319" customFormat="false" ht="16.5" hidden="false" customHeight="false" outlineLevel="0" collapsed="false">
      <c r="A319" s="59" t="n">
        <f aca="false">A318+1</f>
        <v>313</v>
      </c>
      <c r="C319" s="59" t="n">
        <v>31</v>
      </c>
      <c r="D319" s="59" t="s">
        <v>164</v>
      </c>
      <c r="E319" s="125" t="n">
        <f aca="false">E318+C318</f>
        <v>46023</v>
      </c>
      <c r="F319" s="425" t="n">
        <f aca="false">F271</f>
        <v>23</v>
      </c>
      <c r="G319" s="433" t="n">
        <f aca="false">C319-F319</f>
        <v>8</v>
      </c>
      <c r="H319" s="433"/>
      <c r="I319" s="433"/>
      <c r="K319" s="423" t="n">
        <f aca="false">E319</f>
        <v>46023</v>
      </c>
      <c r="L319" s="479" t="n">
        <v>0.072979937872768</v>
      </c>
      <c r="M319" s="479" t="n">
        <v>0.061009750227045</v>
      </c>
      <c r="N319" s="480" t="n">
        <f aca="false">(1+L319/2)^(-2*((K319+$T$1)-$K$1)/365.25)</f>
        <v>0.155665143535843</v>
      </c>
      <c r="P319" s="480"/>
    </row>
    <row r="320" customFormat="false" ht="16.5" hidden="false" customHeight="false" outlineLevel="0" collapsed="false">
      <c r="A320" s="59" t="n">
        <f aca="false">A319+1</f>
        <v>314</v>
      </c>
      <c r="C320" s="59" t="n">
        <v>28</v>
      </c>
      <c r="D320" s="59" t="s">
        <v>165</v>
      </c>
      <c r="E320" s="125" t="n">
        <f aca="false">E319+C319</f>
        <v>46054</v>
      </c>
      <c r="F320" s="425" t="n">
        <f aca="false">F272</f>
        <v>20</v>
      </c>
      <c r="G320" s="433" t="n">
        <f aca="false">C320-F320</f>
        <v>8</v>
      </c>
      <c r="H320" s="433"/>
      <c r="I320" s="433"/>
      <c r="K320" s="423" t="n">
        <f aca="false">E320</f>
        <v>46054</v>
      </c>
      <c r="L320" s="479" t="n">
        <v>0.07296783957062</v>
      </c>
      <c r="M320" s="479" t="n">
        <v>0.060946216625619</v>
      </c>
      <c r="N320" s="480" t="n">
        <f aca="false">(1+L320/2)^(-2*((K320+$T$1)-$K$1)/365.25)</f>
        <v>0.154768019481417</v>
      </c>
      <c r="P320" s="480"/>
    </row>
    <row r="321" customFormat="false" ht="16.5" hidden="false" customHeight="false" outlineLevel="0" collapsed="false">
      <c r="A321" s="59" t="n">
        <f aca="false">A320+1</f>
        <v>315</v>
      </c>
      <c r="C321" s="59" t="n">
        <v>31</v>
      </c>
      <c r="D321" s="59" t="s">
        <v>166</v>
      </c>
      <c r="E321" s="125" t="n">
        <f aca="false">E320+C320</f>
        <v>46082</v>
      </c>
      <c r="F321" s="425" t="n">
        <f aca="false">F273</f>
        <v>21</v>
      </c>
      <c r="G321" s="433" t="n">
        <f aca="false">C321-F321</f>
        <v>10</v>
      </c>
      <c r="H321" s="433"/>
      <c r="I321" s="433"/>
      <c r="K321" s="423" t="n">
        <f aca="false">E321</f>
        <v>46082</v>
      </c>
      <c r="L321" s="479" t="n">
        <v>0.072956912071947</v>
      </c>
      <c r="M321" s="479" t="n">
        <v>0.060888831461431</v>
      </c>
      <c r="N321" s="480" t="n">
        <f aca="false">(1+L321/2)^(-2*((K321+$T$1)-$K$1)/365.25)</f>
        <v>0.153962421108298</v>
      </c>
      <c r="P321" s="480"/>
    </row>
    <row r="322" customFormat="false" ht="16.5" hidden="false" customHeight="false" outlineLevel="0" collapsed="false">
      <c r="A322" s="59" t="n">
        <f aca="false">A321+1</f>
        <v>316</v>
      </c>
      <c r="C322" s="59" t="n">
        <v>30</v>
      </c>
      <c r="D322" s="59" t="s">
        <v>167</v>
      </c>
      <c r="E322" s="125" t="n">
        <f aca="false">E321+C321</f>
        <v>46113</v>
      </c>
      <c r="F322" s="425" t="n">
        <f aca="false">F274</f>
        <v>22</v>
      </c>
      <c r="G322" s="433" t="n">
        <f aca="false">C322-F322</f>
        <v>8</v>
      </c>
      <c r="H322" s="433"/>
      <c r="I322" s="433"/>
      <c r="K322" s="423" t="n">
        <f aca="false">E322</f>
        <v>46113</v>
      </c>
      <c r="L322" s="479" t="n">
        <v>0.07294481376989</v>
      </c>
      <c r="M322" s="479" t="n">
        <v>0.060825297913586</v>
      </c>
      <c r="N322" s="480" t="n">
        <f aca="false">(1+L322/2)^(-2*((K322+$T$1)-$K$1)/365.25)</f>
        <v>0.153075687887898</v>
      </c>
      <c r="P322" s="480"/>
    </row>
    <row r="323" customFormat="false" ht="16.5" hidden="false" customHeight="false" outlineLevel="0" collapsed="false">
      <c r="A323" s="59" t="n">
        <f aca="false">A322+1</f>
        <v>317</v>
      </c>
      <c r="C323" s="59" t="n">
        <v>31</v>
      </c>
      <c r="D323" s="59" t="s">
        <v>29</v>
      </c>
      <c r="E323" s="125" t="n">
        <f aca="false">E322+C322</f>
        <v>46143</v>
      </c>
      <c r="F323" s="425" t="n">
        <f aca="false">F275</f>
        <v>23</v>
      </c>
      <c r="G323" s="433" t="n">
        <f aca="false">C323-F323</f>
        <v>8</v>
      </c>
      <c r="H323" s="433"/>
      <c r="I323" s="433"/>
      <c r="K323" s="423" t="n">
        <f aca="false">E323</f>
        <v>46143</v>
      </c>
      <c r="L323" s="479" t="n">
        <v>0.072933105735688</v>
      </c>
      <c r="M323" s="479" t="n">
        <v>0.060763813861831</v>
      </c>
      <c r="N323" s="480" t="n">
        <f aca="false">(1+L323/2)^(-2*((K323+$T$1)-$K$1)/365.25)</f>
        <v>0.152222709303136</v>
      </c>
      <c r="P323" s="480"/>
    </row>
    <row r="324" customFormat="false" ht="16.5" hidden="false" customHeight="false" outlineLevel="0" collapsed="false">
      <c r="A324" s="59" t="n">
        <f aca="false">A323+1</f>
        <v>318</v>
      </c>
      <c r="C324" s="59" t="n">
        <v>30</v>
      </c>
      <c r="D324" s="59" t="s">
        <v>168</v>
      </c>
      <c r="E324" s="125" t="n">
        <f aca="false">E323+C323</f>
        <v>46174</v>
      </c>
      <c r="F324" s="425" t="n">
        <f aca="false">F276</f>
        <v>20</v>
      </c>
      <c r="G324" s="433" t="n">
        <f aca="false">C324-F324</f>
        <v>10</v>
      </c>
      <c r="H324" s="433"/>
      <c r="I324" s="433"/>
      <c r="K324" s="423" t="n">
        <f aca="false">E324</f>
        <v>46174</v>
      </c>
      <c r="L324" s="479" t="n">
        <v>0.072921007433726</v>
      </c>
      <c r="M324" s="479" t="n">
        <v>0.060700280369386</v>
      </c>
      <c r="N324" s="480" t="n">
        <f aca="false">(1+L324/2)^(-2*((K324+$T$1)-$K$1)/365.25)</f>
        <v>0.151346586411854</v>
      </c>
      <c r="P324" s="480"/>
    </row>
    <row r="325" customFormat="false" ht="16.5" hidden="false" customHeight="false" outlineLevel="0" collapsed="false">
      <c r="A325" s="59" t="n">
        <f aca="false">A324+1</f>
        <v>319</v>
      </c>
      <c r="C325" s="59" t="n">
        <v>31</v>
      </c>
      <c r="D325" s="59" t="s">
        <v>169</v>
      </c>
      <c r="E325" s="125" t="n">
        <f aca="false">E324+C324</f>
        <v>46204</v>
      </c>
      <c r="F325" s="425" t="n">
        <f aca="false">F277</f>
        <v>23</v>
      </c>
      <c r="G325" s="433" t="n">
        <f aca="false">C325-F325</f>
        <v>8</v>
      </c>
      <c r="H325" s="433"/>
      <c r="I325" s="433"/>
      <c r="K325" s="423" t="n">
        <f aca="false">E325</f>
        <v>46204</v>
      </c>
      <c r="L325" s="479" t="n">
        <v>0.072909299399616</v>
      </c>
      <c r="M325" s="479" t="n">
        <v>0.060638796371245</v>
      </c>
      <c r="N325" s="480" t="n">
        <f aca="false">(1+L325/2)^(-2*((K325+$T$1)-$K$1)/365.25)</f>
        <v>0.150503811222004</v>
      </c>
      <c r="P325" s="480"/>
    </row>
    <row r="326" customFormat="false" ht="16.5" hidden="false" customHeight="false" outlineLevel="0" collapsed="false">
      <c r="A326" s="59" t="n">
        <f aca="false">A325+1</f>
        <v>320</v>
      </c>
      <c r="C326" s="59" t="n">
        <v>31</v>
      </c>
      <c r="D326" s="59" t="s">
        <v>170</v>
      </c>
      <c r="E326" s="125" t="n">
        <f aca="false">E325+C325</f>
        <v>46235</v>
      </c>
      <c r="F326" s="425" t="n">
        <f aca="false">F278</f>
        <v>22</v>
      </c>
      <c r="G326" s="433" t="n">
        <f aca="false">C326-F326</f>
        <v>9</v>
      </c>
      <c r="H326" s="433"/>
      <c r="I326" s="433"/>
      <c r="K326" s="423" t="n">
        <f aca="false">E326</f>
        <v>46235</v>
      </c>
      <c r="L326" s="479" t="n">
        <v>0.072897201097749</v>
      </c>
      <c r="M326" s="479" t="n">
        <v>0.060575262934202</v>
      </c>
      <c r="N326" s="480" t="n">
        <f aca="false">(1+L326/2)^(-2*((K326+$T$1)-$K$1)/365.25)</f>
        <v>0.149638165459011</v>
      </c>
      <c r="P326" s="480"/>
    </row>
    <row r="327" customFormat="false" ht="16.5" hidden="false" customHeight="false" outlineLevel="0" collapsed="false">
      <c r="A327" s="59" t="n">
        <f aca="false">A326+1</f>
        <v>321</v>
      </c>
      <c r="C327" s="59" t="n">
        <v>30</v>
      </c>
      <c r="D327" s="59" t="s">
        <v>171</v>
      </c>
      <c r="E327" s="125" t="n">
        <f aca="false">E326+C326</f>
        <v>46266</v>
      </c>
      <c r="F327" s="425" t="n">
        <f aca="false">F279</f>
        <v>21</v>
      </c>
      <c r="G327" s="433" t="n">
        <f aca="false">C327-F327</f>
        <v>9</v>
      </c>
      <c r="H327" s="433"/>
      <c r="I327" s="433"/>
      <c r="K327" s="423" t="n">
        <f aca="false">E327</f>
        <v>46266</v>
      </c>
      <c r="L327" s="479" t="n">
        <v>0.072885102795932</v>
      </c>
      <c r="M327" s="479" t="n">
        <v>0.060511729525316</v>
      </c>
      <c r="N327" s="480" t="n">
        <f aca="false">(1+L327/2)^(-2*((K327+$T$1)-$K$1)/365.25)</f>
        <v>0.148777793651225</v>
      </c>
      <c r="P327" s="480"/>
    </row>
    <row r="328" customFormat="false" ht="16.5" hidden="false" customHeight="false" outlineLevel="0" collapsed="false">
      <c r="A328" s="59" t="n">
        <f aca="false">A327+1</f>
        <v>322</v>
      </c>
      <c r="C328" s="59" t="n">
        <v>31</v>
      </c>
      <c r="D328" s="59" t="s">
        <v>172</v>
      </c>
      <c r="E328" s="125" t="n">
        <f aca="false">E327+C327</f>
        <v>46296</v>
      </c>
      <c r="F328" s="425" t="n">
        <f aca="false">F280</f>
        <v>23</v>
      </c>
      <c r="G328" s="433" t="n">
        <f aca="false">C328-F328</f>
        <v>8</v>
      </c>
      <c r="H328" s="433"/>
      <c r="I328" s="433"/>
      <c r="K328" s="423" t="n">
        <f aca="false">E328</f>
        <v>46296</v>
      </c>
      <c r="L328" s="479" t="n">
        <v>0.07287339476196</v>
      </c>
      <c r="M328" s="479" t="n">
        <v>0.060450245608043</v>
      </c>
      <c r="N328" s="480" t="n">
        <f aca="false">(1+L328/2)^(-2*((K328+$T$1)-$K$1)/365.25)</f>
        <v>0.147950165514536</v>
      </c>
      <c r="P328" s="480"/>
    </row>
    <row r="329" customFormat="false" ht="16.5" hidden="false" customHeight="false" outlineLevel="0" collapsed="false">
      <c r="A329" s="59" t="n">
        <f aca="false">A328+1</f>
        <v>323</v>
      </c>
      <c r="C329" s="59" t="n">
        <v>30</v>
      </c>
      <c r="D329" s="59" t="s">
        <v>173</v>
      </c>
      <c r="E329" s="125" t="n">
        <f aca="false">E328+C328</f>
        <v>46327</v>
      </c>
      <c r="F329" s="425" t="n">
        <f aca="false">F281</f>
        <v>21</v>
      </c>
      <c r="G329" s="433" t="n">
        <f aca="false">C329-F329</f>
        <v>9</v>
      </c>
      <c r="H329" s="433"/>
      <c r="I329" s="433"/>
      <c r="K329" s="423" t="n">
        <f aca="false">E329</f>
        <v>46327</v>
      </c>
      <c r="L329" s="479" t="n">
        <v>0.072861296460237</v>
      </c>
      <c r="M329" s="479" t="n">
        <v>0.060386712254566</v>
      </c>
      <c r="N329" s="480" t="n">
        <f aca="false">(1+L329/2)^(-2*((K329+$T$1)-$K$1)/365.25)</f>
        <v>0.147100073232094</v>
      </c>
      <c r="P329" s="480"/>
    </row>
    <row r="330" customFormat="false" ht="16.5" hidden="false" customHeight="false" outlineLevel="0" collapsed="false">
      <c r="A330" s="59" t="n">
        <f aca="false">A329+1</f>
        <v>324</v>
      </c>
      <c r="C330" s="59" t="n">
        <v>31</v>
      </c>
      <c r="D330" s="59" t="s">
        <v>174</v>
      </c>
      <c r="E330" s="125" t="n">
        <f aca="false">E329+C329</f>
        <v>46357</v>
      </c>
      <c r="F330" s="425" t="n">
        <f aca="false">F282</f>
        <v>22</v>
      </c>
      <c r="G330" s="433" t="n">
        <f aca="false">C330-F330</f>
        <v>9</v>
      </c>
      <c r="H330" s="433" t="n">
        <f aca="false">SUM(F319:G330)</f>
        <v>365</v>
      </c>
      <c r="I330" s="433"/>
      <c r="K330" s="423" t="n">
        <f aca="false">E330</f>
        <v>46357</v>
      </c>
      <c r="L330" s="479" t="n">
        <v>0.072849588426357</v>
      </c>
      <c r="M330" s="479" t="n">
        <v>0.060325228390915</v>
      </c>
      <c r="N330" s="480" t="n">
        <f aca="false">(1+L330/2)^(-2*((K330+$T$1)-$K$1)/365.25)</f>
        <v>0.146282330459189</v>
      </c>
      <c r="P330" s="480"/>
      <c r="AZ330" s="425" t="n">
        <f aca="false">AY330*N330</f>
        <v>0</v>
      </c>
    </row>
    <row r="331" customFormat="false" ht="16.5" hidden="false" customHeight="false" outlineLevel="0" collapsed="false">
      <c r="A331" s="59" t="n">
        <f aca="false">A330+1</f>
        <v>325</v>
      </c>
      <c r="C331" s="59" t="n">
        <v>31</v>
      </c>
      <c r="D331" s="59" t="s">
        <v>164</v>
      </c>
      <c r="E331" s="125" t="n">
        <f aca="false">E330+C330</f>
        <v>46388</v>
      </c>
      <c r="F331" s="425" t="n">
        <f aca="false">F283</f>
        <v>23</v>
      </c>
      <c r="G331" s="433" t="n">
        <f aca="false">C331-F331</f>
        <v>8</v>
      </c>
      <c r="H331" s="433"/>
      <c r="I331" s="433"/>
      <c r="K331" s="423" t="n">
        <f aca="false">E331</f>
        <v>46388</v>
      </c>
      <c r="L331" s="479" t="n">
        <v>0.07283749012473</v>
      </c>
      <c r="M331" s="479" t="n">
        <v>0.060261695092848</v>
      </c>
      <c r="N331" s="480" t="n">
        <f aca="false">(1+L331/2)^(-2*((K331+$T$1)-$K$1)/365.25)</f>
        <v>0.14544238882961</v>
      </c>
      <c r="P331" s="480"/>
    </row>
    <row r="332" customFormat="false" ht="16.5" hidden="false" customHeight="false" outlineLevel="0" collapsed="false">
      <c r="A332" s="59" t="n">
        <f aca="false">A331+1</f>
        <v>326</v>
      </c>
      <c r="C332" s="59" t="n">
        <v>28</v>
      </c>
      <c r="D332" s="59" t="s">
        <v>165</v>
      </c>
      <c r="E332" s="125" t="n">
        <f aca="false">E331+C331</f>
        <v>46419</v>
      </c>
      <c r="F332" s="425" t="n">
        <f aca="false">F284</f>
        <v>20</v>
      </c>
      <c r="G332" s="433" t="n">
        <f aca="false">C332-F332</f>
        <v>8</v>
      </c>
      <c r="H332" s="433"/>
      <c r="I332" s="433"/>
      <c r="K332" s="423" t="n">
        <f aca="false">E332</f>
        <v>46419</v>
      </c>
      <c r="L332" s="479" t="n">
        <v>0.07282539182315</v>
      </c>
      <c r="M332" s="479" t="n">
        <v>0.060198161822943</v>
      </c>
      <c r="N332" s="480" t="n">
        <f aca="false">(1+L332/2)^(-2*((K332+$T$1)-$K$1)/365.25)</f>
        <v>0.144607556881401</v>
      </c>
      <c r="P332" s="480"/>
    </row>
    <row r="333" customFormat="false" ht="16.5" hidden="false" customHeight="false" outlineLevel="0" collapsed="false">
      <c r="A333" s="59" t="n">
        <f aca="false">A332+1</f>
        <v>327</v>
      </c>
      <c r="C333" s="59" t="n">
        <v>31</v>
      </c>
      <c r="D333" s="59" t="s">
        <v>166</v>
      </c>
      <c r="E333" s="125" t="n">
        <f aca="false">E332+C332</f>
        <v>46447</v>
      </c>
      <c r="F333" s="425" t="n">
        <f aca="false">F285</f>
        <v>21</v>
      </c>
      <c r="G333" s="433" t="n">
        <f aca="false">C333-F333</f>
        <v>10</v>
      </c>
      <c r="H333" s="433"/>
      <c r="I333" s="433"/>
      <c r="K333" s="423" t="n">
        <f aca="false">E333</f>
        <v>46447</v>
      </c>
      <c r="L333" s="479" t="n">
        <v>0.072814464325</v>
      </c>
      <c r="M333" s="479" t="n">
        <v>0.060140776958201</v>
      </c>
      <c r="N333" s="480" t="n">
        <f aca="false">(1+L333/2)^(-2*((K333+$T$1)-$K$1)/365.25)</f>
        <v>0.143857879856984</v>
      </c>
      <c r="P333" s="480"/>
    </row>
    <row r="334" customFormat="false" ht="16.5" hidden="false" customHeight="false" outlineLevel="0" collapsed="false">
      <c r="A334" s="59" t="n">
        <f aca="false">A333+1</f>
        <v>328</v>
      </c>
      <c r="C334" s="59" t="n">
        <v>30</v>
      </c>
      <c r="D334" s="59" t="s">
        <v>167</v>
      </c>
      <c r="E334" s="125" t="n">
        <f aca="false">E333+C333</f>
        <v>46478</v>
      </c>
      <c r="F334" s="425" t="n">
        <f aca="false">F286</f>
        <v>22</v>
      </c>
      <c r="G334" s="433" t="n">
        <f aca="false">C334-F334</f>
        <v>8</v>
      </c>
      <c r="H334" s="433"/>
      <c r="I334" s="433"/>
      <c r="K334" s="423" t="n">
        <f aca="false">E334</f>
        <v>46478</v>
      </c>
      <c r="L334" s="479" t="n">
        <v>0.072802366023504</v>
      </c>
      <c r="M334" s="479" t="n">
        <v>0.060077243741896</v>
      </c>
      <c r="N334" s="480" t="n">
        <f aca="false">(1+L334/2)^(-2*((K334+$T$1)-$K$1)/365.25)</f>
        <v>0.143032682821948</v>
      </c>
      <c r="P334" s="480"/>
    </row>
    <row r="335" customFormat="false" ht="16.5" hidden="false" customHeight="false" outlineLevel="0" collapsed="false">
      <c r="A335" s="59" t="n">
        <f aca="false">A334+1</f>
        <v>329</v>
      </c>
      <c r="C335" s="59" t="n">
        <v>31</v>
      </c>
      <c r="D335" s="59" t="s">
        <v>29</v>
      </c>
      <c r="E335" s="125" t="n">
        <f aca="false">E334+C334</f>
        <v>46508</v>
      </c>
      <c r="F335" s="425" t="n">
        <f aca="false">F287</f>
        <v>22</v>
      </c>
      <c r="G335" s="433" t="n">
        <f aca="false">C335-F335</f>
        <v>9</v>
      </c>
      <c r="H335" s="433"/>
      <c r="I335" s="433"/>
      <c r="K335" s="423" t="n">
        <f aca="false">E335</f>
        <v>46508</v>
      </c>
      <c r="L335" s="479" t="n">
        <v>0.072790657989852</v>
      </c>
      <c r="M335" s="479" t="n">
        <v>0.060015760011</v>
      </c>
      <c r="N335" s="480" t="n">
        <f aca="false">(1+L335/2)^(-2*((K335+$T$1)-$K$1)/365.25)</f>
        <v>0.142238880847641</v>
      </c>
      <c r="P335" s="480"/>
    </row>
    <row r="336" customFormat="false" ht="16.5" hidden="false" customHeight="false" outlineLevel="0" collapsed="false">
      <c r="A336" s="59" t="n">
        <f aca="false">A335+1</f>
        <v>330</v>
      </c>
      <c r="C336" s="59" t="n">
        <v>30</v>
      </c>
      <c r="D336" s="59" t="s">
        <v>168</v>
      </c>
      <c r="E336" s="125" t="n">
        <f aca="false">E335+C335</f>
        <v>46539</v>
      </c>
      <c r="F336" s="425" t="n">
        <f aca="false">F288</f>
        <v>21</v>
      </c>
      <c r="G336" s="433" t="n">
        <f aca="false">C336-F336</f>
        <v>9</v>
      </c>
      <c r="H336" s="433"/>
      <c r="I336" s="433"/>
      <c r="K336" s="423" t="n">
        <f aca="false">E336</f>
        <v>46539</v>
      </c>
      <c r="L336" s="479" t="n">
        <v>0.07277855968846</v>
      </c>
      <c r="M336" s="479" t="n">
        <v>0.059952226850108</v>
      </c>
      <c r="N336" s="480" t="n">
        <f aca="false">(1+L336/2)^(-2*((K336+$T$1)-$K$1)/365.25)</f>
        <v>0.141423522651867</v>
      </c>
      <c r="P336" s="480"/>
    </row>
    <row r="337" customFormat="false" ht="16.5" hidden="false" customHeight="false" outlineLevel="0" collapsed="false">
      <c r="A337" s="59" t="n">
        <f aca="false">A336+1</f>
        <v>331</v>
      </c>
      <c r="C337" s="59" t="n">
        <v>31</v>
      </c>
      <c r="D337" s="59" t="s">
        <v>169</v>
      </c>
      <c r="E337" s="125" t="n">
        <f aca="false">E336+C336</f>
        <v>46569</v>
      </c>
      <c r="F337" s="425" t="n">
        <f aca="false">F289</f>
        <v>23</v>
      </c>
      <c r="G337" s="433" t="n">
        <f aca="false">C337-F337</f>
        <v>8</v>
      </c>
      <c r="H337" s="433"/>
      <c r="I337" s="433"/>
      <c r="K337" s="423" t="n">
        <f aca="false">E337</f>
        <v>46569</v>
      </c>
      <c r="L337" s="479" t="n">
        <v>0.0727668516549</v>
      </c>
      <c r="M337" s="479" t="n">
        <v>0.059890743172841</v>
      </c>
      <c r="N337" s="480" t="n">
        <f aca="false">(1+L337/2)^(-2*((K337+$T$1)-$K$1)/365.25)</f>
        <v>0.140639182366409</v>
      </c>
      <c r="P337" s="480"/>
    </row>
    <row r="338" customFormat="false" ht="16.5" hidden="false" customHeight="false" outlineLevel="0" collapsed="false">
      <c r="A338" s="59" t="n">
        <f aca="false">A337+1</f>
        <v>332</v>
      </c>
      <c r="C338" s="59" t="n">
        <v>31</v>
      </c>
      <c r="D338" s="59" t="s">
        <v>170</v>
      </c>
      <c r="E338" s="125" t="n">
        <f aca="false">E337+C337</f>
        <v>46600</v>
      </c>
      <c r="F338" s="425" t="n">
        <f aca="false">F290</f>
        <v>21</v>
      </c>
      <c r="G338" s="433" t="n">
        <f aca="false">C338-F338</f>
        <v>10</v>
      </c>
      <c r="H338" s="433"/>
      <c r="I338" s="433"/>
      <c r="K338" s="423" t="n">
        <f aca="false">E338</f>
        <v>46600</v>
      </c>
      <c r="L338" s="479" t="n">
        <v>0.072754753353603</v>
      </c>
      <c r="M338" s="479" t="n">
        <v>0.059827210067377</v>
      </c>
      <c r="N338" s="480" t="n">
        <f aca="false">(1+L338/2)^(-2*((K338+$T$1)-$K$1)/365.25)</f>
        <v>0.139833539894914</v>
      </c>
      <c r="P338" s="480"/>
    </row>
    <row r="339" customFormat="false" ht="16.5" hidden="false" customHeight="false" outlineLevel="0" collapsed="false">
      <c r="A339" s="59" t="n">
        <f aca="false">A338+1</f>
        <v>333</v>
      </c>
      <c r="C339" s="59" t="n">
        <v>30</v>
      </c>
      <c r="D339" s="59" t="s">
        <v>171</v>
      </c>
      <c r="E339" s="125" t="n">
        <f aca="false">E338+C338</f>
        <v>46631</v>
      </c>
      <c r="F339" s="425" t="n">
        <f aca="false">F291</f>
        <v>22</v>
      </c>
      <c r="G339" s="433" t="n">
        <f aca="false">C339-F339</f>
        <v>8</v>
      </c>
      <c r="H339" s="433"/>
      <c r="I339" s="433"/>
      <c r="K339" s="423" t="n">
        <f aca="false">E339</f>
        <v>46631</v>
      </c>
      <c r="L339" s="479" t="n">
        <v>0.072742655052354</v>
      </c>
      <c r="M339" s="479" t="n">
        <v>0.05976367699008</v>
      </c>
      <c r="N339" s="480" t="n">
        <f aca="false">(1+L339/2)^(-2*((K339+$T$1)-$K$1)/365.25)</f>
        <v>0.139032788256877</v>
      </c>
      <c r="P339" s="480"/>
    </row>
    <row r="340" customFormat="false" ht="16.5" hidden="false" customHeight="false" outlineLevel="0" collapsed="false">
      <c r="A340" s="59" t="n">
        <f aca="false">A339+1</f>
        <v>334</v>
      </c>
      <c r="C340" s="59" t="n">
        <v>31</v>
      </c>
      <c r="D340" s="59" t="s">
        <v>172</v>
      </c>
      <c r="E340" s="125" t="n">
        <f aca="false">E339+C339</f>
        <v>46661</v>
      </c>
      <c r="F340" s="425" t="n">
        <f aca="false">F292</f>
        <v>23</v>
      </c>
      <c r="G340" s="433" t="n">
        <f aca="false">C340-F340</f>
        <v>8</v>
      </c>
      <c r="H340" s="433"/>
      <c r="I340" s="433"/>
      <c r="K340" s="423" t="n">
        <f aca="false">E340</f>
        <v>46661</v>
      </c>
      <c r="L340" s="479" t="n">
        <v>0.072730947018933</v>
      </c>
      <c r="M340" s="479" t="n">
        <v>0.059702193393708</v>
      </c>
      <c r="N340" s="480" t="n">
        <f aca="false">(1+L340/2)^(-2*((K340+$T$1)-$K$1)/365.25)</f>
        <v>0.138262494679233</v>
      </c>
      <c r="P340" s="480"/>
    </row>
    <row r="341" customFormat="false" ht="16.5" hidden="false" customHeight="false" outlineLevel="0" collapsed="false">
      <c r="A341" s="59" t="n">
        <f aca="false">A340+1</f>
        <v>335</v>
      </c>
      <c r="C341" s="59" t="n">
        <v>30</v>
      </c>
      <c r="D341" s="59" t="s">
        <v>173</v>
      </c>
      <c r="E341" s="125" t="n">
        <f aca="false">E340+C340</f>
        <v>46692</v>
      </c>
      <c r="F341" s="425" t="n">
        <f aca="false">F293</f>
        <v>20</v>
      </c>
      <c r="G341" s="433" t="n">
        <f aca="false">C341-F341</f>
        <v>10</v>
      </c>
      <c r="H341" s="433"/>
      <c r="I341" s="433"/>
      <c r="K341" s="423" t="n">
        <f aca="false">E341</f>
        <v>46692</v>
      </c>
      <c r="L341" s="479" t="n">
        <v>0.072718848717779</v>
      </c>
      <c r="M341" s="479" t="n">
        <v>0.059638660371838</v>
      </c>
      <c r="N341" s="480" t="n">
        <f aca="false">(1+L341/2)^(-2*((K341+$T$1)-$K$1)/365.25)</f>
        <v>0.137471276115686</v>
      </c>
      <c r="P341" s="480"/>
    </row>
    <row r="342" customFormat="false" ht="16.5" hidden="false" customHeight="false" outlineLevel="0" collapsed="false">
      <c r="A342" s="59" t="n">
        <f aca="false">A341+1</f>
        <v>336</v>
      </c>
      <c r="C342" s="59" t="n">
        <v>31</v>
      </c>
      <c r="D342" s="59" t="s">
        <v>174</v>
      </c>
      <c r="E342" s="125" t="n">
        <f aca="false">E341+C341</f>
        <v>46722</v>
      </c>
      <c r="F342" s="425" t="n">
        <f aca="false">F294</f>
        <v>23</v>
      </c>
      <c r="G342" s="433" t="n">
        <f aca="false">C342-F342</f>
        <v>8</v>
      </c>
      <c r="H342" s="433" t="n">
        <f aca="false">SUM(F331:G342)</f>
        <v>365</v>
      </c>
      <c r="I342" s="433"/>
      <c r="K342" s="423" t="n">
        <f aca="false">E342</f>
        <v>46722</v>
      </c>
      <c r="L342" s="479" t="n">
        <v>0.072707140684451</v>
      </c>
      <c r="M342" s="479" t="n">
        <v>0.059577176829108</v>
      </c>
      <c r="N342" s="480" t="n">
        <f aca="false">(1+L342/2)^(-2*((K342+$T$1)-$K$1)/365.25)</f>
        <v>0.136710150262106</v>
      </c>
      <c r="P342" s="480"/>
      <c r="AZ342" s="425" t="n">
        <f aca="false">AY342*N342</f>
        <v>0</v>
      </c>
    </row>
    <row r="343" customFormat="false" ht="16.5" hidden="false" customHeight="false" outlineLevel="0" collapsed="false">
      <c r="A343" s="59" t="n">
        <f aca="false">A342+1</f>
        <v>337</v>
      </c>
      <c r="C343" s="59" t="n">
        <v>31</v>
      </c>
      <c r="D343" s="59" t="s">
        <v>164</v>
      </c>
      <c r="E343" s="125" t="n">
        <f aca="false">E342+C342</f>
        <v>46753</v>
      </c>
      <c r="F343" s="425" t="n">
        <f aca="false">F295</f>
        <v>22</v>
      </c>
      <c r="G343" s="433" t="n">
        <f aca="false">C343-F343</f>
        <v>9</v>
      </c>
      <c r="H343" s="433"/>
      <c r="I343" s="433"/>
      <c r="K343" s="423" t="n">
        <f aca="false">E343</f>
        <v>46753</v>
      </c>
      <c r="L343" s="479" t="n">
        <v>0.072695042383392</v>
      </c>
      <c r="M343" s="479" t="n">
        <v>0.059513643862668</v>
      </c>
      <c r="N343" s="480" t="n">
        <f aca="false">(1+L343/2)^(-2*((K343+$T$1)-$K$1)/365.25)</f>
        <v>0.135928345646757</v>
      </c>
      <c r="P343" s="480"/>
    </row>
    <row r="344" customFormat="false" ht="16.5" hidden="false" customHeight="false" outlineLevel="0" collapsed="false">
      <c r="A344" s="59" t="n">
        <f aca="false">A343+1</f>
        <v>338</v>
      </c>
      <c r="C344" s="496" t="n">
        <v>29</v>
      </c>
      <c r="D344" s="497" t="s">
        <v>165</v>
      </c>
      <c r="E344" s="125" t="n">
        <f aca="false">E343+C343</f>
        <v>46784</v>
      </c>
      <c r="F344" s="425" t="n">
        <f aca="false">F296</f>
        <v>20</v>
      </c>
      <c r="G344" s="433" t="n">
        <f aca="false">C344-F344</f>
        <v>9</v>
      </c>
      <c r="H344" s="433"/>
      <c r="I344" s="433"/>
      <c r="K344" s="423" t="n">
        <f aca="false">E344</f>
        <v>46784</v>
      </c>
      <c r="L344" s="479" t="n">
        <v>0.072682944082382</v>
      </c>
      <c r="M344" s="479" t="n">
        <v>0.0594501109244</v>
      </c>
      <c r="N344" s="480" t="n">
        <f aca="false">(1+L344/2)^(-2*((K344+$T$1)-$K$1)/365.25)</f>
        <v>0.135151280014512</v>
      </c>
      <c r="P344" s="480"/>
    </row>
    <row r="345" customFormat="false" ht="16.5" hidden="false" customHeight="false" outlineLevel="0" collapsed="false">
      <c r="A345" s="59" t="n">
        <f aca="false">A344+1</f>
        <v>339</v>
      </c>
      <c r="C345" s="59" t="n">
        <v>31</v>
      </c>
      <c r="D345" s="59" t="s">
        <v>166</v>
      </c>
      <c r="E345" s="125" t="n">
        <f aca="false">E344+C344</f>
        <v>46813</v>
      </c>
      <c r="F345" s="425" t="n">
        <f aca="false">F297</f>
        <v>23</v>
      </c>
      <c r="G345" s="433" t="n">
        <f aca="false">C345-F345</f>
        <v>8</v>
      </c>
      <c r="H345" s="433"/>
      <c r="I345" s="433"/>
      <c r="K345" s="423" t="n">
        <f aca="false">E345</f>
        <v>46813</v>
      </c>
      <c r="L345" s="479" t="n">
        <v>0.072671626316964</v>
      </c>
      <c r="M345" s="479" t="n">
        <v>0.05939067691088</v>
      </c>
      <c r="N345" s="480" t="n">
        <f aca="false">(1+L345/2)^(-2*((K345+$T$1)-$K$1)/365.25)</f>
        <v>0.134428611160914</v>
      </c>
      <c r="P345" s="480"/>
    </row>
    <row r="346" customFormat="false" ht="16.5" hidden="false" customHeight="false" outlineLevel="0" collapsed="false">
      <c r="A346" s="59" t="n">
        <f aca="false">A345+1</f>
        <v>340</v>
      </c>
      <c r="C346" s="59" t="n">
        <v>30</v>
      </c>
      <c r="D346" s="59" t="s">
        <v>167</v>
      </c>
      <c r="E346" s="125" t="n">
        <f aca="false">E345+C345</f>
        <v>46844</v>
      </c>
      <c r="F346" s="425" t="n">
        <f aca="false">F298</f>
        <v>22</v>
      </c>
      <c r="G346" s="433" t="n">
        <f aca="false">C346-F346</f>
        <v>8</v>
      </c>
      <c r="H346" s="433"/>
      <c r="I346" s="433"/>
      <c r="K346" s="423" t="n">
        <f aca="false">E346</f>
        <v>46844</v>
      </c>
      <c r="L346" s="479" t="n">
        <v>0.072659528016047</v>
      </c>
      <c r="M346" s="479" t="n">
        <v>0.059327144027139</v>
      </c>
      <c r="N346" s="480" t="n">
        <f aca="false">(1+L346/2)^(-2*((K346+$T$1)-$K$1)/365.25)</f>
        <v>0.133660632244721</v>
      </c>
      <c r="P346" s="480"/>
    </row>
    <row r="347" customFormat="false" ht="16.5" hidden="false" customHeight="false" outlineLevel="0" collapsed="false">
      <c r="A347" s="59" t="n">
        <f aca="false">A346+1</f>
        <v>341</v>
      </c>
      <c r="C347" s="59" t="n">
        <v>31</v>
      </c>
      <c r="D347" s="59" t="s">
        <v>29</v>
      </c>
      <c r="E347" s="125" t="n">
        <f aca="false">E346+C346</f>
        <v>46874</v>
      </c>
      <c r="F347" s="425" t="n">
        <f aca="false">F299</f>
        <v>21</v>
      </c>
      <c r="G347" s="433" t="n">
        <f aca="false">C347-F347</f>
        <v>10</v>
      </c>
      <c r="H347" s="433"/>
      <c r="I347" s="433"/>
      <c r="K347" s="423" t="n">
        <f aca="false">E347</f>
        <v>46874</v>
      </c>
      <c r="L347" s="479" t="n">
        <v>0.072647819982948</v>
      </c>
      <c r="M347" s="479" t="n">
        <v>0.059265660618085</v>
      </c>
      <c r="N347" s="480" t="n">
        <f aca="false">(1+L347/2)^(-2*((K347+$T$1)-$K$1)/365.25)</f>
        <v>0.132921855524313</v>
      </c>
      <c r="P347" s="480"/>
    </row>
    <row r="348" customFormat="false" ht="16.5" hidden="false" customHeight="false" outlineLevel="0" collapsed="false">
      <c r="A348" s="59" t="n">
        <f aca="false">A347+1</f>
        <v>342</v>
      </c>
      <c r="C348" s="59" t="n">
        <v>30</v>
      </c>
      <c r="D348" s="59" t="s">
        <v>168</v>
      </c>
      <c r="E348" s="125" t="n">
        <f aca="false">E347+C347</f>
        <v>46905</v>
      </c>
      <c r="F348" s="425" t="n">
        <f aca="false">F300</f>
        <v>22</v>
      </c>
      <c r="G348" s="433" t="n">
        <f aca="false">C348-F348</f>
        <v>8</v>
      </c>
      <c r="H348" s="433"/>
      <c r="I348" s="433"/>
      <c r="K348" s="423" t="n">
        <f aca="false">E348</f>
        <v>46905</v>
      </c>
      <c r="L348" s="479" t="n">
        <v>0.072635721682126</v>
      </c>
      <c r="M348" s="479" t="n">
        <v>0.059202127789783</v>
      </c>
      <c r="N348" s="480" t="n">
        <f aca="false">(1+L348/2)^(-2*((K348+$T$1)-$K$1)/365.25)</f>
        <v>0.132163000426324</v>
      </c>
      <c r="P348" s="480"/>
    </row>
    <row r="349" customFormat="false" ht="16.5" hidden="false" customHeight="false" outlineLevel="0" collapsed="false">
      <c r="A349" s="59" t="n">
        <f aca="false">A348+1</f>
        <v>343</v>
      </c>
      <c r="C349" s="59" t="n">
        <v>31</v>
      </c>
      <c r="D349" s="59" t="s">
        <v>169</v>
      </c>
      <c r="E349" s="125" t="n">
        <f aca="false">E348+C348</f>
        <v>46935</v>
      </c>
      <c r="F349" s="425" t="n">
        <f aca="false">F301</f>
        <v>22</v>
      </c>
      <c r="G349" s="433" t="n">
        <f aca="false">C349-F349</f>
        <v>9</v>
      </c>
      <c r="H349" s="433"/>
      <c r="I349" s="433"/>
      <c r="K349" s="423" t="n">
        <f aca="false">E349</f>
        <v>46935</v>
      </c>
      <c r="L349" s="479" t="n">
        <v>0.072624013649119</v>
      </c>
      <c r="M349" s="479" t="n">
        <v>0.059140644434382</v>
      </c>
      <c r="N349" s="480" t="n">
        <f aca="false">(1+L349/2)^(-2*((K349+$T$1)-$K$1)/365.25)</f>
        <v>0.131432997963738</v>
      </c>
      <c r="P349" s="480"/>
    </row>
    <row r="350" customFormat="false" ht="16.5" hidden="false" customHeight="false" outlineLevel="0" collapsed="false">
      <c r="A350" s="59" t="n">
        <f aca="false">A349+1</f>
        <v>344</v>
      </c>
      <c r="C350" s="59" t="n">
        <v>31</v>
      </c>
      <c r="D350" s="59" t="s">
        <v>170</v>
      </c>
      <c r="E350" s="125" t="n">
        <f aca="false">E349+C349</f>
        <v>46966</v>
      </c>
      <c r="F350" s="425" t="n">
        <f aca="false">F302</f>
        <v>22</v>
      </c>
      <c r="G350" s="433" t="n">
        <f aca="false">C350-F350</f>
        <v>9</v>
      </c>
      <c r="H350" s="433"/>
      <c r="I350" s="433"/>
      <c r="K350" s="423" t="n">
        <f aca="false">E350</f>
        <v>46966</v>
      </c>
      <c r="L350" s="479" t="n">
        <v>0.072611915348392</v>
      </c>
      <c r="M350" s="479" t="n">
        <v>0.059077111661522</v>
      </c>
      <c r="N350" s="480" t="n">
        <f aca="false">(1+L350/2)^(-2*((K350+$T$1)-$K$1)/365.25)</f>
        <v>0.130683152888405</v>
      </c>
      <c r="P350" s="480"/>
    </row>
    <row r="351" customFormat="false" ht="16.5" hidden="false" customHeight="false" outlineLevel="0" collapsed="false">
      <c r="A351" s="59" t="n">
        <f aca="false">A350+1</f>
        <v>345</v>
      </c>
      <c r="C351" s="59" t="n">
        <v>30</v>
      </c>
      <c r="D351" s="59" t="s">
        <v>171</v>
      </c>
      <c r="E351" s="125" t="n">
        <f aca="false">E350+C350</f>
        <v>46997</v>
      </c>
      <c r="F351" s="425" t="n">
        <f aca="false">F303</f>
        <v>22</v>
      </c>
      <c r="G351" s="433" t="n">
        <f aca="false">C351-F351</f>
        <v>8</v>
      </c>
      <c r="H351" s="433"/>
      <c r="I351" s="433"/>
      <c r="K351" s="423" t="n">
        <f aca="false">E351</f>
        <v>46997</v>
      </c>
      <c r="L351" s="479" t="n">
        <v>0.072599817047714</v>
      </c>
      <c r="M351" s="479" t="n">
        <v>0.059013578916839</v>
      </c>
      <c r="N351" s="480" t="n">
        <f aca="false">(1+L351/2)^(-2*((K351+$T$1)-$K$1)/365.25)</f>
        <v>0.129937843542305</v>
      </c>
      <c r="P351" s="480"/>
    </row>
    <row r="352" customFormat="false" ht="16.5" hidden="false" customHeight="false" outlineLevel="0" collapsed="false">
      <c r="A352" s="59" t="n">
        <f aca="false">A351+1</f>
        <v>346</v>
      </c>
      <c r="C352" s="59" t="n">
        <v>31</v>
      </c>
      <c r="D352" s="59" t="s">
        <v>172</v>
      </c>
      <c r="E352" s="125" t="n">
        <f aca="false">E351+C351</f>
        <v>47027</v>
      </c>
      <c r="F352" s="425" t="n">
        <f aca="false">F304</f>
        <v>21</v>
      </c>
      <c r="G352" s="433" t="n">
        <f aca="false">C352-F352</f>
        <v>10</v>
      </c>
      <c r="H352" s="433"/>
      <c r="I352" s="433"/>
      <c r="K352" s="423" t="n">
        <f aca="false">E352</f>
        <v>47027</v>
      </c>
      <c r="L352" s="479" t="n">
        <v>0.072588109014845</v>
      </c>
      <c r="M352" s="479" t="n">
        <v>0.058952095642361</v>
      </c>
      <c r="N352" s="480" t="n">
        <f aca="false">(1+L352/2)^(-2*((K352+$T$1)-$K$1)/365.25)</f>
        <v>0.129220867910088</v>
      </c>
      <c r="P352" s="480"/>
    </row>
    <row r="353" customFormat="false" ht="16.5" hidden="false" customHeight="false" outlineLevel="0" collapsed="false">
      <c r="A353" s="59" t="n">
        <f aca="false">A352+1</f>
        <v>347</v>
      </c>
      <c r="C353" s="59" t="n">
        <v>30</v>
      </c>
      <c r="D353" s="59" t="s">
        <v>173</v>
      </c>
      <c r="E353" s="125" t="n">
        <f aca="false">E352+C352</f>
        <v>47058</v>
      </c>
      <c r="F353" s="425" t="n">
        <f aca="false">F305</f>
        <v>22</v>
      </c>
      <c r="G353" s="433" t="n">
        <f aca="false">C353-F353</f>
        <v>8</v>
      </c>
      <c r="H353" s="433"/>
      <c r="I353" s="433"/>
      <c r="K353" s="423" t="n">
        <f aca="false">E353</f>
        <v>47058</v>
      </c>
      <c r="L353" s="479" t="n">
        <v>0.072576010714263</v>
      </c>
      <c r="M353" s="479" t="n">
        <v>0.058888562953125</v>
      </c>
      <c r="N353" s="480" t="n">
        <f aca="false">(1+L353/2)^(-2*((K353+$T$1)-$K$1)/365.25)</f>
        <v>0.128484399754504</v>
      </c>
      <c r="P353" s="480"/>
    </row>
    <row r="354" customFormat="false" ht="16.5" hidden="false" customHeight="false" outlineLevel="0" collapsed="false">
      <c r="A354" s="59" t="n">
        <f aca="false">A353+1</f>
        <v>348</v>
      </c>
      <c r="C354" s="59" t="n">
        <v>31</v>
      </c>
      <c r="D354" s="59" t="s">
        <v>174</v>
      </c>
      <c r="E354" s="125" t="n">
        <f aca="false">E353+C353</f>
        <v>47088</v>
      </c>
      <c r="F354" s="425" t="n">
        <f aca="false">F306</f>
        <v>23</v>
      </c>
      <c r="G354" s="433" t="n">
        <f aca="false">C354-F354</f>
        <v>8</v>
      </c>
      <c r="H354" s="433" t="n">
        <f aca="false">SUM(F343:G354)</f>
        <v>366</v>
      </c>
      <c r="I354" s="433"/>
      <c r="K354" s="423" t="n">
        <f aca="false">E354</f>
        <v>47088</v>
      </c>
      <c r="L354" s="479" t="n">
        <v>0.072564302681486</v>
      </c>
      <c r="M354" s="479" t="n">
        <v>0.058827079732308</v>
      </c>
      <c r="N354" s="480" t="n">
        <f aca="false">(1+L354/2)^(-2*((K354+$T$1)-$K$1)/365.25)</f>
        <v>0.127775926654124</v>
      </c>
      <c r="P354" s="480"/>
      <c r="AZ354" s="425" t="n">
        <f aca="false">AY354*N354</f>
        <v>0</v>
      </c>
    </row>
    <row r="355" customFormat="false" ht="16.5" hidden="false" customHeight="false" outlineLevel="0" collapsed="false">
      <c r="A355" s="59" t="n">
        <f aca="false">A354+1</f>
        <v>349</v>
      </c>
      <c r="C355" s="59" t="n">
        <v>31</v>
      </c>
      <c r="D355" s="59" t="s">
        <v>164</v>
      </c>
      <c r="E355" s="125" t="n">
        <f aca="false">E354+C354</f>
        <v>47119</v>
      </c>
      <c r="F355" s="425" t="n">
        <f aca="false">F307</f>
        <v>23</v>
      </c>
      <c r="G355" s="433" t="n">
        <f aca="false">C355-F355</f>
        <v>8</v>
      </c>
      <c r="H355" s="433"/>
      <c r="I355" s="433"/>
      <c r="K355" s="423" t="n">
        <f aca="false">E355</f>
        <v>47119</v>
      </c>
      <c r="L355" s="479" t="n">
        <v>0.072552204381</v>
      </c>
      <c r="M355" s="479" t="n">
        <v>0.058763547098523</v>
      </c>
      <c r="N355" s="480" t="n">
        <f aca="false">(1+L355/2)^(-2*((K355+$T$1)-$K$1)/365.25)</f>
        <v>0.127048189569284</v>
      </c>
      <c r="P355" s="480"/>
    </row>
    <row r="356" customFormat="false" ht="16.5" hidden="false" customHeight="false" outlineLevel="0" collapsed="false">
      <c r="A356" s="59" t="n">
        <f aca="false">A355+1</f>
        <v>350</v>
      </c>
      <c r="C356" s="59" t="n">
        <v>28</v>
      </c>
      <c r="D356" s="59" t="s">
        <v>165</v>
      </c>
      <c r="E356" s="125" t="n">
        <f aca="false">E355+C355</f>
        <v>47150</v>
      </c>
      <c r="F356" s="425" t="n">
        <f aca="false">F308</f>
        <v>20</v>
      </c>
      <c r="G356" s="433" t="n">
        <f aca="false">C356-F356</f>
        <v>8</v>
      </c>
      <c r="H356" s="433"/>
      <c r="I356" s="433"/>
      <c r="K356" s="423" t="n">
        <f aca="false">E356</f>
        <v>47150</v>
      </c>
      <c r="L356" s="479" t="n">
        <v>0.072540106080558</v>
      </c>
      <c r="M356" s="479" t="n">
        <v>0.058700014492918</v>
      </c>
      <c r="N356" s="480" t="n">
        <f aca="false">(1+L356/2)^(-2*((K356+$T$1)-$K$1)/365.25)</f>
        <v>0.12632484784399</v>
      </c>
      <c r="P356" s="480"/>
    </row>
    <row r="357" customFormat="false" ht="16.5" hidden="false" customHeight="false" outlineLevel="0" collapsed="false">
      <c r="A357" s="59" t="n">
        <f aca="false">A356+1</f>
        <v>351</v>
      </c>
      <c r="C357" s="59" t="n">
        <v>31</v>
      </c>
      <c r="D357" s="59" t="s">
        <v>166</v>
      </c>
      <c r="E357" s="125" t="n">
        <f aca="false">E356+C356</f>
        <v>47178</v>
      </c>
      <c r="F357" s="425" t="n">
        <f aca="false">F309</f>
        <v>22</v>
      </c>
      <c r="G357" s="433" t="n">
        <f aca="false">C357-F357</f>
        <v>9</v>
      </c>
      <c r="H357" s="433"/>
      <c r="I357" s="433"/>
      <c r="K357" s="423" t="n">
        <f aca="false">E357</f>
        <v>47178</v>
      </c>
      <c r="L357" s="479" t="n">
        <v>0.072529178583428</v>
      </c>
      <c r="M357" s="479" t="n">
        <v>0.058642630228208</v>
      </c>
      <c r="N357" s="480" t="n">
        <f aca="false">(1+L357/2)^(-2*((K357+$T$1)-$K$1)/365.25)</f>
        <v>0.125675261638429</v>
      </c>
      <c r="P357" s="480"/>
    </row>
    <row r="358" customFormat="false" ht="16.5" hidden="false" customHeight="false" outlineLevel="0" collapsed="false">
      <c r="A358" s="59" t="n">
        <f aca="false">A357+1</f>
        <v>352</v>
      </c>
      <c r="C358" s="59" t="n">
        <v>30</v>
      </c>
      <c r="D358" s="59" t="s">
        <v>167</v>
      </c>
      <c r="E358" s="125" t="n">
        <f aca="false">E357+C357</f>
        <v>47209</v>
      </c>
      <c r="F358" s="425" t="n">
        <f aca="false">F310</f>
        <v>21</v>
      </c>
      <c r="G358" s="433" t="n">
        <f aca="false">C358-F358</f>
        <v>9</v>
      </c>
      <c r="H358" s="433"/>
      <c r="I358" s="433"/>
      <c r="K358" s="423" t="n">
        <f aca="false">E358</f>
        <v>47209</v>
      </c>
      <c r="L358" s="479" t="n">
        <v>0.07251708028308</v>
      </c>
      <c r="M358" s="479" t="n">
        <v>0.05857909767624</v>
      </c>
      <c r="N358" s="480" t="n">
        <f aca="false">(1+L358/2)^(-2*((K358+$T$1)-$K$1)/365.25)</f>
        <v>0.12496020839137</v>
      </c>
      <c r="P358" s="480"/>
    </row>
    <row r="359" customFormat="false" ht="16.5" hidden="false" customHeight="false" outlineLevel="0" collapsed="false">
      <c r="A359" s="59" t="n">
        <f aca="false">A358+1</f>
        <v>353</v>
      </c>
      <c r="C359" s="59" t="n">
        <v>31</v>
      </c>
      <c r="D359" s="59" t="s">
        <v>29</v>
      </c>
      <c r="E359" s="125" t="n">
        <f aca="false">E358+C358</f>
        <v>47239</v>
      </c>
      <c r="F359" s="425" t="n">
        <f aca="false">F311</f>
        <v>23</v>
      </c>
      <c r="G359" s="433" t="n">
        <f aca="false">C359-F359</f>
        <v>8</v>
      </c>
      <c r="H359" s="433"/>
      <c r="I359" s="433"/>
      <c r="K359" s="423" t="n">
        <f aca="false">E359</f>
        <v>47239</v>
      </c>
      <c r="L359" s="479" t="n">
        <v>0.072505372250532</v>
      </c>
      <c r="M359" s="479" t="n">
        <v>0.058517614588268</v>
      </c>
      <c r="N359" s="480" t="n">
        <f aca="false">(1+L359/2)^(-2*((K359+$T$1)-$K$1)/365.25)</f>
        <v>0.124272330031768</v>
      </c>
      <c r="P359" s="480"/>
    </row>
    <row r="360" customFormat="false" ht="16.5" hidden="false" customHeight="false" outlineLevel="0" collapsed="false">
      <c r="A360" s="59" t="n">
        <f aca="false">A359+1</f>
        <v>354</v>
      </c>
      <c r="C360" s="59" t="n">
        <v>30</v>
      </c>
      <c r="D360" s="59" t="s">
        <v>168</v>
      </c>
      <c r="E360" s="125" t="n">
        <f aca="false">E359+C359</f>
        <v>47270</v>
      </c>
      <c r="F360" s="425" t="n">
        <f aca="false">F312</f>
        <v>21</v>
      </c>
      <c r="G360" s="433" t="n">
        <f aca="false">C360-F360</f>
        <v>9</v>
      </c>
      <c r="H360" s="433"/>
      <c r="I360" s="433"/>
      <c r="K360" s="423" t="n">
        <f aca="false">E360</f>
        <v>47270</v>
      </c>
      <c r="L360" s="479" t="n">
        <v>0.072493273950279</v>
      </c>
      <c r="M360" s="479" t="n">
        <v>0.058454082091759</v>
      </c>
      <c r="N360" s="480" t="n">
        <f aca="false">(1+L360/2)^(-2*((K360+$T$1)-$K$1)/365.25)</f>
        <v>0.123565741378249</v>
      </c>
      <c r="P360" s="480"/>
    </row>
    <row r="361" customFormat="false" ht="16.5" hidden="false" customHeight="false" outlineLevel="0" collapsed="false">
      <c r="A361" s="59" t="n">
        <f aca="false">A360+1</f>
        <v>355</v>
      </c>
      <c r="C361" s="59" t="n">
        <v>31</v>
      </c>
      <c r="D361" s="59" t="s">
        <v>169</v>
      </c>
      <c r="E361" s="125" t="n">
        <f aca="false">E360+C360</f>
        <v>47300</v>
      </c>
      <c r="F361" s="425" t="n">
        <f aca="false">F313</f>
        <v>22</v>
      </c>
      <c r="G361" s="433" t="n">
        <f aca="false">C361-F361</f>
        <v>9</v>
      </c>
      <c r="H361" s="433"/>
      <c r="I361" s="433"/>
      <c r="K361" s="423" t="n">
        <f aca="false">E361</f>
        <v>47300</v>
      </c>
      <c r="L361" s="479" t="n">
        <v>0.072481565917823</v>
      </c>
      <c r="M361" s="479" t="n">
        <v>0.058392599057457</v>
      </c>
      <c r="N361" s="480" t="n">
        <f aca="false">(1+L361/2)^(-2*((K361+$T$1)-$K$1)/365.25)</f>
        <v>0.122886003476265</v>
      </c>
      <c r="P361" s="480"/>
    </row>
    <row r="362" customFormat="false" ht="16.5" hidden="false" customHeight="false" outlineLevel="0" collapsed="false">
      <c r="A362" s="59" t="n">
        <f aca="false">A361+1</f>
        <v>356</v>
      </c>
      <c r="C362" s="59" t="n">
        <v>31</v>
      </c>
      <c r="D362" s="59" t="s">
        <v>170</v>
      </c>
      <c r="E362" s="125" t="n">
        <f aca="false">E361+C361</f>
        <v>47331</v>
      </c>
      <c r="F362" s="425" t="n">
        <f aca="false">F314</f>
        <v>23</v>
      </c>
      <c r="G362" s="433" t="n">
        <f aca="false">C362-F362</f>
        <v>8</v>
      </c>
      <c r="H362" s="433"/>
      <c r="I362" s="433"/>
      <c r="K362" s="423" t="n">
        <f aca="false">E362</f>
        <v>47331</v>
      </c>
      <c r="L362" s="479" t="n">
        <v>0.072469467617666</v>
      </c>
      <c r="M362" s="479" t="n">
        <v>0.05832906661641</v>
      </c>
      <c r="N362" s="480" t="n">
        <f aca="false">(1+L362/2)^(-2*((K362+$T$1)-$K$1)/365.25)</f>
        <v>0.122187774187052</v>
      </c>
      <c r="P362" s="480"/>
    </row>
    <row r="363" customFormat="false" ht="16.5" hidden="false" customHeight="false" outlineLevel="0" collapsed="false">
      <c r="A363" s="59" t="n">
        <f aca="false">A362+1</f>
        <v>357</v>
      </c>
      <c r="C363" s="59" t="n">
        <v>30</v>
      </c>
      <c r="D363" s="59" t="s">
        <v>171</v>
      </c>
      <c r="E363" s="125" t="n">
        <f aca="false">E362+C362</f>
        <v>47362</v>
      </c>
      <c r="F363" s="425" t="n">
        <f aca="false">F315</f>
        <v>20</v>
      </c>
      <c r="G363" s="433" t="n">
        <f aca="false">C363-F363</f>
        <v>10</v>
      </c>
      <c r="H363" s="433"/>
      <c r="I363" s="433"/>
      <c r="K363" s="423" t="n">
        <f aca="false">E363</f>
        <v>47362</v>
      </c>
      <c r="L363" s="479" t="n">
        <v>0.072457369317556</v>
      </c>
      <c r="M363" s="479" t="n">
        <v>0.05826553420355</v>
      </c>
    </row>
    <row r="364" customFormat="false" ht="16.5" hidden="false" customHeight="false" outlineLevel="0" collapsed="false">
      <c r="A364" s="59" t="n">
        <f aca="false">A363+1</f>
        <v>358</v>
      </c>
      <c r="C364" s="59" t="n">
        <v>31</v>
      </c>
      <c r="D364" s="59" t="s">
        <v>172</v>
      </c>
      <c r="E364" s="125" t="n">
        <f aca="false">E363+C363</f>
        <v>47392</v>
      </c>
      <c r="F364" s="425" t="n">
        <f aca="false">F316</f>
        <v>23</v>
      </c>
      <c r="G364" s="433" t="n">
        <f aca="false">C364-F364</f>
        <v>8</v>
      </c>
      <c r="H364" s="433"/>
      <c r="I364" s="433"/>
      <c r="K364" s="423" t="n">
        <f aca="false">E364</f>
        <v>47392</v>
      </c>
      <c r="L364" s="479" t="n">
        <v>0.072445661285239</v>
      </c>
      <c r="M364" s="479" t="n">
        <v>0.058204051250201</v>
      </c>
    </row>
    <row r="365" customFormat="false" ht="16.5" hidden="false" customHeight="false" outlineLevel="0" collapsed="false">
      <c r="A365" s="59" t="n">
        <f aca="false">A364+1</f>
        <v>359</v>
      </c>
      <c r="C365" s="59" t="n">
        <v>30</v>
      </c>
      <c r="D365" s="59" t="s">
        <v>173</v>
      </c>
      <c r="E365" s="125" t="n">
        <f aca="false">E364+C364</f>
        <v>47423</v>
      </c>
      <c r="F365" s="425" t="n">
        <f aca="false">F317</f>
        <v>22</v>
      </c>
      <c r="G365" s="433" t="n">
        <f aca="false">C365-F365</f>
        <v>8</v>
      </c>
      <c r="H365" s="433"/>
      <c r="I365" s="433"/>
      <c r="K365" s="423" t="n">
        <f aca="false">E365</f>
        <v>47423</v>
      </c>
      <c r="L365" s="479" t="n">
        <v>0.072433562985224</v>
      </c>
      <c r="M365" s="479" t="n">
        <v>0.058140518892807</v>
      </c>
    </row>
    <row r="366" customFormat="false" ht="16.5" hidden="false" customHeight="false" outlineLevel="0" collapsed="false">
      <c r="A366" s="59" t="n">
        <f aca="false">A365+1</f>
        <v>360</v>
      </c>
      <c r="C366" s="59" t="n">
        <v>31</v>
      </c>
      <c r="D366" s="59" t="s">
        <v>174</v>
      </c>
      <c r="E366" s="125" t="n">
        <f aca="false">E365+C365</f>
        <v>47453</v>
      </c>
      <c r="F366" s="425" t="n">
        <f aca="false">F318</f>
        <v>21</v>
      </c>
      <c r="G366" s="433" t="n">
        <f aca="false">C366-F366</f>
        <v>10</v>
      </c>
      <c r="H366" s="433" t="n">
        <f aca="false">SUM(F355:G366)</f>
        <v>365</v>
      </c>
      <c r="I366" s="433"/>
      <c r="K366" s="423" t="n">
        <f aca="false">E366</f>
        <v>47453</v>
      </c>
      <c r="L366" s="479" t="n">
        <v>0.072421854953</v>
      </c>
      <c r="M366" s="479" t="n">
        <v>0.058079035993137</v>
      </c>
      <c r="AZ366" s="425" t="n">
        <f aca="false">AY366*N366</f>
        <v>0</v>
      </c>
    </row>
    <row r="367" customFormat="false" ht="16.5" hidden="false" customHeight="false" outlineLevel="0" collapsed="false">
      <c r="A367" s="59" t="n">
        <f aca="false">A366+1</f>
        <v>361</v>
      </c>
      <c r="C367" s="59" t="n">
        <v>31</v>
      </c>
      <c r="D367" s="59" t="s">
        <v>164</v>
      </c>
      <c r="E367" s="125" t="n">
        <f aca="false">E366+C366</f>
        <v>47484</v>
      </c>
      <c r="F367" s="425" t="n">
        <f aca="false">F319</f>
        <v>23</v>
      </c>
      <c r="G367" s="433" t="n">
        <f aca="false">C367-F367</f>
        <v>8</v>
      </c>
      <c r="H367" s="433"/>
      <c r="I367" s="433"/>
      <c r="K367" s="423" t="n">
        <f aca="false">E367</f>
        <v>47484</v>
      </c>
      <c r="L367" s="479" t="n">
        <v>0.07240975665308</v>
      </c>
      <c r="M367" s="479" t="n">
        <v>0.058015503691214</v>
      </c>
    </row>
    <row r="368" customFormat="false" ht="16.5" hidden="false" customHeight="false" outlineLevel="0" collapsed="false">
      <c r="A368" s="59" t="n">
        <f aca="false">A367+1</f>
        <v>362</v>
      </c>
      <c r="C368" s="59" t="n">
        <v>28</v>
      </c>
      <c r="D368" s="59" t="s">
        <v>165</v>
      </c>
      <c r="E368" s="125" t="n">
        <f aca="false">E367+C367</f>
        <v>47515</v>
      </c>
      <c r="F368" s="425" t="n">
        <f aca="false">F320</f>
        <v>20</v>
      </c>
      <c r="G368" s="433" t="n">
        <f aca="false">C368-F368</f>
        <v>8</v>
      </c>
      <c r="H368" s="433"/>
      <c r="I368" s="433"/>
      <c r="K368" s="423" t="n">
        <f aca="false">E368</f>
        <v>47515</v>
      </c>
      <c r="L368" s="63" t="n">
        <v>0.07239765835321</v>
      </c>
      <c r="M368" s="510" t="n">
        <v>0.057951971417481</v>
      </c>
    </row>
    <row r="369" customFormat="false" ht="16.5" hidden="false" customHeight="false" outlineLevel="0" collapsed="false">
      <c r="A369" s="59" t="n">
        <f aca="false">A368+1</f>
        <v>363</v>
      </c>
      <c r="C369" s="59" t="n">
        <v>31</v>
      </c>
      <c r="D369" s="59" t="s">
        <v>166</v>
      </c>
      <c r="E369" s="125" t="n">
        <f aca="false">E368+C368</f>
        <v>47543</v>
      </c>
      <c r="F369" s="425" t="n">
        <f aca="false">F321</f>
        <v>21</v>
      </c>
      <c r="G369" s="433" t="n">
        <f aca="false">C369-F369</f>
        <v>10</v>
      </c>
      <c r="H369" s="433"/>
      <c r="I369" s="433"/>
      <c r="K369" s="423" t="n">
        <f aca="false">E369</f>
        <v>47543</v>
      </c>
      <c r="L369" s="59" t="n">
        <v>0.072386730856594</v>
      </c>
      <c r="M369" s="59" t="n">
        <v>0.057894587452535</v>
      </c>
    </row>
    <row r="370" customFormat="false" ht="16.5" hidden="false" customHeight="false" outlineLevel="0" collapsed="false">
      <c r="A370" s="59" t="n">
        <f aca="false">A369+1</f>
        <v>364</v>
      </c>
      <c r="C370" s="59" t="n">
        <v>30</v>
      </c>
      <c r="D370" s="59" t="s">
        <v>167</v>
      </c>
      <c r="E370" s="125" t="n">
        <f aca="false">E369+C369</f>
        <v>47574</v>
      </c>
      <c r="F370" s="425" t="n">
        <f aca="false">F322</f>
        <v>22</v>
      </c>
      <c r="G370" s="433" t="n">
        <f aca="false">C370-F370</f>
        <v>8</v>
      </c>
      <c r="H370" s="433"/>
      <c r="I370" s="433"/>
      <c r="L370" s="59" t="n">
        <v>0.072864037472239</v>
      </c>
      <c r="M370" s="59" t="n">
        <v>0.057831055232458</v>
      </c>
    </row>
    <row r="371" customFormat="false" ht="16.5" hidden="false" customHeight="false" outlineLevel="0" collapsed="false">
      <c r="A371" s="59" t="n">
        <f aca="false">A370+1</f>
        <v>365</v>
      </c>
      <c r="C371" s="59" t="n">
        <v>31</v>
      </c>
      <c r="D371" s="59" t="s">
        <v>29</v>
      </c>
      <c r="E371" s="125" t="n">
        <f aca="false">E370+C370</f>
        <v>47604</v>
      </c>
      <c r="F371" s="425" t="n">
        <f aca="false">F323</f>
        <v>23</v>
      </c>
      <c r="G371" s="433" t="n">
        <f aca="false">C371-F371</f>
        <v>8</v>
      </c>
      <c r="H371" s="433"/>
      <c r="I371" s="433"/>
    </row>
    <row r="372" customFormat="false" ht="16.5" hidden="false" customHeight="false" outlineLevel="0" collapsed="false">
      <c r="A372" s="59" t="n">
        <f aca="false">A371+1</f>
        <v>366</v>
      </c>
      <c r="C372" s="59" t="n">
        <v>30</v>
      </c>
      <c r="D372" s="59" t="s">
        <v>168</v>
      </c>
      <c r="E372" s="125" t="n">
        <f aca="false">E371+C371</f>
        <v>47635</v>
      </c>
      <c r="F372" s="425" t="n">
        <f aca="false">F324</f>
        <v>20</v>
      </c>
      <c r="G372" s="433" t="n">
        <f aca="false">C372-F372</f>
        <v>10</v>
      </c>
      <c r="H372" s="433"/>
      <c r="I372" s="433"/>
    </row>
    <row r="373" customFormat="false" ht="16.5" hidden="false" customHeight="false" outlineLevel="0" collapsed="false">
      <c r="A373" s="59" t="n">
        <f aca="false">A372+1</f>
        <v>367</v>
      </c>
      <c r="C373" s="59" t="n">
        <v>31</v>
      </c>
      <c r="D373" s="59" t="s">
        <v>169</v>
      </c>
      <c r="E373" s="125" t="n">
        <f aca="false">E372+C372</f>
        <v>47665</v>
      </c>
      <c r="F373" s="425" t="n">
        <f aca="false">F325</f>
        <v>23</v>
      </c>
      <c r="G373" s="433" t="n">
        <f aca="false">C373-F373</f>
        <v>8</v>
      </c>
      <c r="H373" s="433"/>
      <c r="I373" s="433"/>
    </row>
    <row r="374" customFormat="false" ht="16.5" hidden="false" customHeight="false" outlineLevel="0" collapsed="false">
      <c r="A374" s="59" t="n">
        <f aca="false">A373+1</f>
        <v>368</v>
      </c>
      <c r="C374" s="59" t="n">
        <v>31</v>
      </c>
      <c r="D374" s="59" t="s">
        <v>170</v>
      </c>
      <c r="E374" s="125" t="n">
        <f aca="false">E373+C373</f>
        <v>47696</v>
      </c>
      <c r="F374" s="425" t="n">
        <f aca="false">F326</f>
        <v>22</v>
      </c>
      <c r="G374" s="433" t="n">
        <f aca="false">C374-F374</f>
        <v>9</v>
      </c>
      <c r="H374" s="433"/>
      <c r="I374" s="433"/>
    </row>
    <row r="375" customFormat="false" ht="16.5" hidden="false" customHeight="false" outlineLevel="0" collapsed="false">
      <c r="A375" s="59" t="n">
        <f aca="false">A374+1</f>
        <v>369</v>
      </c>
      <c r="C375" s="59" t="n">
        <v>30</v>
      </c>
      <c r="D375" s="59" t="s">
        <v>171</v>
      </c>
      <c r="E375" s="125" t="n">
        <f aca="false">E374+C374</f>
        <v>47727</v>
      </c>
      <c r="F375" s="425" t="n">
        <f aca="false">F327</f>
        <v>21</v>
      </c>
      <c r="G375" s="433" t="n">
        <f aca="false">C375-F375</f>
        <v>9</v>
      </c>
      <c r="H375" s="433"/>
      <c r="I375" s="433"/>
    </row>
    <row r="376" customFormat="false" ht="16.5" hidden="false" customHeight="false" outlineLevel="0" collapsed="false">
      <c r="A376" s="59" t="n">
        <f aca="false">A375+1</f>
        <v>370</v>
      </c>
      <c r="C376" s="59" t="n">
        <v>31</v>
      </c>
      <c r="D376" s="59" t="s">
        <v>172</v>
      </c>
      <c r="E376" s="125" t="n">
        <f aca="false">E375+C375</f>
        <v>47757</v>
      </c>
      <c r="F376" s="425" t="n">
        <f aca="false">F328</f>
        <v>23</v>
      </c>
      <c r="G376" s="433" t="n">
        <f aca="false">C376-F376</f>
        <v>8</v>
      </c>
      <c r="H376" s="433"/>
      <c r="I376" s="433"/>
    </row>
    <row r="377" customFormat="false" ht="16.5" hidden="false" customHeight="false" outlineLevel="0" collapsed="false">
      <c r="A377" s="59" t="n">
        <f aca="false">A376+1</f>
        <v>371</v>
      </c>
      <c r="C377" s="59" t="n">
        <v>30</v>
      </c>
      <c r="D377" s="59" t="s">
        <v>173</v>
      </c>
      <c r="E377" s="125" t="n">
        <f aca="false">E376+C376</f>
        <v>47788</v>
      </c>
      <c r="F377" s="425" t="n">
        <f aca="false">F329</f>
        <v>21</v>
      </c>
      <c r="G377" s="433" t="n">
        <f aca="false">C377-F377</f>
        <v>9</v>
      </c>
      <c r="H377" s="433"/>
      <c r="I377" s="433"/>
    </row>
    <row r="378" customFormat="false" ht="16.5" hidden="false" customHeight="false" outlineLevel="0" collapsed="false">
      <c r="A378" s="59" t="n">
        <f aca="false">A377+1</f>
        <v>372</v>
      </c>
      <c r="C378" s="59" t="n">
        <v>31</v>
      </c>
      <c r="D378" s="59" t="s">
        <v>174</v>
      </c>
      <c r="E378" s="125" t="n">
        <f aca="false">E377+C377</f>
        <v>47818</v>
      </c>
      <c r="F378" s="425" t="n">
        <f aca="false">F330</f>
        <v>22</v>
      </c>
      <c r="G378" s="433" t="n">
        <f aca="false">C378-F378</f>
        <v>9</v>
      </c>
      <c r="H378" s="433" t="n">
        <f aca="false">SUM(F367:G378)</f>
        <v>365</v>
      </c>
      <c r="I378" s="433"/>
      <c r="AZ378" s="425" t="n">
        <f aca="false">AY378*N378</f>
        <v>0</v>
      </c>
    </row>
    <row r="379" customFormat="false" ht="16.5" hidden="false" customHeight="false" outlineLevel="0" collapsed="false">
      <c r="A379" s="59" t="n">
        <f aca="false">A378+1</f>
        <v>373</v>
      </c>
      <c r="C379" s="59" t="n">
        <v>31</v>
      </c>
      <c r="D379" s="59" t="s">
        <v>164</v>
      </c>
      <c r="E379" s="125" t="n">
        <f aca="false">E378+C378</f>
        <v>47849</v>
      </c>
      <c r="F379" s="425" t="n">
        <f aca="false">F331</f>
        <v>23</v>
      </c>
      <c r="G379" s="433" t="n">
        <f aca="false">C379-F379</f>
        <v>8</v>
      </c>
      <c r="H379" s="433"/>
      <c r="I379" s="433"/>
    </row>
    <row r="380" customFormat="false" ht="16.5" hidden="false" customHeight="false" outlineLevel="0" collapsed="false">
      <c r="A380" s="59" t="n">
        <f aca="false">A379+1</f>
        <v>374</v>
      </c>
      <c r="C380" s="59" t="n">
        <v>28</v>
      </c>
      <c r="D380" s="59" t="s">
        <v>165</v>
      </c>
      <c r="E380" s="125" t="n">
        <f aca="false">E379+C379</f>
        <v>47880</v>
      </c>
      <c r="F380" s="425" t="n">
        <f aca="false">F332</f>
        <v>20</v>
      </c>
      <c r="G380" s="433" t="n">
        <f aca="false">C380-F380</f>
        <v>8</v>
      </c>
      <c r="H380" s="433"/>
      <c r="I380" s="433"/>
    </row>
    <row r="381" customFormat="false" ht="16.5" hidden="false" customHeight="false" outlineLevel="0" collapsed="false">
      <c r="A381" s="59" t="n">
        <f aca="false">A380+1</f>
        <v>375</v>
      </c>
      <c r="C381" s="59" t="n">
        <v>31</v>
      </c>
      <c r="D381" s="59" t="s">
        <v>166</v>
      </c>
      <c r="E381" s="125" t="n">
        <f aca="false">E380+C380</f>
        <v>47908</v>
      </c>
      <c r="F381" s="425" t="n">
        <f aca="false">F333</f>
        <v>21</v>
      </c>
      <c r="G381" s="433" t="n">
        <f aca="false">C381-F381</f>
        <v>10</v>
      </c>
      <c r="H381" s="433"/>
      <c r="I381" s="433"/>
    </row>
    <row r="382" customFormat="false" ht="16.5" hidden="false" customHeight="false" outlineLevel="0" collapsed="false">
      <c r="A382" s="59" t="n">
        <f aca="false">A381+1</f>
        <v>376</v>
      </c>
      <c r="C382" s="59" t="n">
        <v>30</v>
      </c>
      <c r="D382" s="59" t="s">
        <v>167</v>
      </c>
      <c r="E382" s="125" t="n">
        <f aca="false">E381+C381</f>
        <v>47939</v>
      </c>
      <c r="F382" s="425" t="n">
        <f aca="false">F334</f>
        <v>22</v>
      </c>
      <c r="G382" s="433" t="n">
        <f aca="false">C382-F382</f>
        <v>8</v>
      </c>
      <c r="H382" s="433"/>
      <c r="I382" s="433"/>
    </row>
    <row r="383" customFormat="false" ht="16.5" hidden="false" customHeight="false" outlineLevel="0" collapsed="false">
      <c r="A383" s="59" t="n">
        <f aca="false">A382+1</f>
        <v>377</v>
      </c>
      <c r="C383" s="59" t="n">
        <v>31</v>
      </c>
      <c r="D383" s="59" t="s">
        <v>29</v>
      </c>
      <c r="E383" s="125" t="n">
        <f aca="false">E382+C382</f>
        <v>47969</v>
      </c>
      <c r="F383" s="425" t="n">
        <f aca="false">F335</f>
        <v>22</v>
      </c>
      <c r="G383" s="433" t="n">
        <f aca="false">C383-F383</f>
        <v>9</v>
      </c>
      <c r="H383" s="433"/>
      <c r="I383" s="433"/>
    </row>
    <row r="384" customFormat="false" ht="16.5" hidden="false" customHeight="false" outlineLevel="0" collapsed="false">
      <c r="A384" s="59" t="n">
        <f aca="false">A383+1</f>
        <v>378</v>
      </c>
      <c r="C384" s="59" t="n">
        <v>30</v>
      </c>
      <c r="D384" s="59" t="s">
        <v>168</v>
      </c>
      <c r="E384" s="125" t="n">
        <f aca="false">E383+C383</f>
        <v>48000</v>
      </c>
      <c r="F384" s="425" t="n">
        <f aca="false">F336</f>
        <v>21</v>
      </c>
      <c r="G384" s="433" t="n">
        <f aca="false">C384-F384</f>
        <v>9</v>
      </c>
      <c r="H384" s="433"/>
      <c r="I384" s="433"/>
    </row>
    <row r="385" customFormat="false" ht="16.5" hidden="false" customHeight="false" outlineLevel="0" collapsed="false">
      <c r="A385" s="59" t="n">
        <f aca="false">A384+1</f>
        <v>379</v>
      </c>
      <c r="C385" s="59" t="n">
        <v>31</v>
      </c>
      <c r="D385" s="59" t="s">
        <v>169</v>
      </c>
      <c r="E385" s="125" t="n">
        <f aca="false">E384+C384</f>
        <v>48030</v>
      </c>
      <c r="F385" s="425" t="n">
        <f aca="false">F337</f>
        <v>23</v>
      </c>
      <c r="G385" s="433" t="n">
        <f aca="false">C385-F385</f>
        <v>8</v>
      </c>
      <c r="H385" s="433"/>
      <c r="I385" s="433"/>
    </row>
    <row r="386" customFormat="false" ht="16.5" hidden="false" customHeight="false" outlineLevel="0" collapsed="false">
      <c r="A386" s="59" t="n">
        <f aca="false">A385+1</f>
        <v>380</v>
      </c>
      <c r="C386" s="59" t="n">
        <v>31</v>
      </c>
      <c r="D386" s="59" t="s">
        <v>170</v>
      </c>
      <c r="E386" s="125" t="n">
        <f aca="false">E385+C385</f>
        <v>48061</v>
      </c>
      <c r="F386" s="425" t="n">
        <f aca="false">F338</f>
        <v>21</v>
      </c>
      <c r="G386" s="433" t="n">
        <f aca="false">C386-F386</f>
        <v>10</v>
      </c>
      <c r="H386" s="433"/>
      <c r="I386" s="433"/>
    </row>
    <row r="387" customFormat="false" ht="16.5" hidden="false" customHeight="false" outlineLevel="0" collapsed="false">
      <c r="A387" s="59" t="n">
        <f aca="false">A386+1</f>
        <v>381</v>
      </c>
      <c r="C387" s="59" t="n">
        <v>30</v>
      </c>
      <c r="D387" s="59" t="s">
        <v>171</v>
      </c>
      <c r="E387" s="125" t="n">
        <f aca="false">E386+C386</f>
        <v>48092</v>
      </c>
      <c r="F387" s="425" t="n">
        <f aca="false">F339</f>
        <v>22</v>
      </c>
      <c r="G387" s="433" t="n">
        <f aca="false">C387-F387</f>
        <v>8</v>
      </c>
      <c r="H387" s="433"/>
      <c r="I387" s="433"/>
    </row>
    <row r="388" customFormat="false" ht="16.5" hidden="false" customHeight="false" outlineLevel="0" collapsed="false">
      <c r="A388" s="59" t="n">
        <f aca="false">A387+1</f>
        <v>382</v>
      </c>
      <c r="C388" s="59" t="n">
        <v>31</v>
      </c>
      <c r="D388" s="59" t="s">
        <v>172</v>
      </c>
      <c r="E388" s="125" t="n">
        <f aca="false">E387+C387</f>
        <v>48122</v>
      </c>
      <c r="F388" s="425" t="n">
        <f aca="false">F340</f>
        <v>23</v>
      </c>
      <c r="G388" s="433" t="n">
        <f aca="false">C388-F388</f>
        <v>8</v>
      </c>
      <c r="H388" s="433"/>
      <c r="I388" s="433"/>
    </row>
    <row r="389" customFormat="false" ht="16.5" hidden="false" customHeight="false" outlineLevel="0" collapsed="false">
      <c r="A389" s="59" t="n">
        <f aca="false">A388+1</f>
        <v>383</v>
      </c>
      <c r="C389" s="59" t="n">
        <v>30</v>
      </c>
      <c r="D389" s="59" t="s">
        <v>173</v>
      </c>
      <c r="E389" s="125" t="n">
        <f aca="false">E388+C388</f>
        <v>48153</v>
      </c>
      <c r="F389" s="425" t="n">
        <f aca="false">F341</f>
        <v>20</v>
      </c>
      <c r="G389" s="433" t="n">
        <f aca="false">C389-F389</f>
        <v>10</v>
      </c>
      <c r="H389" s="433"/>
      <c r="I389" s="433"/>
    </row>
    <row r="390" customFormat="false" ht="16.5" hidden="false" customHeight="false" outlineLevel="0" collapsed="false">
      <c r="A390" s="59" t="n">
        <f aca="false">A389+1</f>
        <v>384</v>
      </c>
      <c r="C390" s="59" t="n">
        <v>31</v>
      </c>
      <c r="D390" s="59" t="s">
        <v>174</v>
      </c>
      <c r="E390" s="125" t="n">
        <f aca="false">E389+C389</f>
        <v>48183</v>
      </c>
      <c r="F390" s="425" t="n">
        <f aca="false">F342</f>
        <v>23</v>
      </c>
      <c r="G390" s="433" t="n">
        <f aca="false">C390-F390</f>
        <v>8</v>
      </c>
      <c r="H390" s="433" t="n">
        <f aca="false">SUM(F379:G390)</f>
        <v>365</v>
      </c>
      <c r="I390" s="433"/>
      <c r="AZ390" s="425" t="n">
        <f aca="false">AY390*N390</f>
        <v>0</v>
      </c>
    </row>
    <row r="391" customFormat="false" ht="16.5" hidden="false" customHeight="false" outlineLevel="0" collapsed="false">
      <c r="A391" s="59" t="n">
        <f aca="false">A390+1</f>
        <v>385</v>
      </c>
      <c r="C391" s="59" t="n">
        <v>31</v>
      </c>
      <c r="D391" s="59" t="s">
        <v>164</v>
      </c>
      <c r="E391" s="125" t="n">
        <f aca="false">E390+C390</f>
        <v>48214</v>
      </c>
      <c r="F391" s="425" t="n">
        <f aca="false">F343</f>
        <v>22</v>
      </c>
      <c r="G391" s="433" t="n">
        <f aca="false">C391-F391</f>
        <v>9</v>
      </c>
      <c r="H391" s="433"/>
      <c r="I391" s="433"/>
    </row>
    <row r="392" customFormat="false" ht="16.5" hidden="false" customHeight="false" outlineLevel="0" collapsed="false">
      <c r="A392" s="59" t="n">
        <f aca="false">A391+1</f>
        <v>386</v>
      </c>
      <c r="C392" s="496" t="n">
        <v>29</v>
      </c>
      <c r="D392" s="497" t="s">
        <v>165</v>
      </c>
      <c r="E392" s="125" t="n">
        <f aca="false">E391+C391</f>
        <v>48245</v>
      </c>
      <c r="F392" s="425" t="n">
        <f aca="false">F344</f>
        <v>20</v>
      </c>
      <c r="G392" s="433" t="n">
        <f aca="false">C392-F392</f>
        <v>9</v>
      </c>
      <c r="H392" s="433"/>
      <c r="I392" s="433"/>
    </row>
    <row r="393" customFormat="false" ht="16.5" hidden="false" customHeight="false" outlineLevel="0" collapsed="false">
      <c r="A393" s="59" t="n">
        <f aca="false">A392+1</f>
        <v>387</v>
      </c>
      <c r="C393" s="59" t="n">
        <v>31</v>
      </c>
      <c r="D393" s="59" t="s">
        <v>166</v>
      </c>
      <c r="E393" s="125" t="n">
        <f aca="false">E392+C392</f>
        <v>48274</v>
      </c>
      <c r="F393" s="425" t="n">
        <f aca="false">F345</f>
        <v>23</v>
      </c>
      <c r="G393" s="433" t="n">
        <f aca="false">C393-F393</f>
        <v>8</v>
      </c>
      <c r="H393" s="433"/>
      <c r="I393" s="433"/>
    </row>
    <row r="394" customFormat="false" ht="16.5" hidden="false" customHeight="false" outlineLevel="0" collapsed="false">
      <c r="A394" s="59" t="n">
        <f aca="false">A393+1</f>
        <v>388</v>
      </c>
      <c r="C394" s="59" t="n">
        <v>30</v>
      </c>
      <c r="D394" s="59" t="s">
        <v>167</v>
      </c>
      <c r="E394" s="125" t="n">
        <f aca="false">E393+C393</f>
        <v>48305</v>
      </c>
      <c r="F394" s="425" t="n">
        <f aca="false">F346</f>
        <v>22</v>
      </c>
      <c r="G394" s="433" t="n">
        <f aca="false">C394-F394</f>
        <v>8</v>
      </c>
      <c r="H394" s="433"/>
      <c r="I394" s="433"/>
    </row>
    <row r="395" customFormat="false" ht="16.5" hidden="false" customHeight="false" outlineLevel="0" collapsed="false">
      <c r="A395" s="59" t="n">
        <f aca="false">A394+1</f>
        <v>389</v>
      </c>
      <c r="C395" s="59" t="n">
        <v>31</v>
      </c>
      <c r="D395" s="59" t="s">
        <v>29</v>
      </c>
      <c r="E395" s="125" t="n">
        <f aca="false">E394+C394</f>
        <v>48335</v>
      </c>
      <c r="F395" s="425" t="n">
        <f aca="false">F347</f>
        <v>21</v>
      </c>
      <c r="G395" s="433" t="n">
        <f aca="false">C395-F395</f>
        <v>10</v>
      </c>
      <c r="H395" s="433"/>
      <c r="I395" s="433"/>
    </row>
    <row r="396" customFormat="false" ht="16.5" hidden="false" customHeight="false" outlineLevel="0" collapsed="false">
      <c r="A396" s="59" t="n">
        <f aca="false">A395+1</f>
        <v>390</v>
      </c>
      <c r="C396" s="59" t="n">
        <v>30</v>
      </c>
      <c r="D396" s="59" t="s">
        <v>168</v>
      </c>
      <c r="E396" s="125" t="n">
        <f aca="false">E395+C395</f>
        <v>48366</v>
      </c>
      <c r="F396" s="425" t="n">
        <f aca="false">F348</f>
        <v>22</v>
      </c>
      <c r="G396" s="433" t="n">
        <f aca="false">C396-F396</f>
        <v>8</v>
      </c>
      <c r="H396" s="433"/>
      <c r="I396" s="433"/>
    </row>
    <row r="397" customFormat="false" ht="16.5" hidden="false" customHeight="false" outlineLevel="0" collapsed="false">
      <c r="A397" s="59" t="n">
        <f aca="false">A396+1</f>
        <v>391</v>
      </c>
      <c r="C397" s="59" t="n">
        <v>31</v>
      </c>
      <c r="D397" s="59" t="s">
        <v>169</v>
      </c>
      <c r="E397" s="125" t="n">
        <f aca="false">E396+C396</f>
        <v>48396</v>
      </c>
      <c r="F397" s="425" t="n">
        <f aca="false">F349</f>
        <v>22</v>
      </c>
      <c r="G397" s="433" t="n">
        <f aca="false">C397-F397</f>
        <v>9</v>
      </c>
      <c r="H397" s="433"/>
      <c r="I397" s="433"/>
    </row>
    <row r="398" customFormat="false" ht="16.5" hidden="false" customHeight="false" outlineLevel="0" collapsed="false">
      <c r="A398" s="59" t="n">
        <f aca="false">A397+1</f>
        <v>392</v>
      </c>
      <c r="C398" s="59" t="n">
        <v>31</v>
      </c>
      <c r="D398" s="59" t="s">
        <v>170</v>
      </c>
      <c r="E398" s="125" t="n">
        <f aca="false">E397+C397</f>
        <v>48427</v>
      </c>
      <c r="F398" s="425" t="n">
        <f aca="false">F350</f>
        <v>22</v>
      </c>
      <c r="G398" s="433" t="n">
        <f aca="false">C398-F398</f>
        <v>9</v>
      </c>
      <c r="H398" s="433"/>
      <c r="I398" s="433"/>
    </row>
    <row r="399" customFormat="false" ht="16.5" hidden="false" customHeight="false" outlineLevel="0" collapsed="false">
      <c r="A399" s="59" t="n">
        <f aca="false">A398+1</f>
        <v>393</v>
      </c>
      <c r="C399" s="59" t="n">
        <v>30</v>
      </c>
      <c r="D399" s="59" t="s">
        <v>171</v>
      </c>
      <c r="E399" s="125" t="n">
        <f aca="false">E398+C398</f>
        <v>48458</v>
      </c>
      <c r="F399" s="425" t="n">
        <f aca="false">F351</f>
        <v>22</v>
      </c>
      <c r="G399" s="433" t="n">
        <f aca="false">C399-F399</f>
        <v>8</v>
      </c>
      <c r="H399" s="433"/>
      <c r="I399" s="433"/>
    </row>
    <row r="400" customFormat="false" ht="16.5" hidden="false" customHeight="false" outlineLevel="0" collapsed="false">
      <c r="A400" s="59" t="n">
        <f aca="false">A399+1</f>
        <v>394</v>
      </c>
      <c r="C400" s="59" t="n">
        <v>31</v>
      </c>
      <c r="D400" s="59" t="s">
        <v>172</v>
      </c>
      <c r="E400" s="125" t="n">
        <f aca="false">E399+C399</f>
        <v>48488</v>
      </c>
      <c r="F400" s="425" t="n">
        <f aca="false">F352</f>
        <v>21</v>
      </c>
      <c r="G400" s="433" t="n">
        <f aca="false">C400-F400</f>
        <v>10</v>
      </c>
      <c r="H400" s="433"/>
      <c r="I400" s="433"/>
    </row>
    <row r="401" customFormat="false" ht="16.5" hidden="false" customHeight="false" outlineLevel="0" collapsed="false">
      <c r="A401" s="59" t="n">
        <f aca="false">A400+1</f>
        <v>395</v>
      </c>
      <c r="C401" s="59" t="n">
        <v>30</v>
      </c>
      <c r="D401" s="59" t="s">
        <v>173</v>
      </c>
      <c r="E401" s="125" t="n">
        <f aca="false">E400+C400</f>
        <v>48519</v>
      </c>
      <c r="F401" s="425" t="n">
        <f aca="false">F353</f>
        <v>22</v>
      </c>
      <c r="G401" s="433" t="n">
        <f aca="false">C401-F401</f>
        <v>8</v>
      </c>
      <c r="H401" s="433"/>
      <c r="I401" s="433"/>
    </row>
    <row r="402" customFormat="false" ht="16.5" hidden="false" customHeight="false" outlineLevel="0" collapsed="false">
      <c r="A402" s="59" t="n">
        <f aca="false">A401+1</f>
        <v>396</v>
      </c>
      <c r="C402" s="59" t="n">
        <v>31</v>
      </c>
      <c r="D402" s="59" t="s">
        <v>174</v>
      </c>
      <c r="E402" s="125" t="n">
        <f aca="false">E401+C401</f>
        <v>48549</v>
      </c>
      <c r="F402" s="425" t="n">
        <f aca="false">F354</f>
        <v>23</v>
      </c>
      <c r="G402" s="433" t="n">
        <f aca="false">C402-F402</f>
        <v>8</v>
      </c>
      <c r="H402" s="433" t="n">
        <f aca="false">SUM(F391:G402)</f>
        <v>366</v>
      </c>
      <c r="I402" s="433"/>
    </row>
    <row r="403" customFormat="false" ht="16.5" hidden="false" customHeight="false" outlineLevel="0" collapsed="false">
      <c r="A403" s="59" t="n">
        <f aca="false">A402+1</f>
        <v>397</v>
      </c>
      <c r="C403" s="59" t="n">
        <v>31</v>
      </c>
      <c r="D403" s="59" t="s">
        <v>164</v>
      </c>
      <c r="E403" s="125" t="n">
        <f aca="false">E402+C402</f>
        <v>48580</v>
      </c>
      <c r="F403" s="425" t="n">
        <f aca="false">F355</f>
        <v>23</v>
      </c>
      <c r="G403" s="433" t="n">
        <f aca="false">C403-F403</f>
        <v>8</v>
      </c>
      <c r="H403" s="433"/>
      <c r="I403" s="433"/>
    </row>
    <row r="404" customFormat="false" ht="16.5" hidden="false" customHeight="false" outlineLevel="0" collapsed="false">
      <c r="A404" s="59" t="n">
        <f aca="false">A403+1</f>
        <v>398</v>
      </c>
      <c r="C404" s="59" t="n">
        <v>28</v>
      </c>
      <c r="D404" s="59" t="s">
        <v>165</v>
      </c>
      <c r="E404" s="125" t="n">
        <f aca="false">E403+C403</f>
        <v>48611</v>
      </c>
      <c r="F404" s="425" t="n">
        <f aca="false">F356</f>
        <v>20</v>
      </c>
      <c r="G404" s="433" t="n">
        <f aca="false">C404-F404</f>
        <v>8</v>
      </c>
      <c r="H404" s="433"/>
      <c r="I404" s="433"/>
    </row>
    <row r="405" customFormat="false" ht="16.5" hidden="false" customHeight="false" outlineLevel="0" collapsed="false">
      <c r="A405" s="59" t="n">
        <f aca="false">A404+1</f>
        <v>399</v>
      </c>
      <c r="C405" s="59" t="n">
        <v>31</v>
      </c>
      <c r="D405" s="59" t="s">
        <v>166</v>
      </c>
      <c r="E405" s="125" t="n">
        <f aca="false">E404+C404</f>
        <v>48639</v>
      </c>
      <c r="F405" s="425" t="n">
        <f aca="false">F357</f>
        <v>22</v>
      </c>
      <c r="G405" s="433" t="n">
        <f aca="false">C405-F405</f>
        <v>9</v>
      </c>
      <c r="H405" s="433"/>
      <c r="I405" s="433"/>
    </row>
    <row r="406" customFormat="false" ht="16.5" hidden="false" customHeight="false" outlineLevel="0" collapsed="false">
      <c r="A406" s="59" t="n">
        <f aca="false">A405+1</f>
        <v>400</v>
      </c>
      <c r="C406" s="59" t="n">
        <v>30</v>
      </c>
      <c r="D406" s="59" t="s">
        <v>167</v>
      </c>
      <c r="E406" s="125" t="n">
        <f aca="false">E405+C405</f>
        <v>48670</v>
      </c>
      <c r="F406" s="425" t="n">
        <f aca="false">F358</f>
        <v>21</v>
      </c>
      <c r="G406" s="433" t="n">
        <f aca="false">C406-F406</f>
        <v>9</v>
      </c>
      <c r="H406" s="433"/>
      <c r="I406" s="433"/>
    </row>
    <row r="407" customFormat="false" ht="16.5" hidden="false" customHeight="false" outlineLevel="0" collapsed="false">
      <c r="A407" s="59" t="n">
        <f aca="false">A406+1</f>
        <v>401</v>
      </c>
      <c r="C407" s="59" t="n">
        <v>31</v>
      </c>
      <c r="D407" s="59" t="s">
        <v>29</v>
      </c>
      <c r="E407" s="125" t="n">
        <f aca="false">E406+C406</f>
        <v>48700</v>
      </c>
      <c r="F407" s="425" t="n">
        <f aca="false">F359</f>
        <v>23</v>
      </c>
      <c r="G407" s="433" t="n">
        <f aca="false">C407-F407</f>
        <v>8</v>
      </c>
      <c r="H407" s="433"/>
      <c r="I407" s="433"/>
    </row>
    <row r="408" customFormat="false" ht="16.5" hidden="false" customHeight="false" outlineLevel="0" collapsed="false">
      <c r="A408" s="59" t="n">
        <f aca="false">A407+1</f>
        <v>402</v>
      </c>
      <c r="C408" s="59" t="n">
        <v>30</v>
      </c>
      <c r="D408" s="59" t="s">
        <v>168</v>
      </c>
      <c r="E408" s="125" t="n">
        <f aca="false">E407+C407</f>
        <v>48731</v>
      </c>
      <c r="F408" s="425" t="n">
        <f aca="false">F360</f>
        <v>21</v>
      </c>
      <c r="G408" s="433" t="n">
        <f aca="false">C408-F408</f>
        <v>9</v>
      </c>
      <c r="H408" s="433"/>
      <c r="I408" s="433"/>
    </row>
    <row r="409" customFormat="false" ht="16.5" hidden="false" customHeight="false" outlineLevel="0" collapsed="false">
      <c r="A409" s="59" t="n">
        <f aca="false">A408+1</f>
        <v>403</v>
      </c>
      <c r="C409" s="59" t="n">
        <v>31</v>
      </c>
      <c r="D409" s="59" t="s">
        <v>169</v>
      </c>
      <c r="E409" s="125" t="n">
        <f aca="false">E408+C408</f>
        <v>48761</v>
      </c>
      <c r="F409" s="425" t="n">
        <f aca="false">F361</f>
        <v>22</v>
      </c>
      <c r="G409" s="433" t="n">
        <f aca="false">C409-F409</f>
        <v>9</v>
      </c>
      <c r="H409" s="433"/>
      <c r="I409" s="433"/>
    </row>
    <row r="410" customFormat="false" ht="16.5" hidden="false" customHeight="false" outlineLevel="0" collapsed="false">
      <c r="A410" s="59" t="n">
        <f aca="false">A409+1</f>
        <v>404</v>
      </c>
      <c r="C410" s="59" t="n">
        <v>31</v>
      </c>
      <c r="D410" s="59" t="s">
        <v>170</v>
      </c>
      <c r="E410" s="125" t="n">
        <f aca="false">E409+C409</f>
        <v>48792</v>
      </c>
      <c r="F410" s="425" t="n">
        <f aca="false">F362</f>
        <v>23</v>
      </c>
      <c r="G410" s="433" t="n">
        <f aca="false">C410-F410</f>
        <v>8</v>
      </c>
      <c r="H410" s="433"/>
      <c r="I410" s="433"/>
    </row>
    <row r="411" customFormat="false" ht="16.5" hidden="false" customHeight="false" outlineLevel="0" collapsed="false">
      <c r="A411" s="59" t="n">
        <f aca="false">A410+1</f>
        <v>405</v>
      </c>
      <c r="C411" s="59" t="n">
        <v>30</v>
      </c>
      <c r="D411" s="59" t="s">
        <v>171</v>
      </c>
      <c r="E411" s="125" t="n">
        <f aca="false">E410+C410</f>
        <v>48823</v>
      </c>
      <c r="F411" s="425" t="n">
        <f aca="false">F363</f>
        <v>20</v>
      </c>
      <c r="G411" s="433" t="n">
        <f aca="false">C411-F411</f>
        <v>10</v>
      </c>
      <c r="H411" s="433"/>
      <c r="I411" s="433"/>
    </row>
    <row r="412" customFormat="false" ht="16.5" hidden="false" customHeight="false" outlineLevel="0" collapsed="false">
      <c r="A412" s="59" t="n">
        <f aca="false">A411+1</f>
        <v>406</v>
      </c>
      <c r="C412" s="59" t="n">
        <v>31</v>
      </c>
      <c r="D412" s="59" t="s">
        <v>172</v>
      </c>
      <c r="E412" s="125" t="n">
        <f aca="false">E411+C411</f>
        <v>48853</v>
      </c>
      <c r="F412" s="425" t="n">
        <f aca="false">F364</f>
        <v>23</v>
      </c>
      <c r="G412" s="433" t="n">
        <f aca="false">C412-F412</f>
        <v>8</v>
      </c>
      <c r="H412" s="433"/>
      <c r="I412" s="433"/>
    </row>
    <row r="413" customFormat="false" ht="16.5" hidden="false" customHeight="false" outlineLevel="0" collapsed="false">
      <c r="A413" s="59" t="n">
        <f aca="false">A412+1</f>
        <v>407</v>
      </c>
      <c r="C413" s="59" t="n">
        <v>30</v>
      </c>
      <c r="D413" s="59" t="s">
        <v>173</v>
      </c>
      <c r="E413" s="125" t="n">
        <f aca="false">E412+C412</f>
        <v>48884</v>
      </c>
      <c r="F413" s="425" t="n">
        <f aca="false">F365</f>
        <v>22</v>
      </c>
      <c r="G413" s="433" t="n">
        <f aca="false">C413-F413</f>
        <v>8</v>
      </c>
      <c r="H413" s="433"/>
      <c r="I413" s="433"/>
    </row>
    <row r="414" customFormat="false" ht="16.5" hidden="false" customHeight="false" outlineLevel="0" collapsed="false">
      <c r="A414" s="59" t="n">
        <f aca="false">A413+1</f>
        <v>408</v>
      </c>
      <c r="C414" s="59" t="n">
        <v>31</v>
      </c>
      <c r="D414" s="59" t="s">
        <v>174</v>
      </c>
      <c r="E414" s="125" t="n">
        <f aca="false">E413+C413</f>
        <v>48914</v>
      </c>
      <c r="F414" s="425" t="n">
        <f aca="false">F366</f>
        <v>21</v>
      </c>
      <c r="G414" s="433" t="n">
        <f aca="false">C414-F414</f>
        <v>10</v>
      </c>
      <c r="H414" s="433" t="n">
        <f aca="false">SUM(F403:G414)</f>
        <v>365</v>
      </c>
      <c r="I414" s="433"/>
    </row>
    <row r="415" customFormat="false" ht="16.5" hidden="false" customHeight="false" outlineLevel="0" collapsed="false">
      <c r="A415" s="59" t="n">
        <f aca="false">A414+1</f>
        <v>409</v>
      </c>
      <c r="C415" s="59" t="n">
        <v>31</v>
      </c>
      <c r="D415" s="59" t="s">
        <v>164</v>
      </c>
      <c r="E415" s="125" t="n">
        <f aca="false">E414+C414</f>
        <v>48945</v>
      </c>
      <c r="F415" s="425" t="n">
        <f aca="false">F367</f>
        <v>23</v>
      </c>
      <c r="G415" s="433" t="n">
        <f aca="false">C415-F415</f>
        <v>8</v>
      </c>
      <c r="H415" s="433"/>
      <c r="I415" s="433"/>
    </row>
    <row r="416" customFormat="false" ht="16.5" hidden="false" customHeight="false" outlineLevel="0" collapsed="false">
      <c r="A416" s="59" t="n">
        <f aca="false">A415+1</f>
        <v>410</v>
      </c>
      <c r="C416" s="59" t="n">
        <v>28</v>
      </c>
      <c r="D416" s="59" t="s">
        <v>165</v>
      </c>
      <c r="E416" s="125" t="n">
        <f aca="false">E415+C415</f>
        <v>48976</v>
      </c>
      <c r="F416" s="425" t="n">
        <f aca="false">F368</f>
        <v>20</v>
      </c>
      <c r="G416" s="433" t="n">
        <f aca="false">C416-F416</f>
        <v>8</v>
      </c>
      <c r="H416" s="433"/>
      <c r="I416" s="433"/>
    </row>
    <row r="417" customFormat="false" ht="16.5" hidden="false" customHeight="false" outlineLevel="0" collapsed="false">
      <c r="A417" s="59" t="n">
        <f aca="false">A416+1</f>
        <v>411</v>
      </c>
      <c r="C417" s="59" t="n">
        <v>31</v>
      </c>
      <c r="D417" s="59" t="s">
        <v>166</v>
      </c>
      <c r="E417" s="125" t="n">
        <f aca="false">E416+C416</f>
        <v>49004</v>
      </c>
      <c r="F417" s="425" t="n">
        <f aca="false">F369</f>
        <v>21</v>
      </c>
      <c r="G417" s="433" t="n">
        <f aca="false">C417-F417</f>
        <v>10</v>
      </c>
      <c r="H417" s="433"/>
      <c r="I417" s="433"/>
    </row>
    <row r="418" customFormat="false" ht="16.5" hidden="false" customHeight="false" outlineLevel="0" collapsed="false">
      <c r="A418" s="59" t="n">
        <f aca="false">A417+1</f>
        <v>412</v>
      </c>
      <c r="C418" s="59" t="n">
        <v>30</v>
      </c>
      <c r="D418" s="59" t="s">
        <v>167</v>
      </c>
      <c r="E418" s="125" t="n">
        <f aca="false">E417+C417</f>
        <v>49035</v>
      </c>
      <c r="F418" s="425" t="n">
        <f aca="false">F370</f>
        <v>22</v>
      </c>
      <c r="G418" s="433" t="n">
        <f aca="false">C418-F418</f>
        <v>8</v>
      </c>
      <c r="H418" s="433"/>
      <c r="I418" s="433"/>
    </row>
    <row r="419" customFormat="false" ht="16.5" hidden="false" customHeight="false" outlineLevel="0" collapsed="false">
      <c r="A419" s="59" t="n">
        <f aca="false">A418+1</f>
        <v>413</v>
      </c>
      <c r="C419" s="59" t="n">
        <v>31</v>
      </c>
      <c r="D419" s="59" t="s">
        <v>29</v>
      </c>
      <c r="E419" s="125" t="n">
        <f aca="false">E418+C418</f>
        <v>49065</v>
      </c>
      <c r="F419" s="425" t="n">
        <f aca="false">F371</f>
        <v>23</v>
      </c>
      <c r="G419" s="433" t="n">
        <f aca="false">C419-F419</f>
        <v>8</v>
      </c>
      <c r="H419" s="433"/>
      <c r="I419" s="433"/>
    </row>
    <row r="420" customFormat="false" ht="16.5" hidden="false" customHeight="false" outlineLevel="0" collapsed="false">
      <c r="A420" s="59" t="n">
        <f aca="false">A419+1</f>
        <v>414</v>
      </c>
      <c r="C420" s="59" t="n">
        <v>30</v>
      </c>
      <c r="D420" s="59" t="s">
        <v>168</v>
      </c>
      <c r="E420" s="125" t="n">
        <f aca="false">E419+C419</f>
        <v>49096</v>
      </c>
      <c r="F420" s="425" t="n">
        <f aca="false">F372</f>
        <v>20</v>
      </c>
      <c r="G420" s="433" t="n">
        <f aca="false">C420-F420</f>
        <v>10</v>
      </c>
      <c r="H420" s="433"/>
      <c r="I420" s="433"/>
    </row>
    <row r="421" customFormat="false" ht="16.5" hidden="false" customHeight="false" outlineLevel="0" collapsed="false">
      <c r="A421" s="59" t="n">
        <f aca="false">A420+1</f>
        <v>415</v>
      </c>
      <c r="C421" s="59" t="n">
        <v>31</v>
      </c>
      <c r="D421" s="59" t="s">
        <v>169</v>
      </c>
      <c r="E421" s="125" t="n">
        <f aca="false">E420+C420</f>
        <v>49126</v>
      </c>
      <c r="F421" s="425" t="n">
        <f aca="false">F373</f>
        <v>23</v>
      </c>
      <c r="G421" s="433" t="n">
        <f aca="false">C421-F421</f>
        <v>8</v>
      </c>
      <c r="H421" s="433"/>
      <c r="I421" s="433"/>
    </row>
    <row r="422" customFormat="false" ht="16.5" hidden="false" customHeight="false" outlineLevel="0" collapsed="false">
      <c r="A422" s="59" t="n">
        <f aca="false">A421+1</f>
        <v>416</v>
      </c>
      <c r="C422" s="59" t="n">
        <v>31</v>
      </c>
      <c r="D422" s="59" t="s">
        <v>170</v>
      </c>
      <c r="E422" s="125" t="n">
        <f aca="false">E421+C421</f>
        <v>49157</v>
      </c>
      <c r="F422" s="425" t="n">
        <f aca="false">F374</f>
        <v>22</v>
      </c>
      <c r="G422" s="433" t="n">
        <f aca="false">C422-F422</f>
        <v>9</v>
      </c>
      <c r="H422" s="433"/>
      <c r="I422" s="433"/>
    </row>
    <row r="423" customFormat="false" ht="16.5" hidden="false" customHeight="false" outlineLevel="0" collapsed="false">
      <c r="A423" s="59" t="n">
        <f aca="false">A422+1</f>
        <v>417</v>
      </c>
      <c r="C423" s="59" t="n">
        <v>30</v>
      </c>
      <c r="D423" s="59" t="s">
        <v>171</v>
      </c>
      <c r="E423" s="125" t="n">
        <f aca="false">E422+C422</f>
        <v>49188</v>
      </c>
      <c r="F423" s="425" t="n">
        <f aca="false">F375</f>
        <v>21</v>
      </c>
      <c r="G423" s="433" t="n">
        <f aca="false">C423-F423</f>
        <v>9</v>
      </c>
      <c r="H423" s="433"/>
      <c r="I423" s="433"/>
    </row>
    <row r="424" customFormat="false" ht="16.5" hidden="false" customHeight="false" outlineLevel="0" collapsed="false">
      <c r="A424" s="59" t="n">
        <f aca="false">A423+1</f>
        <v>418</v>
      </c>
      <c r="C424" s="59" t="n">
        <v>31</v>
      </c>
      <c r="D424" s="59" t="s">
        <v>172</v>
      </c>
      <c r="E424" s="125" t="n">
        <f aca="false">E423+C423</f>
        <v>49218</v>
      </c>
      <c r="F424" s="425" t="n">
        <f aca="false">F376</f>
        <v>23</v>
      </c>
      <c r="G424" s="433" t="n">
        <f aca="false">C424-F424</f>
        <v>8</v>
      </c>
      <c r="H424" s="433"/>
      <c r="I424" s="433"/>
    </row>
    <row r="425" customFormat="false" ht="16.5" hidden="false" customHeight="false" outlineLevel="0" collapsed="false">
      <c r="A425" s="59" t="n">
        <f aca="false">A424+1</f>
        <v>419</v>
      </c>
      <c r="C425" s="59" t="n">
        <v>30</v>
      </c>
      <c r="D425" s="59" t="s">
        <v>173</v>
      </c>
      <c r="E425" s="125" t="n">
        <f aca="false">E424+C424</f>
        <v>49249</v>
      </c>
      <c r="F425" s="425" t="n">
        <f aca="false">F377</f>
        <v>21</v>
      </c>
      <c r="G425" s="433" t="n">
        <f aca="false">C425-F425</f>
        <v>9</v>
      </c>
      <c r="H425" s="433"/>
      <c r="I425" s="433"/>
    </row>
    <row r="426" customFormat="false" ht="16.5" hidden="false" customHeight="false" outlineLevel="0" collapsed="false">
      <c r="A426" s="59" t="n">
        <f aca="false">A425+1</f>
        <v>420</v>
      </c>
      <c r="C426" s="59" t="n">
        <v>31</v>
      </c>
      <c r="D426" s="59" t="s">
        <v>174</v>
      </c>
      <c r="E426" s="125" t="n">
        <f aca="false">E425+C425</f>
        <v>49279</v>
      </c>
      <c r="F426" s="425" t="n">
        <f aca="false">F378</f>
        <v>22</v>
      </c>
      <c r="G426" s="433" t="n">
        <f aca="false">C426-F426</f>
        <v>9</v>
      </c>
      <c r="H426" s="433" t="n">
        <f aca="false">SUM(F415:G426)</f>
        <v>365</v>
      </c>
      <c r="I426" s="433"/>
    </row>
    <row r="427" customFormat="false" ht="16.5" hidden="false" customHeight="false" outlineLevel="0" collapsed="false">
      <c r="A427" s="59" t="n">
        <f aca="false">A426+1</f>
        <v>421</v>
      </c>
      <c r="C427" s="59" t="n">
        <v>31</v>
      </c>
      <c r="D427" s="59" t="s">
        <v>164</v>
      </c>
      <c r="E427" s="125" t="n">
        <f aca="false">E426+C426</f>
        <v>49310</v>
      </c>
      <c r="F427" s="425" t="n">
        <f aca="false">F379</f>
        <v>23</v>
      </c>
      <c r="G427" s="433" t="n">
        <f aca="false">C427-F427</f>
        <v>8</v>
      </c>
      <c r="H427" s="433"/>
      <c r="I427" s="433"/>
    </row>
    <row r="428" customFormat="false" ht="16.5" hidden="false" customHeight="false" outlineLevel="0" collapsed="false">
      <c r="A428" s="59" t="n">
        <f aca="false">A427+1</f>
        <v>422</v>
      </c>
      <c r="C428" s="59" t="n">
        <v>28</v>
      </c>
      <c r="D428" s="59" t="s">
        <v>165</v>
      </c>
      <c r="E428" s="125" t="n">
        <f aca="false">E427+C427</f>
        <v>49341</v>
      </c>
      <c r="F428" s="425" t="n">
        <f aca="false">F380</f>
        <v>20</v>
      </c>
      <c r="G428" s="433" t="n">
        <f aca="false">C428-F428</f>
        <v>8</v>
      </c>
      <c r="H428" s="433"/>
      <c r="I428" s="433"/>
    </row>
    <row r="429" customFormat="false" ht="16.5" hidden="false" customHeight="false" outlineLevel="0" collapsed="false">
      <c r="A429" s="59" t="n">
        <f aca="false">A428+1</f>
        <v>423</v>
      </c>
      <c r="C429" s="59" t="n">
        <v>31</v>
      </c>
      <c r="D429" s="59" t="s">
        <v>166</v>
      </c>
      <c r="E429" s="125" t="n">
        <f aca="false">E428+C428</f>
        <v>49369</v>
      </c>
      <c r="F429" s="425" t="n">
        <f aca="false">F381</f>
        <v>21</v>
      </c>
      <c r="G429" s="433" t="n">
        <f aca="false">C429-F429</f>
        <v>10</v>
      </c>
      <c r="H429" s="433"/>
      <c r="I429" s="433"/>
    </row>
    <row r="430" customFormat="false" ht="16.5" hidden="false" customHeight="false" outlineLevel="0" collapsed="false">
      <c r="A430" s="59" t="n">
        <f aca="false">A429+1</f>
        <v>424</v>
      </c>
      <c r="C430" s="59" t="n">
        <v>30</v>
      </c>
      <c r="D430" s="59" t="s">
        <v>167</v>
      </c>
      <c r="E430" s="125" t="n">
        <f aca="false">E429+C429</f>
        <v>49400</v>
      </c>
      <c r="F430" s="425" t="n">
        <f aca="false">F382</f>
        <v>22</v>
      </c>
      <c r="G430" s="433" t="n">
        <f aca="false">C430-F430</f>
        <v>8</v>
      </c>
      <c r="H430" s="433"/>
      <c r="I430" s="433"/>
    </row>
    <row r="431" customFormat="false" ht="16.5" hidden="false" customHeight="false" outlineLevel="0" collapsed="false">
      <c r="A431" s="59" t="n">
        <f aca="false">A430+1</f>
        <v>425</v>
      </c>
      <c r="C431" s="59" t="n">
        <v>31</v>
      </c>
      <c r="D431" s="59" t="s">
        <v>29</v>
      </c>
      <c r="E431" s="125" t="n">
        <f aca="false">E430+C430</f>
        <v>49430</v>
      </c>
      <c r="F431" s="425" t="n">
        <f aca="false">F383</f>
        <v>22</v>
      </c>
      <c r="G431" s="433" t="n">
        <f aca="false">C431-F431</f>
        <v>9</v>
      </c>
      <c r="H431" s="433"/>
      <c r="I431" s="433"/>
    </row>
    <row r="432" customFormat="false" ht="16.5" hidden="false" customHeight="false" outlineLevel="0" collapsed="false">
      <c r="A432" s="59" t="n">
        <f aca="false">A431+1</f>
        <v>426</v>
      </c>
      <c r="C432" s="59" t="n">
        <v>30</v>
      </c>
      <c r="D432" s="59" t="s">
        <v>168</v>
      </c>
      <c r="E432" s="125" t="n">
        <f aca="false">E431+C431</f>
        <v>49461</v>
      </c>
      <c r="F432" s="425" t="n">
        <f aca="false">F384</f>
        <v>21</v>
      </c>
      <c r="G432" s="433" t="n">
        <f aca="false">C432-F432</f>
        <v>9</v>
      </c>
      <c r="H432" s="433"/>
      <c r="I432" s="433"/>
    </row>
    <row r="433" customFormat="false" ht="16.5" hidden="false" customHeight="false" outlineLevel="0" collapsed="false">
      <c r="A433" s="59" t="n">
        <f aca="false">A432+1</f>
        <v>427</v>
      </c>
      <c r="C433" s="59" t="n">
        <v>31</v>
      </c>
      <c r="D433" s="59" t="s">
        <v>169</v>
      </c>
      <c r="E433" s="125" t="n">
        <f aca="false">E432+C432</f>
        <v>49491</v>
      </c>
      <c r="F433" s="425" t="n">
        <f aca="false">F385</f>
        <v>23</v>
      </c>
      <c r="G433" s="433" t="n">
        <f aca="false">C433-F433</f>
        <v>8</v>
      </c>
      <c r="H433" s="433"/>
      <c r="I433" s="433"/>
    </row>
    <row r="434" customFormat="false" ht="16.5" hidden="false" customHeight="false" outlineLevel="0" collapsed="false">
      <c r="A434" s="59" t="n">
        <f aca="false">A433+1</f>
        <v>428</v>
      </c>
      <c r="C434" s="59" t="n">
        <v>31</v>
      </c>
      <c r="D434" s="59" t="s">
        <v>170</v>
      </c>
      <c r="E434" s="125" t="n">
        <f aca="false">E433+C433</f>
        <v>49522</v>
      </c>
      <c r="F434" s="425" t="n">
        <f aca="false">F386</f>
        <v>21</v>
      </c>
      <c r="G434" s="433" t="n">
        <f aca="false">C434-F434</f>
        <v>10</v>
      </c>
      <c r="H434" s="433"/>
      <c r="I434" s="433"/>
    </row>
    <row r="435" customFormat="false" ht="16.5" hidden="false" customHeight="false" outlineLevel="0" collapsed="false">
      <c r="A435" s="59" t="n">
        <f aca="false">A434+1</f>
        <v>429</v>
      </c>
      <c r="C435" s="59" t="n">
        <v>30</v>
      </c>
      <c r="D435" s="59" t="s">
        <v>171</v>
      </c>
      <c r="E435" s="125" t="n">
        <f aca="false">E434+C434</f>
        <v>49553</v>
      </c>
      <c r="F435" s="425" t="n">
        <f aca="false">F387</f>
        <v>22</v>
      </c>
      <c r="G435" s="433" t="n">
        <f aca="false">C435-F435</f>
        <v>8</v>
      </c>
      <c r="H435" s="433"/>
      <c r="I435" s="433"/>
    </row>
    <row r="436" customFormat="false" ht="16.5" hidden="false" customHeight="false" outlineLevel="0" collapsed="false">
      <c r="A436" s="59" t="n">
        <f aca="false">A435+1</f>
        <v>430</v>
      </c>
      <c r="C436" s="59" t="n">
        <v>31</v>
      </c>
      <c r="D436" s="59" t="s">
        <v>172</v>
      </c>
      <c r="E436" s="125" t="n">
        <f aca="false">E435+C435</f>
        <v>49583</v>
      </c>
      <c r="F436" s="425" t="n">
        <f aca="false">F388</f>
        <v>23</v>
      </c>
      <c r="G436" s="433" t="n">
        <f aca="false">C436-F436</f>
        <v>8</v>
      </c>
      <c r="H436" s="433"/>
      <c r="I436" s="433"/>
    </row>
    <row r="437" customFormat="false" ht="16.5" hidden="false" customHeight="false" outlineLevel="0" collapsed="false">
      <c r="A437" s="59" t="n">
        <f aca="false">A436+1</f>
        <v>431</v>
      </c>
      <c r="C437" s="59" t="n">
        <v>30</v>
      </c>
      <c r="D437" s="59" t="s">
        <v>173</v>
      </c>
      <c r="E437" s="125" t="n">
        <f aca="false">E436+C436</f>
        <v>49614</v>
      </c>
      <c r="F437" s="425" t="n">
        <f aca="false">F389</f>
        <v>20</v>
      </c>
      <c r="G437" s="433" t="n">
        <f aca="false">C437-F437</f>
        <v>10</v>
      </c>
      <c r="H437" s="433"/>
      <c r="I437" s="433"/>
    </row>
    <row r="438" customFormat="false" ht="16.5" hidden="false" customHeight="false" outlineLevel="0" collapsed="false">
      <c r="A438" s="59" t="n">
        <f aca="false">A437+1</f>
        <v>432</v>
      </c>
      <c r="C438" s="59" t="n">
        <v>31</v>
      </c>
      <c r="D438" s="59" t="s">
        <v>174</v>
      </c>
      <c r="E438" s="125" t="n">
        <f aca="false">E437+C437</f>
        <v>49644</v>
      </c>
      <c r="F438" s="425" t="n">
        <f aca="false">F390</f>
        <v>23</v>
      </c>
      <c r="G438" s="433" t="n">
        <f aca="false">C438-F438</f>
        <v>8</v>
      </c>
      <c r="H438" s="433" t="n">
        <f aca="false">SUM(F427:G438)</f>
        <v>365</v>
      </c>
      <c r="I438" s="433"/>
    </row>
    <row r="439" customFormat="false" ht="16.5" hidden="false" customHeight="false" outlineLevel="0" collapsed="false">
      <c r="A439" s="59" t="n">
        <f aca="false">A438+1</f>
        <v>433</v>
      </c>
      <c r="C439" s="59" t="n">
        <v>31</v>
      </c>
      <c r="D439" s="59" t="s">
        <v>164</v>
      </c>
      <c r="E439" s="125" t="n">
        <f aca="false">E438+C438</f>
        <v>49675</v>
      </c>
      <c r="F439" s="425" t="n">
        <f aca="false">F391</f>
        <v>22</v>
      </c>
      <c r="G439" s="433" t="n">
        <f aca="false">C439-F439</f>
        <v>9</v>
      </c>
      <c r="H439" s="433"/>
      <c r="I439" s="433"/>
    </row>
    <row r="440" customFormat="false" ht="16.5" hidden="false" customHeight="false" outlineLevel="0" collapsed="false">
      <c r="A440" s="59" t="n">
        <f aca="false">A439+1</f>
        <v>434</v>
      </c>
      <c r="C440" s="496" t="n">
        <v>29</v>
      </c>
      <c r="D440" s="497" t="s">
        <v>165</v>
      </c>
      <c r="E440" s="125" t="n">
        <f aca="false">E439+C439</f>
        <v>49706</v>
      </c>
      <c r="F440" s="425" t="n">
        <f aca="false">F392</f>
        <v>20</v>
      </c>
      <c r="G440" s="433" t="n">
        <f aca="false">C440-F440</f>
        <v>9</v>
      </c>
      <c r="H440" s="433"/>
      <c r="I440" s="433"/>
    </row>
    <row r="441" customFormat="false" ht="16.5" hidden="false" customHeight="false" outlineLevel="0" collapsed="false">
      <c r="A441" s="59" t="n">
        <f aca="false">A440+1</f>
        <v>435</v>
      </c>
      <c r="C441" s="59" t="n">
        <v>31</v>
      </c>
      <c r="D441" s="59" t="s">
        <v>166</v>
      </c>
      <c r="E441" s="125" t="n">
        <f aca="false">E440+C440</f>
        <v>49735</v>
      </c>
      <c r="F441" s="425" t="n">
        <f aca="false">F393</f>
        <v>23</v>
      </c>
      <c r="G441" s="433" t="n">
        <f aca="false">C441-F441</f>
        <v>8</v>
      </c>
      <c r="H441" s="433"/>
      <c r="I441" s="433"/>
    </row>
    <row r="442" customFormat="false" ht="16.5" hidden="false" customHeight="false" outlineLevel="0" collapsed="false">
      <c r="A442" s="59" t="n">
        <f aca="false">A441+1</f>
        <v>436</v>
      </c>
      <c r="C442" s="59" t="n">
        <v>30</v>
      </c>
      <c r="D442" s="59" t="s">
        <v>167</v>
      </c>
      <c r="E442" s="125" t="n">
        <f aca="false">E441+C441</f>
        <v>49766</v>
      </c>
      <c r="F442" s="425" t="n">
        <f aca="false">F394</f>
        <v>22</v>
      </c>
      <c r="G442" s="433" t="n">
        <f aca="false">C442-F442</f>
        <v>8</v>
      </c>
      <c r="H442" s="433"/>
      <c r="I442" s="433"/>
    </row>
    <row r="443" customFormat="false" ht="16.5" hidden="false" customHeight="false" outlineLevel="0" collapsed="false">
      <c r="A443" s="59" t="n">
        <f aca="false">A442+1</f>
        <v>437</v>
      </c>
      <c r="C443" s="59" t="n">
        <v>31</v>
      </c>
      <c r="D443" s="59" t="s">
        <v>29</v>
      </c>
      <c r="E443" s="125" t="n">
        <f aca="false">E442+C442</f>
        <v>49796</v>
      </c>
      <c r="F443" s="425" t="n">
        <f aca="false">F395</f>
        <v>21</v>
      </c>
      <c r="G443" s="433" t="n">
        <f aca="false">C443-F443</f>
        <v>10</v>
      </c>
      <c r="H443" s="433"/>
      <c r="I443" s="433"/>
    </row>
    <row r="444" customFormat="false" ht="16.5" hidden="false" customHeight="false" outlineLevel="0" collapsed="false">
      <c r="A444" s="59" t="n">
        <f aca="false">A443+1</f>
        <v>438</v>
      </c>
      <c r="C444" s="59" t="n">
        <v>30</v>
      </c>
      <c r="D444" s="59" t="s">
        <v>168</v>
      </c>
      <c r="E444" s="125" t="n">
        <f aca="false">E443+C443</f>
        <v>49827</v>
      </c>
      <c r="F444" s="425" t="n">
        <f aca="false">F396</f>
        <v>22</v>
      </c>
      <c r="G444" s="433" t="n">
        <f aca="false">C444-F444</f>
        <v>8</v>
      </c>
      <c r="H444" s="433"/>
      <c r="I444" s="433"/>
    </row>
    <row r="445" customFormat="false" ht="16.5" hidden="false" customHeight="false" outlineLevel="0" collapsed="false">
      <c r="A445" s="59" t="n">
        <f aca="false">A444+1</f>
        <v>439</v>
      </c>
      <c r="C445" s="59" t="n">
        <v>31</v>
      </c>
      <c r="D445" s="59" t="s">
        <v>169</v>
      </c>
      <c r="E445" s="125" t="n">
        <f aca="false">E444+C444</f>
        <v>49857</v>
      </c>
      <c r="F445" s="425" t="n">
        <f aca="false">F397</f>
        <v>22</v>
      </c>
      <c r="G445" s="433" t="n">
        <f aca="false">C445-F445</f>
        <v>9</v>
      </c>
      <c r="H445" s="433"/>
      <c r="I445" s="433"/>
    </row>
    <row r="446" customFormat="false" ht="16.5" hidden="false" customHeight="false" outlineLevel="0" collapsed="false">
      <c r="A446" s="59" t="n">
        <f aca="false">A445+1</f>
        <v>440</v>
      </c>
      <c r="C446" s="59" t="n">
        <v>31</v>
      </c>
      <c r="D446" s="59" t="s">
        <v>170</v>
      </c>
      <c r="E446" s="125" t="n">
        <f aca="false">E445+C445</f>
        <v>49888</v>
      </c>
      <c r="F446" s="425" t="n">
        <f aca="false">F398</f>
        <v>22</v>
      </c>
      <c r="G446" s="433" t="n">
        <f aca="false">C446-F446</f>
        <v>9</v>
      </c>
      <c r="H446" s="433"/>
      <c r="I446" s="433"/>
    </row>
    <row r="447" customFormat="false" ht="16.5" hidden="false" customHeight="false" outlineLevel="0" collapsed="false">
      <c r="A447" s="59" t="n">
        <f aca="false">A446+1</f>
        <v>441</v>
      </c>
      <c r="C447" s="59" t="n">
        <v>30</v>
      </c>
      <c r="D447" s="59" t="s">
        <v>171</v>
      </c>
      <c r="E447" s="125" t="n">
        <f aca="false">E446+C446</f>
        <v>49919</v>
      </c>
      <c r="F447" s="425" t="n">
        <f aca="false">F399</f>
        <v>22</v>
      </c>
      <c r="G447" s="433" t="n">
        <f aca="false">C447-F447</f>
        <v>8</v>
      </c>
      <c r="H447" s="433"/>
      <c r="I447" s="433"/>
    </row>
    <row r="448" customFormat="false" ht="16.5" hidden="false" customHeight="false" outlineLevel="0" collapsed="false">
      <c r="A448" s="59" t="n">
        <f aca="false">A447+1</f>
        <v>442</v>
      </c>
      <c r="C448" s="59" t="n">
        <v>31</v>
      </c>
      <c r="D448" s="59" t="s">
        <v>172</v>
      </c>
      <c r="E448" s="125" t="n">
        <f aca="false">E447+C447</f>
        <v>49949</v>
      </c>
      <c r="F448" s="425" t="n">
        <f aca="false">F400</f>
        <v>21</v>
      </c>
      <c r="G448" s="433" t="n">
        <f aca="false">C448-F448</f>
        <v>10</v>
      </c>
      <c r="H448" s="433"/>
      <c r="I448" s="433"/>
    </row>
    <row r="449" customFormat="false" ht="16.5" hidden="false" customHeight="false" outlineLevel="0" collapsed="false">
      <c r="A449" s="59" t="n">
        <f aca="false">A448+1</f>
        <v>443</v>
      </c>
      <c r="C449" s="59" t="n">
        <v>30</v>
      </c>
      <c r="D449" s="59" t="s">
        <v>173</v>
      </c>
      <c r="E449" s="125" t="n">
        <f aca="false">E448+C448</f>
        <v>49980</v>
      </c>
      <c r="F449" s="425" t="n">
        <f aca="false">F401</f>
        <v>22</v>
      </c>
      <c r="G449" s="433" t="n">
        <f aca="false">C449-F449</f>
        <v>8</v>
      </c>
      <c r="H449" s="433"/>
      <c r="I449" s="433"/>
    </row>
    <row r="450" customFormat="false" ht="16.5" hidden="false" customHeight="false" outlineLevel="0" collapsed="false">
      <c r="A450" s="59" t="n">
        <f aca="false">A449+1</f>
        <v>444</v>
      </c>
      <c r="C450" s="59" t="n">
        <v>31</v>
      </c>
      <c r="D450" s="59" t="s">
        <v>174</v>
      </c>
      <c r="E450" s="125" t="n">
        <f aca="false">E449+C449</f>
        <v>50010</v>
      </c>
      <c r="F450" s="425" t="n">
        <f aca="false">F402</f>
        <v>23</v>
      </c>
      <c r="G450" s="433" t="n">
        <f aca="false">C450-F450</f>
        <v>8</v>
      </c>
      <c r="H450" s="433" t="n">
        <f aca="false">SUM(F439:G450)</f>
        <v>366</v>
      </c>
      <c r="I450" s="433"/>
    </row>
    <row r="451" customFormat="false" ht="16.5" hidden="false" customHeight="false" outlineLevel="0" collapsed="false">
      <c r="A451" s="59" t="n">
        <f aca="false">A450+1</f>
        <v>445</v>
      </c>
      <c r="C451" s="59" t="n">
        <v>31</v>
      </c>
      <c r="D451" s="59" t="s">
        <v>164</v>
      </c>
      <c r="E451" s="125" t="n">
        <f aca="false">E450+C450</f>
        <v>50041</v>
      </c>
      <c r="F451" s="425" t="n">
        <f aca="false">F403</f>
        <v>23</v>
      </c>
      <c r="G451" s="433" t="n">
        <f aca="false">C451-F451</f>
        <v>8</v>
      </c>
      <c r="H451" s="433"/>
      <c r="I451" s="433"/>
    </row>
    <row r="452" customFormat="false" ht="16.5" hidden="false" customHeight="false" outlineLevel="0" collapsed="false">
      <c r="A452" s="59" t="n">
        <f aca="false">A451+1</f>
        <v>446</v>
      </c>
      <c r="C452" s="59" t="n">
        <v>28</v>
      </c>
      <c r="D452" s="59" t="s">
        <v>165</v>
      </c>
      <c r="E452" s="125" t="n">
        <f aca="false">E451+C451</f>
        <v>50072</v>
      </c>
      <c r="F452" s="425" t="n">
        <f aca="false">F404</f>
        <v>20</v>
      </c>
      <c r="G452" s="433" t="n">
        <f aca="false">C452-F452</f>
        <v>8</v>
      </c>
      <c r="H452" s="433"/>
      <c r="I452" s="433"/>
    </row>
    <row r="453" customFormat="false" ht="16.5" hidden="false" customHeight="false" outlineLevel="0" collapsed="false">
      <c r="A453" s="59" t="n">
        <f aca="false">A452+1</f>
        <v>447</v>
      </c>
      <c r="C453" s="59" t="n">
        <v>31</v>
      </c>
      <c r="D453" s="59" t="s">
        <v>166</v>
      </c>
      <c r="E453" s="125" t="n">
        <f aca="false">E452+C452</f>
        <v>50100</v>
      </c>
      <c r="F453" s="425" t="n">
        <f aca="false">F405</f>
        <v>22</v>
      </c>
      <c r="G453" s="433" t="n">
        <f aca="false">C453-F453</f>
        <v>9</v>
      </c>
      <c r="H453" s="433"/>
      <c r="I453" s="433"/>
    </row>
    <row r="454" customFormat="false" ht="16.5" hidden="false" customHeight="false" outlineLevel="0" collapsed="false">
      <c r="A454" s="59" t="n">
        <f aca="false">A453+1</f>
        <v>448</v>
      </c>
      <c r="C454" s="59" t="n">
        <v>30</v>
      </c>
      <c r="D454" s="59" t="s">
        <v>167</v>
      </c>
      <c r="E454" s="125" t="n">
        <f aca="false">E453+C453</f>
        <v>50131</v>
      </c>
      <c r="F454" s="425" t="n">
        <f aca="false">F406</f>
        <v>21</v>
      </c>
      <c r="G454" s="433" t="n">
        <f aca="false">C454-F454</f>
        <v>9</v>
      </c>
      <c r="H454" s="433"/>
      <c r="I454" s="433"/>
    </row>
    <row r="455" customFormat="false" ht="16.5" hidden="false" customHeight="false" outlineLevel="0" collapsed="false">
      <c r="A455" s="59" t="n">
        <f aca="false">A454+1</f>
        <v>449</v>
      </c>
      <c r="C455" s="59" t="n">
        <v>31</v>
      </c>
      <c r="D455" s="59" t="s">
        <v>29</v>
      </c>
      <c r="E455" s="125" t="n">
        <f aca="false">E454+C454</f>
        <v>50161</v>
      </c>
      <c r="F455" s="425" t="n">
        <f aca="false">F407</f>
        <v>23</v>
      </c>
      <c r="G455" s="433" t="n">
        <f aca="false">C455-F455</f>
        <v>8</v>
      </c>
      <c r="H455" s="433"/>
      <c r="I455" s="433"/>
    </row>
    <row r="456" customFormat="false" ht="16.5" hidden="false" customHeight="false" outlineLevel="0" collapsed="false">
      <c r="A456" s="59" t="n">
        <f aca="false">A455+1</f>
        <v>450</v>
      </c>
      <c r="C456" s="59" t="n">
        <v>30</v>
      </c>
      <c r="D456" s="59" t="s">
        <v>168</v>
      </c>
      <c r="E456" s="125" t="n">
        <f aca="false">E455+C455</f>
        <v>50192</v>
      </c>
      <c r="F456" s="425" t="n">
        <f aca="false">F408</f>
        <v>21</v>
      </c>
      <c r="G456" s="433" t="n">
        <f aca="false">C456-F456</f>
        <v>9</v>
      </c>
      <c r="H456" s="433"/>
      <c r="I456" s="433"/>
    </row>
    <row r="457" customFormat="false" ht="16.5" hidden="false" customHeight="false" outlineLevel="0" collapsed="false">
      <c r="A457" s="59" t="n">
        <f aca="false">A456+1</f>
        <v>451</v>
      </c>
      <c r="C457" s="59" t="n">
        <v>31</v>
      </c>
      <c r="D457" s="59" t="s">
        <v>169</v>
      </c>
      <c r="E457" s="125" t="n">
        <f aca="false">E456+C456</f>
        <v>50222</v>
      </c>
      <c r="F457" s="425" t="n">
        <f aca="false">F409</f>
        <v>22</v>
      </c>
      <c r="G457" s="433" t="n">
        <f aca="false">C457-F457</f>
        <v>9</v>
      </c>
      <c r="H457" s="433"/>
      <c r="I457" s="433"/>
    </row>
    <row r="458" customFormat="false" ht="16.5" hidden="false" customHeight="false" outlineLevel="0" collapsed="false">
      <c r="A458" s="59" t="n">
        <f aca="false">A457+1</f>
        <v>452</v>
      </c>
      <c r="C458" s="59" t="n">
        <v>31</v>
      </c>
      <c r="D458" s="59" t="s">
        <v>170</v>
      </c>
      <c r="E458" s="125" t="n">
        <f aca="false">E457+C457</f>
        <v>50253</v>
      </c>
      <c r="F458" s="425" t="n">
        <f aca="false">F410</f>
        <v>23</v>
      </c>
      <c r="G458" s="433" t="n">
        <f aca="false">C458-F458</f>
        <v>8</v>
      </c>
      <c r="H458" s="433"/>
      <c r="I458" s="433"/>
    </row>
    <row r="459" customFormat="false" ht="16.5" hidden="false" customHeight="false" outlineLevel="0" collapsed="false">
      <c r="A459" s="59" t="n">
        <f aca="false">A458+1</f>
        <v>453</v>
      </c>
      <c r="C459" s="59" t="n">
        <v>30</v>
      </c>
      <c r="D459" s="59" t="s">
        <v>171</v>
      </c>
      <c r="E459" s="125" t="n">
        <f aca="false">E458+C458</f>
        <v>50284</v>
      </c>
      <c r="F459" s="425" t="n">
        <f aca="false">F411</f>
        <v>20</v>
      </c>
      <c r="G459" s="433" t="n">
        <f aca="false">C459-F459</f>
        <v>10</v>
      </c>
      <c r="H459" s="433"/>
      <c r="I459" s="433"/>
    </row>
    <row r="460" customFormat="false" ht="16.5" hidden="false" customHeight="false" outlineLevel="0" collapsed="false">
      <c r="A460" s="59" t="n">
        <f aca="false">A459+1</f>
        <v>454</v>
      </c>
      <c r="C460" s="59" t="n">
        <v>31</v>
      </c>
      <c r="D460" s="59" t="s">
        <v>172</v>
      </c>
      <c r="E460" s="125" t="n">
        <f aca="false">E459+C459</f>
        <v>50314</v>
      </c>
      <c r="F460" s="425" t="n">
        <f aca="false">F412</f>
        <v>23</v>
      </c>
      <c r="G460" s="433" t="n">
        <f aca="false">C460-F460</f>
        <v>8</v>
      </c>
      <c r="H460" s="433"/>
      <c r="I460" s="433"/>
    </row>
    <row r="461" customFormat="false" ht="16.5" hidden="false" customHeight="false" outlineLevel="0" collapsed="false">
      <c r="A461" s="59" t="n">
        <f aca="false">A460+1</f>
        <v>455</v>
      </c>
      <c r="C461" s="59" t="n">
        <v>30</v>
      </c>
      <c r="D461" s="59" t="s">
        <v>173</v>
      </c>
      <c r="E461" s="125" t="n">
        <f aca="false">E460+C460</f>
        <v>50345</v>
      </c>
      <c r="F461" s="425" t="n">
        <f aca="false">F413</f>
        <v>22</v>
      </c>
      <c r="G461" s="433" t="n">
        <f aca="false">C461-F461</f>
        <v>8</v>
      </c>
      <c r="H461" s="433"/>
      <c r="I461" s="433"/>
    </row>
    <row r="462" customFormat="false" ht="16.5" hidden="false" customHeight="false" outlineLevel="0" collapsed="false">
      <c r="A462" s="59" t="n">
        <f aca="false">A461+1</f>
        <v>456</v>
      </c>
      <c r="C462" s="59" t="n">
        <v>31</v>
      </c>
      <c r="D462" s="59" t="s">
        <v>174</v>
      </c>
      <c r="E462" s="125" t="n">
        <f aca="false">E461+C461</f>
        <v>50375</v>
      </c>
      <c r="F462" s="425" t="n">
        <f aca="false">F414</f>
        <v>21</v>
      </c>
      <c r="G462" s="433" t="n">
        <f aca="false">C462-F462</f>
        <v>10</v>
      </c>
      <c r="H462" s="433" t="n">
        <f aca="false">SUM(F451:G462)</f>
        <v>365</v>
      </c>
      <c r="I462" s="433"/>
    </row>
    <row r="463" customFormat="false" ht="16.5" hidden="false" customHeight="false" outlineLevel="0" collapsed="false">
      <c r="A463" s="59" t="n">
        <f aca="false">A462+1</f>
        <v>457</v>
      </c>
      <c r="C463" s="59" t="n">
        <v>31</v>
      </c>
      <c r="D463" s="59" t="s">
        <v>164</v>
      </c>
      <c r="E463" s="125" t="n">
        <f aca="false">E462+C462</f>
        <v>50406</v>
      </c>
      <c r="F463" s="425" t="n">
        <f aca="false">F415</f>
        <v>23</v>
      </c>
      <c r="G463" s="433" t="n">
        <f aca="false">C463-F463</f>
        <v>8</v>
      </c>
      <c r="H463" s="433"/>
      <c r="I463" s="433"/>
    </row>
    <row r="464" customFormat="false" ht="16.5" hidden="false" customHeight="false" outlineLevel="0" collapsed="false">
      <c r="A464" s="59" t="n">
        <f aca="false">A463+1</f>
        <v>458</v>
      </c>
      <c r="C464" s="59" t="n">
        <v>28</v>
      </c>
      <c r="D464" s="59" t="s">
        <v>165</v>
      </c>
      <c r="E464" s="125" t="n">
        <f aca="false">E463+C463</f>
        <v>50437</v>
      </c>
      <c r="F464" s="425" t="n">
        <f aca="false">F416</f>
        <v>20</v>
      </c>
      <c r="G464" s="433" t="n">
        <f aca="false">C464-F464</f>
        <v>8</v>
      </c>
      <c r="H464" s="433"/>
      <c r="I464" s="433"/>
    </row>
    <row r="465" customFormat="false" ht="16.5" hidden="false" customHeight="false" outlineLevel="0" collapsed="false">
      <c r="A465" s="59" t="n">
        <f aca="false">A464+1</f>
        <v>459</v>
      </c>
      <c r="C465" s="59" t="n">
        <v>31</v>
      </c>
      <c r="D465" s="59" t="s">
        <v>166</v>
      </c>
      <c r="E465" s="125" t="n">
        <f aca="false">E464+C464</f>
        <v>50465</v>
      </c>
      <c r="F465" s="425" t="n">
        <f aca="false">F417</f>
        <v>21</v>
      </c>
      <c r="G465" s="433" t="n">
        <f aca="false">C465-F465</f>
        <v>10</v>
      </c>
      <c r="H465" s="433"/>
      <c r="I465" s="433"/>
    </row>
    <row r="466" customFormat="false" ht="16.5" hidden="false" customHeight="false" outlineLevel="0" collapsed="false">
      <c r="A466" s="59" t="n">
        <f aca="false">A465+1</f>
        <v>460</v>
      </c>
      <c r="C466" s="59" t="n">
        <v>30</v>
      </c>
      <c r="D466" s="59" t="s">
        <v>167</v>
      </c>
      <c r="E466" s="125" t="n">
        <f aca="false">E465+C465</f>
        <v>50496</v>
      </c>
      <c r="F466" s="425" t="n">
        <f aca="false">F418</f>
        <v>22</v>
      </c>
      <c r="G466" s="433" t="n">
        <f aca="false">C466-F466</f>
        <v>8</v>
      </c>
      <c r="H466" s="433"/>
      <c r="I466" s="433"/>
    </row>
    <row r="467" customFormat="false" ht="16.5" hidden="false" customHeight="false" outlineLevel="0" collapsed="false">
      <c r="A467" s="59" t="n">
        <f aca="false">A466+1</f>
        <v>461</v>
      </c>
      <c r="C467" s="59" t="n">
        <v>31</v>
      </c>
      <c r="D467" s="59" t="s">
        <v>29</v>
      </c>
      <c r="E467" s="125" t="n">
        <f aca="false">E466+C466</f>
        <v>50526</v>
      </c>
      <c r="F467" s="425" t="n">
        <f aca="false">F419</f>
        <v>23</v>
      </c>
      <c r="G467" s="433" t="n">
        <f aca="false">C467-F467</f>
        <v>8</v>
      </c>
      <c r="H467" s="433"/>
      <c r="I467" s="433"/>
    </row>
    <row r="468" customFormat="false" ht="16.5" hidden="false" customHeight="false" outlineLevel="0" collapsed="false">
      <c r="A468" s="59" t="n">
        <f aca="false">A467+1</f>
        <v>462</v>
      </c>
      <c r="C468" s="59" t="n">
        <v>30</v>
      </c>
      <c r="D468" s="59" t="s">
        <v>168</v>
      </c>
      <c r="E468" s="125" t="n">
        <f aca="false">E467+C467</f>
        <v>50557</v>
      </c>
      <c r="F468" s="425" t="n">
        <f aca="false">F420</f>
        <v>20</v>
      </c>
      <c r="G468" s="433" t="n">
        <f aca="false">C468-F468</f>
        <v>10</v>
      </c>
      <c r="H468" s="433"/>
      <c r="I468" s="433"/>
    </row>
    <row r="469" customFormat="false" ht="16.5" hidden="false" customHeight="false" outlineLevel="0" collapsed="false">
      <c r="A469" s="59" t="n">
        <f aca="false">A468+1</f>
        <v>463</v>
      </c>
      <c r="C469" s="59" t="n">
        <v>31</v>
      </c>
      <c r="D469" s="59" t="s">
        <v>169</v>
      </c>
      <c r="E469" s="125" t="n">
        <f aca="false">E468+C468</f>
        <v>50587</v>
      </c>
      <c r="F469" s="425" t="n">
        <f aca="false">F421</f>
        <v>23</v>
      </c>
      <c r="G469" s="433" t="n">
        <f aca="false">C469-F469</f>
        <v>8</v>
      </c>
      <c r="H469" s="433"/>
      <c r="I469" s="433"/>
    </row>
    <row r="470" customFormat="false" ht="16.5" hidden="false" customHeight="false" outlineLevel="0" collapsed="false">
      <c r="A470" s="59" t="n">
        <f aca="false">A469+1</f>
        <v>464</v>
      </c>
      <c r="C470" s="59" t="n">
        <v>31</v>
      </c>
      <c r="D470" s="59" t="s">
        <v>170</v>
      </c>
      <c r="E470" s="125" t="n">
        <f aca="false">E469+C469</f>
        <v>50618</v>
      </c>
      <c r="F470" s="425" t="n">
        <f aca="false">F422</f>
        <v>22</v>
      </c>
      <c r="G470" s="433" t="n">
        <f aca="false">C470-F470</f>
        <v>9</v>
      </c>
      <c r="H470" s="433"/>
      <c r="I470" s="433"/>
    </row>
    <row r="471" customFormat="false" ht="16.5" hidden="false" customHeight="false" outlineLevel="0" collapsed="false">
      <c r="A471" s="59" t="n">
        <f aca="false">A470+1</f>
        <v>465</v>
      </c>
      <c r="C471" s="59" t="n">
        <v>30</v>
      </c>
      <c r="D471" s="59" t="s">
        <v>171</v>
      </c>
      <c r="E471" s="125" t="n">
        <f aca="false">E470+C470</f>
        <v>50649</v>
      </c>
      <c r="F471" s="425" t="n">
        <f aca="false">F423</f>
        <v>21</v>
      </c>
      <c r="G471" s="433" t="n">
        <f aca="false">C471-F471</f>
        <v>9</v>
      </c>
      <c r="H471" s="433"/>
      <c r="I471" s="433"/>
    </row>
    <row r="472" customFormat="false" ht="16.5" hidden="false" customHeight="false" outlineLevel="0" collapsed="false">
      <c r="A472" s="59" t="n">
        <f aca="false">A471+1</f>
        <v>466</v>
      </c>
      <c r="C472" s="59" t="n">
        <v>31</v>
      </c>
      <c r="D472" s="59" t="s">
        <v>172</v>
      </c>
      <c r="E472" s="125" t="n">
        <f aca="false">E471+C471</f>
        <v>50679</v>
      </c>
      <c r="F472" s="425" t="n">
        <f aca="false">F424</f>
        <v>23</v>
      </c>
      <c r="G472" s="433" t="n">
        <f aca="false">C472-F472</f>
        <v>8</v>
      </c>
      <c r="H472" s="433"/>
      <c r="I472" s="433"/>
    </row>
    <row r="473" customFormat="false" ht="16.5" hidden="false" customHeight="false" outlineLevel="0" collapsed="false">
      <c r="A473" s="59" t="n">
        <f aca="false">A472+1</f>
        <v>467</v>
      </c>
      <c r="C473" s="59" t="n">
        <v>30</v>
      </c>
      <c r="D473" s="59" t="s">
        <v>173</v>
      </c>
      <c r="E473" s="125" t="n">
        <f aca="false">E472+C472</f>
        <v>50710</v>
      </c>
      <c r="F473" s="425" t="n">
        <f aca="false">F425</f>
        <v>21</v>
      </c>
      <c r="G473" s="433" t="n">
        <f aca="false">C473-F473</f>
        <v>9</v>
      </c>
      <c r="H473" s="433"/>
      <c r="I473" s="433"/>
    </row>
    <row r="474" customFormat="false" ht="16.5" hidden="false" customHeight="false" outlineLevel="0" collapsed="false">
      <c r="A474" s="59" t="n">
        <f aca="false">A473+1</f>
        <v>468</v>
      </c>
      <c r="C474" s="59" t="n">
        <v>31</v>
      </c>
      <c r="D474" s="59" t="s">
        <v>174</v>
      </c>
      <c r="E474" s="125" t="n">
        <f aca="false">E473+C473</f>
        <v>50740</v>
      </c>
      <c r="F474" s="425" t="n">
        <f aca="false">F426</f>
        <v>22</v>
      </c>
      <c r="G474" s="433" t="n">
        <f aca="false">C474-F474</f>
        <v>9</v>
      </c>
      <c r="H474" s="433" t="n">
        <f aca="false">SUM(F463:G474)</f>
        <v>365</v>
      </c>
      <c r="I474" s="433"/>
    </row>
    <row r="475" customFormat="false" ht="16.5" hidden="false" customHeight="false" outlineLevel="0" collapsed="false">
      <c r="A475" s="59" t="n">
        <f aca="false">A474+1</f>
        <v>469</v>
      </c>
      <c r="C475" s="59" t="n">
        <v>31</v>
      </c>
      <c r="D475" s="59" t="s">
        <v>164</v>
      </c>
      <c r="E475" s="125" t="n">
        <f aca="false">E474+C474</f>
        <v>50771</v>
      </c>
      <c r="F475" s="425" t="n">
        <f aca="false">F427</f>
        <v>23</v>
      </c>
      <c r="G475" s="433" t="n">
        <f aca="false">C475-F475</f>
        <v>8</v>
      </c>
      <c r="H475" s="433"/>
      <c r="I475" s="433"/>
    </row>
    <row r="476" customFormat="false" ht="16.5" hidden="false" customHeight="false" outlineLevel="0" collapsed="false">
      <c r="A476" s="59" t="n">
        <f aca="false">A475+1</f>
        <v>470</v>
      </c>
      <c r="C476" s="59" t="n">
        <v>28</v>
      </c>
      <c r="D476" s="59" t="s">
        <v>165</v>
      </c>
      <c r="E476" s="125" t="n">
        <f aca="false">E475+C475</f>
        <v>50802</v>
      </c>
      <c r="F476" s="425" t="n">
        <f aca="false">F428</f>
        <v>20</v>
      </c>
      <c r="G476" s="433" t="n">
        <f aca="false">C476-F476</f>
        <v>8</v>
      </c>
      <c r="H476" s="433"/>
      <c r="I476" s="433"/>
    </row>
    <row r="477" customFormat="false" ht="16.5" hidden="false" customHeight="false" outlineLevel="0" collapsed="false">
      <c r="A477" s="59" t="n">
        <f aca="false">A476+1</f>
        <v>471</v>
      </c>
      <c r="C477" s="59" t="n">
        <v>31</v>
      </c>
      <c r="D477" s="59" t="s">
        <v>166</v>
      </c>
      <c r="E477" s="125" t="n">
        <f aca="false">E476+C476</f>
        <v>50830</v>
      </c>
      <c r="F477" s="425" t="n">
        <f aca="false">F429</f>
        <v>21</v>
      </c>
      <c r="G477" s="433" t="n">
        <f aca="false">C477-F477</f>
        <v>10</v>
      </c>
      <c r="H477" s="433"/>
      <c r="I477" s="433"/>
    </row>
    <row r="478" customFormat="false" ht="16.5" hidden="false" customHeight="false" outlineLevel="0" collapsed="false">
      <c r="A478" s="59" t="n">
        <f aca="false">A477+1</f>
        <v>472</v>
      </c>
      <c r="C478" s="59" t="n">
        <v>30</v>
      </c>
      <c r="D478" s="59" t="s">
        <v>167</v>
      </c>
      <c r="E478" s="125" t="n">
        <f aca="false">E477+C477</f>
        <v>50861</v>
      </c>
      <c r="F478" s="425" t="n">
        <f aca="false">F430</f>
        <v>22</v>
      </c>
      <c r="G478" s="433" t="n">
        <f aca="false">C478-F478</f>
        <v>8</v>
      </c>
      <c r="H478" s="433"/>
      <c r="I478" s="433"/>
    </row>
    <row r="479" customFormat="false" ht="16.5" hidden="false" customHeight="false" outlineLevel="0" collapsed="false">
      <c r="A479" s="59" t="n">
        <f aca="false">A478+1</f>
        <v>473</v>
      </c>
      <c r="C479" s="59" t="n">
        <v>31</v>
      </c>
      <c r="D479" s="59" t="s">
        <v>29</v>
      </c>
      <c r="E479" s="125" t="n">
        <f aca="false">E478+C478</f>
        <v>50891</v>
      </c>
      <c r="F479" s="425" t="n">
        <f aca="false">F431</f>
        <v>22</v>
      </c>
      <c r="G479" s="433" t="n">
        <f aca="false">C479-F479</f>
        <v>9</v>
      </c>
      <c r="H479" s="433"/>
      <c r="I479" s="433"/>
    </row>
    <row r="480" customFormat="false" ht="16.5" hidden="false" customHeight="false" outlineLevel="0" collapsed="false">
      <c r="A480" s="59" t="n">
        <f aca="false">A479+1</f>
        <v>474</v>
      </c>
      <c r="C480" s="59" t="n">
        <v>30</v>
      </c>
      <c r="D480" s="59" t="s">
        <v>168</v>
      </c>
      <c r="E480" s="125" t="n">
        <f aca="false">E479+C479</f>
        <v>50922</v>
      </c>
      <c r="F480" s="425" t="n">
        <f aca="false">F432</f>
        <v>21</v>
      </c>
      <c r="G480" s="433" t="n">
        <f aca="false">C480-F480</f>
        <v>9</v>
      </c>
      <c r="H480" s="433"/>
      <c r="I480" s="433"/>
    </row>
    <row r="481" customFormat="false" ht="16.5" hidden="false" customHeight="false" outlineLevel="0" collapsed="false">
      <c r="A481" s="59" t="n">
        <f aca="false">A480+1</f>
        <v>475</v>
      </c>
      <c r="C481" s="59" t="n">
        <v>31</v>
      </c>
      <c r="D481" s="59" t="s">
        <v>169</v>
      </c>
      <c r="E481" s="125" t="n">
        <f aca="false">E480+C480</f>
        <v>50952</v>
      </c>
      <c r="F481" s="425" t="n">
        <f aca="false">F433</f>
        <v>23</v>
      </c>
      <c r="G481" s="433" t="n">
        <f aca="false">C481-F481</f>
        <v>8</v>
      </c>
      <c r="H481" s="433"/>
      <c r="I481" s="433"/>
    </row>
    <row r="482" customFormat="false" ht="16.5" hidden="false" customHeight="false" outlineLevel="0" collapsed="false">
      <c r="A482" s="59" t="n">
        <f aca="false">A481+1</f>
        <v>476</v>
      </c>
      <c r="C482" s="59" t="n">
        <v>31</v>
      </c>
      <c r="D482" s="59" t="s">
        <v>170</v>
      </c>
      <c r="E482" s="125" t="n">
        <f aca="false">E481+C481</f>
        <v>50983</v>
      </c>
      <c r="F482" s="425" t="n">
        <f aca="false">F434</f>
        <v>21</v>
      </c>
      <c r="G482" s="433" t="n">
        <f aca="false">C482-F482</f>
        <v>10</v>
      </c>
      <c r="H482" s="433"/>
      <c r="I482" s="433"/>
    </row>
    <row r="483" customFormat="false" ht="16.5" hidden="false" customHeight="false" outlineLevel="0" collapsed="false">
      <c r="A483" s="59" t="n">
        <f aca="false">A482+1</f>
        <v>477</v>
      </c>
      <c r="C483" s="59" t="n">
        <v>30</v>
      </c>
      <c r="D483" s="59" t="s">
        <v>171</v>
      </c>
      <c r="E483" s="125" t="n">
        <f aca="false">E482+C482</f>
        <v>51014</v>
      </c>
      <c r="F483" s="425" t="n">
        <f aca="false">F435</f>
        <v>22</v>
      </c>
      <c r="G483" s="433" t="n">
        <f aca="false">C483-F483</f>
        <v>8</v>
      </c>
      <c r="H483" s="433"/>
      <c r="I483" s="433"/>
    </row>
    <row r="484" customFormat="false" ht="16.5" hidden="false" customHeight="false" outlineLevel="0" collapsed="false">
      <c r="A484" s="59" t="n">
        <f aca="false">A483+1</f>
        <v>478</v>
      </c>
      <c r="C484" s="59" t="n">
        <v>31</v>
      </c>
      <c r="D484" s="59" t="s">
        <v>172</v>
      </c>
      <c r="E484" s="125" t="n">
        <f aca="false">E483+C483</f>
        <v>51044</v>
      </c>
      <c r="F484" s="425" t="n">
        <f aca="false">F436</f>
        <v>23</v>
      </c>
      <c r="G484" s="433" t="n">
        <f aca="false">C484-F484</f>
        <v>8</v>
      </c>
      <c r="H484" s="433"/>
      <c r="I484" s="433"/>
    </row>
    <row r="485" customFormat="false" ht="16.5" hidden="false" customHeight="false" outlineLevel="0" collapsed="false">
      <c r="A485" s="59" t="n">
        <f aca="false">A484+1</f>
        <v>479</v>
      </c>
      <c r="C485" s="59" t="n">
        <v>30</v>
      </c>
      <c r="D485" s="59" t="s">
        <v>173</v>
      </c>
      <c r="E485" s="125" t="n">
        <f aca="false">E484+C484</f>
        <v>51075</v>
      </c>
      <c r="F485" s="425" t="n">
        <f aca="false">F437</f>
        <v>20</v>
      </c>
      <c r="G485" s="433" t="n">
        <f aca="false">C485-F485</f>
        <v>10</v>
      </c>
      <c r="H485" s="433"/>
      <c r="I485" s="433"/>
    </row>
    <row r="486" customFormat="false" ht="16.5" hidden="false" customHeight="false" outlineLevel="0" collapsed="false">
      <c r="A486" s="59" t="n">
        <f aca="false">A485+1</f>
        <v>480</v>
      </c>
      <c r="C486" s="59" t="n">
        <v>31</v>
      </c>
      <c r="D486" s="59" t="s">
        <v>174</v>
      </c>
      <c r="E486" s="125" t="n">
        <f aca="false">E485+C485</f>
        <v>51105</v>
      </c>
      <c r="F486" s="425" t="n">
        <f aca="false">F438</f>
        <v>23</v>
      </c>
      <c r="G486" s="433" t="n">
        <f aca="false">C486-F486</f>
        <v>8</v>
      </c>
      <c r="H486" s="433" t="n">
        <f aca="false">SUM(F475:G486)</f>
        <v>365</v>
      </c>
      <c r="I486" s="433"/>
    </row>
    <row r="487" customFormat="false" ht="16.5" hidden="false" customHeight="false" outlineLevel="0" collapsed="false">
      <c r="A487" s="59" t="n">
        <f aca="false">A486+1</f>
        <v>481</v>
      </c>
      <c r="C487" s="59" t="n">
        <v>31</v>
      </c>
      <c r="D487" s="59" t="s">
        <v>164</v>
      </c>
      <c r="E487" s="125" t="n">
        <f aca="false">E486+C486</f>
        <v>51136</v>
      </c>
      <c r="F487" s="425" t="n">
        <f aca="false">F439</f>
        <v>22</v>
      </c>
      <c r="G487" s="433" t="n">
        <f aca="false">C487-F487</f>
        <v>9</v>
      </c>
      <c r="H487" s="433"/>
      <c r="I487" s="433"/>
    </row>
    <row r="488" customFormat="false" ht="16.5" hidden="false" customHeight="false" outlineLevel="0" collapsed="false">
      <c r="A488" s="59" t="n">
        <f aca="false">A487+1</f>
        <v>482</v>
      </c>
      <c r="C488" s="496" t="n">
        <v>29</v>
      </c>
      <c r="D488" s="497" t="s">
        <v>165</v>
      </c>
      <c r="E488" s="125" t="n">
        <f aca="false">E487+C487</f>
        <v>51167</v>
      </c>
      <c r="F488" s="425" t="n">
        <f aca="false">F440</f>
        <v>20</v>
      </c>
      <c r="G488" s="433" t="n">
        <f aca="false">C488-F488</f>
        <v>9</v>
      </c>
      <c r="H488" s="433"/>
      <c r="I488" s="433"/>
    </row>
    <row r="489" customFormat="false" ht="16.5" hidden="false" customHeight="false" outlineLevel="0" collapsed="false">
      <c r="A489" s="59" t="n">
        <f aca="false">A488+1</f>
        <v>483</v>
      </c>
      <c r="C489" s="59" t="n">
        <v>31</v>
      </c>
      <c r="D489" s="59" t="s">
        <v>166</v>
      </c>
      <c r="E489" s="125" t="n">
        <f aca="false">E488+C488</f>
        <v>51196</v>
      </c>
      <c r="F489" s="425" t="n">
        <f aca="false">F441</f>
        <v>23</v>
      </c>
      <c r="G489" s="433" t="n">
        <f aca="false">C489-F489</f>
        <v>8</v>
      </c>
      <c r="H489" s="433"/>
      <c r="I489" s="433"/>
    </row>
    <row r="490" customFormat="false" ht="16.5" hidden="false" customHeight="false" outlineLevel="0" collapsed="false">
      <c r="A490" s="59" t="n">
        <f aca="false">A489+1</f>
        <v>484</v>
      </c>
      <c r="C490" s="59" t="n">
        <v>30</v>
      </c>
      <c r="D490" s="59" t="s">
        <v>167</v>
      </c>
      <c r="E490" s="125" t="n">
        <f aca="false">E489+C489</f>
        <v>51227</v>
      </c>
      <c r="F490" s="425" t="n">
        <f aca="false">F442</f>
        <v>22</v>
      </c>
      <c r="G490" s="433" t="n">
        <f aca="false">C490-F490</f>
        <v>8</v>
      </c>
      <c r="H490" s="433"/>
      <c r="I490" s="433"/>
    </row>
    <row r="491" customFormat="false" ht="16.5" hidden="false" customHeight="false" outlineLevel="0" collapsed="false">
      <c r="A491" s="59" t="n">
        <f aca="false">A490+1</f>
        <v>485</v>
      </c>
      <c r="C491" s="59" t="n">
        <v>31</v>
      </c>
      <c r="D491" s="59" t="s">
        <v>29</v>
      </c>
      <c r="E491" s="125" t="n">
        <f aca="false">E490+C490</f>
        <v>51257</v>
      </c>
      <c r="F491" s="425" t="n">
        <f aca="false">F443</f>
        <v>21</v>
      </c>
      <c r="G491" s="433" t="n">
        <f aca="false">C491-F491</f>
        <v>10</v>
      </c>
      <c r="H491" s="433"/>
      <c r="I491" s="433"/>
    </row>
    <row r="492" customFormat="false" ht="16.5" hidden="false" customHeight="false" outlineLevel="0" collapsed="false">
      <c r="A492" s="59" t="n">
        <f aca="false">A491+1</f>
        <v>486</v>
      </c>
      <c r="C492" s="59" t="n">
        <v>30</v>
      </c>
      <c r="D492" s="59" t="s">
        <v>168</v>
      </c>
      <c r="E492" s="125" t="n">
        <f aca="false">E491+C491</f>
        <v>51288</v>
      </c>
      <c r="F492" s="425" t="n">
        <f aca="false">F444</f>
        <v>22</v>
      </c>
      <c r="G492" s="433" t="n">
        <f aca="false">C492-F492</f>
        <v>8</v>
      </c>
      <c r="H492" s="433"/>
      <c r="I492" s="433"/>
    </row>
    <row r="493" customFormat="false" ht="16.5" hidden="false" customHeight="false" outlineLevel="0" collapsed="false">
      <c r="A493" s="59" t="n">
        <f aca="false">A492+1</f>
        <v>487</v>
      </c>
      <c r="C493" s="59" t="n">
        <v>31</v>
      </c>
      <c r="D493" s="59" t="s">
        <v>169</v>
      </c>
      <c r="E493" s="125" t="n">
        <f aca="false">E492+C492</f>
        <v>51318</v>
      </c>
      <c r="F493" s="425" t="n">
        <f aca="false">F445</f>
        <v>22</v>
      </c>
      <c r="G493" s="433" t="n">
        <f aca="false">C493-F493</f>
        <v>9</v>
      </c>
      <c r="H493" s="433"/>
      <c r="I493" s="433"/>
    </row>
    <row r="494" customFormat="false" ht="16.5" hidden="false" customHeight="false" outlineLevel="0" collapsed="false">
      <c r="A494" s="59" t="n">
        <f aca="false">A493+1</f>
        <v>488</v>
      </c>
      <c r="C494" s="59" t="n">
        <v>31</v>
      </c>
      <c r="D494" s="59" t="s">
        <v>170</v>
      </c>
      <c r="E494" s="125" t="n">
        <f aca="false">E493+C493</f>
        <v>51349</v>
      </c>
      <c r="F494" s="425" t="n">
        <f aca="false">F446</f>
        <v>22</v>
      </c>
      <c r="G494" s="433" t="n">
        <f aca="false">C494-F494</f>
        <v>9</v>
      </c>
      <c r="H494" s="433"/>
      <c r="I494" s="433"/>
    </row>
    <row r="495" customFormat="false" ht="16.5" hidden="false" customHeight="false" outlineLevel="0" collapsed="false">
      <c r="A495" s="59" t="n">
        <f aca="false">A494+1</f>
        <v>489</v>
      </c>
      <c r="C495" s="59" t="n">
        <v>30</v>
      </c>
      <c r="D495" s="59" t="s">
        <v>171</v>
      </c>
      <c r="E495" s="125" t="n">
        <f aca="false">E494+C494</f>
        <v>51380</v>
      </c>
      <c r="F495" s="425" t="n">
        <f aca="false">F447</f>
        <v>22</v>
      </c>
      <c r="G495" s="433" t="n">
        <f aca="false">C495-F495</f>
        <v>8</v>
      </c>
      <c r="H495" s="433"/>
      <c r="I495" s="433"/>
    </row>
    <row r="496" customFormat="false" ht="16.5" hidden="false" customHeight="false" outlineLevel="0" collapsed="false">
      <c r="A496" s="59" t="n">
        <f aca="false">A495+1</f>
        <v>490</v>
      </c>
      <c r="C496" s="59" t="n">
        <v>31</v>
      </c>
      <c r="D496" s="59" t="s">
        <v>172</v>
      </c>
      <c r="E496" s="125" t="n">
        <f aca="false">E495+C495</f>
        <v>51410</v>
      </c>
      <c r="F496" s="425" t="n">
        <f aca="false">F448</f>
        <v>21</v>
      </c>
      <c r="G496" s="433" t="n">
        <f aca="false">C496-F496</f>
        <v>10</v>
      </c>
      <c r="H496" s="433"/>
      <c r="I496" s="433"/>
    </row>
    <row r="497" customFormat="false" ht="16.5" hidden="false" customHeight="false" outlineLevel="0" collapsed="false">
      <c r="A497" s="59" t="n">
        <f aca="false">A496+1</f>
        <v>491</v>
      </c>
      <c r="C497" s="59" t="n">
        <v>30</v>
      </c>
      <c r="D497" s="59" t="s">
        <v>173</v>
      </c>
      <c r="E497" s="125" t="n">
        <f aca="false">E496+C496</f>
        <v>51441</v>
      </c>
      <c r="F497" s="425" t="n">
        <f aca="false">F449</f>
        <v>22</v>
      </c>
      <c r="G497" s="433" t="n">
        <f aca="false">C497-F497</f>
        <v>8</v>
      </c>
      <c r="H497" s="433"/>
      <c r="I497" s="433"/>
    </row>
    <row r="498" customFormat="false" ht="16.5" hidden="false" customHeight="false" outlineLevel="0" collapsed="false">
      <c r="A498" s="59" t="n">
        <f aca="false">A497+1</f>
        <v>492</v>
      </c>
      <c r="C498" s="59" t="n">
        <v>31</v>
      </c>
      <c r="D498" s="59" t="s">
        <v>174</v>
      </c>
      <c r="E498" s="125" t="n">
        <f aca="false">E497+C497</f>
        <v>51471</v>
      </c>
      <c r="F498" s="425" t="n">
        <f aca="false">F450</f>
        <v>23</v>
      </c>
      <c r="G498" s="433" t="n">
        <f aca="false">C498-F498</f>
        <v>8</v>
      </c>
      <c r="H498" s="433" t="n">
        <f aca="false">SUM(F487:G498)</f>
        <v>366</v>
      </c>
      <c r="I498" s="433"/>
    </row>
    <row r="499" customFormat="false" ht="16.5" hidden="false" customHeight="false" outlineLevel="0" collapsed="false">
      <c r="A499" s="59" t="n">
        <f aca="false">A498+1</f>
        <v>493</v>
      </c>
      <c r="C499" s="59" t="n">
        <v>31</v>
      </c>
      <c r="D499" s="59" t="s">
        <v>164</v>
      </c>
      <c r="E499" s="125" t="n">
        <f aca="false">E498+C498</f>
        <v>51502</v>
      </c>
      <c r="F499" s="425" t="n">
        <f aca="false">F451</f>
        <v>23</v>
      </c>
      <c r="G499" s="433" t="n">
        <f aca="false">C499-F499</f>
        <v>8</v>
      </c>
      <c r="H499" s="433"/>
      <c r="I499" s="433"/>
    </row>
    <row r="500" customFormat="false" ht="16.5" hidden="false" customHeight="false" outlineLevel="0" collapsed="false">
      <c r="A500" s="59" t="n">
        <f aca="false">A499+1</f>
        <v>494</v>
      </c>
      <c r="C500" s="59" t="n">
        <v>28</v>
      </c>
      <c r="D500" s="59" t="s">
        <v>165</v>
      </c>
      <c r="E500" s="125" t="n">
        <f aca="false">E499+C499</f>
        <v>51533</v>
      </c>
      <c r="F500" s="425" t="n">
        <f aca="false">F452</f>
        <v>20</v>
      </c>
      <c r="G500" s="433" t="n">
        <f aca="false">C500-F500</f>
        <v>8</v>
      </c>
      <c r="H500" s="433"/>
      <c r="I500" s="433"/>
    </row>
    <row r="501" customFormat="false" ht="16.5" hidden="false" customHeight="false" outlineLevel="0" collapsed="false">
      <c r="A501" s="59" t="n">
        <f aca="false">A500+1</f>
        <v>495</v>
      </c>
      <c r="C501" s="59" t="n">
        <v>31</v>
      </c>
      <c r="D501" s="59" t="s">
        <v>166</v>
      </c>
      <c r="E501" s="125" t="n">
        <f aca="false">E500+C500</f>
        <v>51561</v>
      </c>
      <c r="F501" s="425" t="n">
        <f aca="false">F453</f>
        <v>22</v>
      </c>
      <c r="G501" s="433" t="n">
        <f aca="false">C501-F501</f>
        <v>9</v>
      </c>
      <c r="H501" s="433"/>
      <c r="I501" s="433"/>
    </row>
    <row r="502" customFormat="false" ht="16.5" hidden="false" customHeight="false" outlineLevel="0" collapsed="false">
      <c r="A502" s="59" t="n">
        <f aca="false">A501+1</f>
        <v>496</v>
      </c>
      <c r="C502" s="59" t="n">
        <v>30</v>
      </c>
      <c r="D502" s="59" t="s">
        <v>167</v>
      </c>
      <c r="E502" s="125" t="n">
        <f aca="false">E501+C501</f>
        <v>51592</v>
      </c>
      <c r="F502" s="425" t="n">
        <f aca="false">F454</f>
        <v>21</v>
      </c>
      <c r="G502" s="433" t="n">
        <f aca="false">C502-F502</f>
        <v>9</v>
      </c>
      <c r="H502" s="433"/>
      <c r="I502" s="433"/>
    </row>
    <row r="503" customFormat="false" ht="16.5" hidden="false" customHeight="false" outlineLevel="0" collapsed="false">
      <c r="A503" s="59" t="n">
        <f aca="false">A502+1</f>
        <v>497</v>
      </c>
      <c r="C503" s="59" t="n">
        <v>31</v>
      </c>
      <c r="D503" s="59" t="s">
        <v>29</v>
      </c>
      <c r="E503" s="125" t="n">
        <f aca="false">E502+C502</f>
        <v>51622</v>
      </c>
      <c r="F503" s="425" t="n">
        <f aca="false">F455</f>
        <v>23</v>
      </c>
      <c r="G503" s="433" t="n">
        <f aca="false">C503-F503</f>
        <v>8</v>
      </c>
      <c r="H503" s="433"/>
      <c r="I503" s="433"/>
    </row>
    <row r="504" customFormat="false" ht="16.5" hidden="false" customHeight="false" outlineLevel="0" collapsed="false">
      <c r="A504" s="59" t="n">
        <f aca="false">A503+1</f>
        <v>498</v>
      </c>
      <c r="C504" s="59" t="n">
        <v>30</v>
      </c>
      <c r="D504" s="59" t="s">
        <v>168</v>
      </c>
      <c r="E504" s="125" t="n">
        <f aca="false">E503+C503</f>
        <v>51653</v>
      </c>
      <c r="F504" s="425" t="n">
        <f aca="false">F456</f>
        <v>21</v>
      </c>
      <c r="G504" s="433" t="n">
        <f aca="false">C504-F504</f>
        <v>9</v>
      </c>
      <c r="H504" s="433"/>
      <c r="I504" s="433"/>
    </row>
    <row r="505" customFormat="false" ht="16.5" hidden="false" customHeight="false" outlineLevel="0" collapsed="false">
      <c r="A505" s="59" t="n">
        <f aca="false">A504+1</f>
        <v>499</v>
      </c>
      <c r="C505" s="59" t="n">
        <v>31</v>
      </c>
      <c r="D505" s="59" t="s">
        <v>169</v>
      </c>
      <c r="E505" s="125" t="n">
        <f aca="false">E504+C504</f>
        <v>51683</v>
      </c>
      <c r="F505" s="425" t="n">
        <f aca="false">F457</f>
        <v>22</v>
      </c>
      <c r="G505" s="433" t="n">
        <f aca="false">C505-F505</f>
        <v>9</v>
      </c>
      <c r="H505" s="433"/>
      <c r="I505" s="433"/>
    </row>
    <row r="506" customFormat="false" ht="16.5" hidden="false" customHeight="false" outlineLevel="0" collapsed="false">
      <c r="A506" s="59" t="n">
        <f aca="false">A505+1</f>
        <v>500</v>
      </c>
      <c r="C506" s="59" t="n">
        <v>31</v>
      </c>
      <c r="D506" s="59" t="s">
        <v>170</v>
      </c>
      <c r="E506" s="125" t="n">
        <f aca="false">E505+C505</f>
        <v>51714</v>
      </c>
      <c r="F506" s="425" t="n">
        <f aca="false">F458</f>
        <v>23</v>
      </c>
      <c r="G506" s="433" t="n">
        <f aca="false">C506-F506</f>
        <v>8</v>
      </c>
      <c r="H506" s="433"/>
      <c r="I506" s="433"/>
    </row>
    <row r="507" customFormat="false" ht="16.5" hidden="false" customHeight="false" outlineLevel="0" collapsed="false">
      <c r="A507" s="59" t="n">
        <f aca="false">A506+1</f>
        <v>501</v>
      </c>
      <c r="C507" s="59" t="n">
        <v>30</v>
      </c>
      <c r="D507" s="59" t="s">
        <v>171</v>
      </c>
      <c r="E507" s="125" t="n">
        <f aca="false">E506+C506</f>
        <v>51745</v>
      </c>
      <c r="F507" s="425" t="n">
        <f aca="false">F459</f>
        <v>20</v>
      </c>
      <c r="G507" s="433" t="n">
        <f aca="false">C507-F507</f>
        <v>10</v>
      </c>
      <c r="H507" s="433"/>
      <c r="I507" s="433"/>
    </row>
    <row r="508" customFormat="false" ht="16.5" hidden="false" customHeight="false" outlineLevel="0" collapsed="false">
      <c r="A508" s="59" t="n">
        <f aca="false">A507+1</f>
        <v>502</v>
      </c>
      <c r="C508" s="59" t="n">
        <v>31</v>
      </c>
      <c r="D508" s="59" t="s">
        <v>172</v>
      </c>
      <c r="E508" s="125" t="n">
        <f aca="false">E507+C507</f>
        <v>51775</v>
      </c>
      <c r="F508" s="425" t="n">
        <f aca="false">F460</f>
        <v>23</v>
      </c>
      <c r="G508" s="433" t="n">
        <f aca="false">C508-F508</f>
        <v>8</v>
      </c>
      <c r="H508" s="433"/>
      <c r="I508" s="433"/>
    </row>
    <row r="509" customFormat="false" ht="16.5" hidden="false" customHeight="false" outlineLevel="0" collapsed="false">
      <c r="A509" s="59" t="n">
        <f aca="false">A508+1</f>
        <v>503</v>
      </c>
      <c r="C509" s="59" t="n">
        <v>30</v>
      </c>
      <c r="D509" s="59" t="s">
        <v>173</v>
      </c>
      <c r="E509" s="125" t="n">
        <f aca="false">E508+C508</f>
        <v>51806</v>
      </c>
      <c r="F509" s="425" t="n">
        <f aca="false">F461</f>
        <v>22</v>
      </c>
      <c r="G509" s="433" t="n">
        <f aca="false">C509-F509</f>
        <v>8</v>
      </c>
      <c r="H509" s="433"/>
      <c r="I509" s="433"/>
    </row>
    <row r="510" customFormat="false" ht="16.5" hidden="false" customHeight="false" outlineLevel="0" collapsed="false">
      <c r="A510" s="59" t="n">
        <f aca="false">A509+1</f>
        <v>504</v>
      </c>
      <c r="C510" s="59" t="n">
        <v>31</v>
      </c>
      <c r="D510" s="59" t="s">
        <v>174</v>
      </c>
      <c r="E510" s="125" t="n">
        <f aca="false">E509+C509</f>
        <v>51836</v>
      </c>
      <c r="F510" s="425" t="n">
        <f aca="false">F462</f>
        <v>21</v>
      </c>
      <c r="G510" s="433" t="n">
        <f aca="false">C510-F510</f>
        <v>10</v>
      </c>
      <c r="H510" s="433" t="n">
        <f aca="false">SUM(F499:G510)</f>
        <v>365</v>
      </c>
      <c r="I510" s="433"/>
    </row>
    <row r="511" customFormat="false" ht="16.5" hidden="false" customHeight="false" outlineLevel="0" collapsed="false">
      <c r="A511" s="59" t="n">
        <f aca="false">A510+1</f>
        <v>505</v>
      </c>
      <c r="C511" s="59" t="n">
        <v>31</v>
      </c>
      <c r="D511" s="59" t="s">
        <v>164</v>
      </c>
      <c r="E511" s="125" t="n">
        <f aca="false">E510+C510</f>
        <v>51867</v>
      </c>
      <c r="F511" s="425" t="n">
        <f aca="false">F463</f>
        <v>23</v>
      </c>
      <c r="G511" s="433" t="n">
        <f aca="false">C511-F511</f>
        <v>8</v>
      </c>
      <c r="H511" s="433"/>
      <c r="I511" s="433"/>
    </row>
    <row r="512" customFormat="false" ht="16.5" hidden="false" customHeight="false" outlineLevel="0" collapsed="false">
      <c r="A512" s="59" t="n">
        <f aca="false">A511+1</f>
        <v>506</v>
      </c>
      <c r="C512" s="59" t="n">
        <v>28</v>
      </c>
      <c r="D512" s="59" t="s">
        <v>165</v>
      </c>
      <c r="E512" s="125" t="n">
        <f aca="false">E511+C511</f>
        <v>51898</v>
      </c>
      <c r="F512" s="425" t="n">
        <f aca="false">F464</f>
        <v>20</v>
      </c>
      <c r="G512" s="433" t="n">
        <f aca="false">C512-F512</f>
        <v>8</v>
      </c>
      <c r="H512" s="433"/>
      <c r="I512" s="433"/>
    </row>
    <row r="513" customFormat="false" ht="16.5" hidden="false" customHeight="false" outlineLevel="0" collapsed="false">
      <c r="A513" s="59" t="n">
        <f aca="false">A512+1</f>
        <v>507</v>
      </c>
      <c r="C513" s="59" t="n">
        <v>31</v>
      </c>
      <c r="D513" s="59" t="s">
        <v>166</v>
      </c>
      <c r="E513" s="125" t="n">
        <f aca="false">E512+C512</f>
        <v>51926</v>
      </c>
      <c r="F513" s="425" t="n">
        <f aca="false">F465</f>
        <v>21</v>
      </c>
      <c r="G513" s="433" t="n">
        <f aca="false">C513-F513</f>
        <v>10</v>
      </c>
      <c r="H513" s="433"/>
      <c r="I513" s="433"/>
    </row>
    <row r="514" customFormat="false" ht="16.5" hidden="false" customHeight="false" outlineLevel="0" collapsed="false">
      <c r="A514" s="59" t="n">
        <f aca="false">A513+1</f>
        <v>508</v>
      </c>
      <c r="C514" s="59" t="n">
        <v>30</v>
      </c>
      <c r="D514" s="59" t="s">
        <v>167</v>
      </c>
      <c r="E514" s="125" t="n">
        <f aca="false">E513+C513</f>
        <v>51957</v>
      </c>
      <c r="F514" s="425" t="n">
        <f aca="false">F466</f>
        <v>22</v>
      </c>
      <c r="G514" s="433" t="n">
        <f aca="false">C514-F514</f>
        <v>8</v>
      </c>
      <c r="H514" s="433"/>
      <c r="I514" s="433"/>
    </row>
    <row r="515" customFormat="false" ht="16.5" hidden="false" customHeight="false" outlineLevel="0" collapsed="false">
      <c r="A515" s="59" t="n">
        <f aca="false">A514+1</f>
        <v>509</v>
      </c>
      <c r="C515" s="59" t="n">
        <v>31</v>
      </c>
      <c r="D515" s="59" t="s">
        <v>29</v>
      </c>
      <c r="E515" s="125" t="n">
        <f aca="false">E514+C514</f>
        <v>51987</v>
      </c>
      <c r="F515" s="425" t="n">
        <f aca="false">F467</f>
        <v>23</v>
      </c>
      <c r="G515" s="433" t="n">
        <f aca="false">C515-F515</f>
        <v>8</v>
      </c>
      <c r="H515" s="433"/>
      <c r="I515" s="433"/>
    </row>
    <row r="516" customFormat="false" ht="16.5" hidden="false" customHeight="false" outlineLevel="0" collapsed="false">
      <c r="A516" s="59" t="n">
        <f aca="false">A515+1</f>
        <v>510</v>
      </c>
      <c r="C516" s="59" t="n">
        <v>30</v>
      </c>
      <c r="D516" s="59" t="s">
        <v>168</v>
      </c>
      <c r="E516" s="125" t="n">
        <f aca="false">E515+C515</f>
        <v>52018</v>
      </c>
      <c r="F516" s="425" t="n">
        <f aca="false">F468</f>
        <v>20</v>
      </c>
      <c r="G516" s="433" t="n">
        <f aca="false">C516-F516</f>
        <v>10</v>
      </c>
      <c r="H516" s="433"/>
      <c r="I516" s="433"/>
    </row>
    <row r="517" customFormat="false" ht="16.5" hidden="false" customHeight="false" outlineLevel="0" collapsed="false">
      <c r="A517" s="59" t="n">
        <f aca="false">A516+1</f>
        <v>511</v>
      </c>
      <c r="C517" s="59" t="n">
        <v>31</v>
      </c>
      <c r="D517" s="59" t="s">
        <v>169</v>
      </c>
      <c r="E517" s="125" t="n">
        <f aca="false">E516+C516</f>
        <v>52048</v>
      </c>
      <c r="F517" s="425" t="n">
        <f aca="false">F469</f>
        <v>23</v>
      </c>
      <c r="G517" s="433" t="n">
        <f aca="false">C517-F517</f>
        <v>8</v>
      </c>
      <c r="H517" s="433"/>
      <c r="I517" s="433"/>
    </row>
    <row r="518" customFormat="false" ht="16.5" hidden="false" customHeight="false" outlineLevel="0" collapsed="false">
      <c r="A518" s="59" t="n">
        <f aca="false">A517+1</f>
        <v>512</v>
      </c>
      <c r="C518" s="59" t="n">
        <v>31</v>
      </c>
      <c r="D518" s="59" t="s">
        <v>170</v>
      </c>
      <c r="E518" s="125" t="n">
        <f aca="false">E517+C517</f>
        <v>52079</v>
      </c>
      <c r="F518" s="425" t="n">
        <f aca="false">F470</f>
        <v>22</v>
      </c>
      <c r="G518" s="433" t="n">
        <f aca="false">C518-F518</f>
        <v>9</v>
      </c>
      <c r="H518" s="433"/>
      <c r="I518" s="433"/>
    </row>
    <row r="519" customFormat="false" ht="16.5" hidden="false" customHeight="false" outlineLevel="0" collapsed="false">
      <c r="A519" s="59" t="n">
        <f aca="false">A518+1</f>
        <v>513</v>
      </c>
      <c r="C519" s="59" t="n">
        <v>30</v>
      </c>
      <c r="D519" s="59" t="s">
        <v>171</v>
      </c>
      <c r="E519" s="125" t="n">
        <f aca="false">E518+C518</f>
        <v>52110</v>
      </c>
      <c r="F519" s="425" t="n">
        <f aca="false">F471</f>
        <v>21</v>
      </c>
      <c r="G519" s="433" t="n">
        <f aca="false">C519-F519</f>
        <v>9</v>
      </c>
      <c r="H519" s="433"/>
      <c r="I519" s="433"/>
    </row>
    <row r="520" customFormat="false" ht="16.5" hidden="false" customHeight="false" outlineLevel="0" collapsed="false">
      <c r="A520" s="59" t="n">
        <f aca="false">A519+1</f>
        <v>514</v>
      </c>
      <c r="C520" s="59" t="n">
        <v>31</v>
      </c>
      <c r="D520" s="59" t="s">
        <v>172</v>
      </c>
      <c r="E520" s="125" t="n">
        <f aca="false">E519+C519</f>
        <v>52140</v>
      </c>
      <c r="F520" s="425" t="n">
        <f aca="false">F472</f>
        <v>23</v>
      </c>
      <c r="G520" s="433" t="n">
        <f aca="false">C520-F520</f>
        <v>8</v>
      </c>
      <c r="H520" s="433"/>
      <c r="I520" s="433"/>
    </row>
    <row r="521" customFormat="false" ht="16.5" hidden="false" customHeight="false" outlineLevel="0" collapsed="false">
      <c r="A521" s="59" t="n">
        <f aca="false">A520+1</f>
        <v>515</v>
      </c>
      <c r="C521" s="59" t="n">
        <v>30</v>
      </c>
      <c r="D521" s="59" t="s">
        <v>173</v>
      </c>
      <c r="E521" s="125" t="n">
        <f aca="false">E520+C520</f>
        <v>52171</v>
      </c>
      <c r="F521" s="425" t="n">
        <f aca="false">F473</f>
        <v>21</v>
      </c>
      <c r="G521" s="433" t="n">
        <f aca="false">C521-F521</f>
        <v>9</v>
      </c>
      <c r="H521" s="433"/>
      <c r="I521" s="433"/>
    </row>
    <row r="522" customFormat="false" ht="16.5" hidden="false" customHeight="false" outlineLevel="0" collapsed="false">
      <c r="A522" s="59" t="n">
        <f aca="false">A521+1</f>
        <v>516</v>
      </c>
      <c r="C522" s="59" t="n">
        <v>31</v>
      </c>
      <c r="D522" s="59" t="s">
        <v>174</v>
      </c>
      <c r="E522" s="125" t="n">
        <f aca="false">E521+C521</f>
        <v>52201</v>
      </c>
      <c r="F522" s="425" t="n">
        <f aca="false">F474</f>
        <v>22</v>
      </c>
      <c r="G522" s="433" t="n">
        <f aca="false">C522-F522</f>
        <v>9</v>
      </c>
      <c r="H522" s="433" t="n">
        <f aca="false">SUM(F511:G522)</f>
        <v>365</v>
      </c>
      <c r="I522" s="433"/>
    </row>
    <row r="523" customFormat="false" ht="16.5" hidden="false" customHeight="false" outlineLevel="0" collapsed="false">
      <c r="A523" s="59" t="n">
        <f aca="false">A522+1</f>
        <v>517</v>
      </c>
      <c r="C523" s="59" t="n">
        <v>31</v>
      </c>
      <c r="D523" s="59" t="s">
        <v>164</v>
      </c>
      <c r="E523" s="125" t="n">
        <f aca="false">E522+C522</f>
        <v>52232</v>
      </c>
      <c r="F523" s="425" t="n">
        <f aca="false">F475</f>
        <v>23</v>
      </c>
      <c r="G523" s="433" t="n">
        <f aca="false">C523-F523</f>
        <v>8</v>
      </c>
      <c r="H523" s="433"/>
      <c r="I523" s="433"/>
    </row>
    <row r="524" customFormat="false" ht="16.5" hidden="false" customHeight="false" outlineLevel="0" collapsed="false">
      <c r="A524" s="59" t="n">
        <f aca="false">A523+1</f>
        <v>518</v>
      </c>
      <c r="C524" s="59" t="n">
        <v>28</v>
      </c>
      <c r="D524" s="59" t="s">
        <v>165</v>
      </c>
      <c r="E524" s="125" t="n">
        <f aca="false">E523+C523</f>
        <v>52263</v>
      </c>
      <c r="F524" s="425" t="n">
        <f aca="false">F476</f>
        <v>20</v>
      </c>
      <c r="G524" s="433" t="n">
        <f aca="false">C524-F524</f>
        <v>8</v>
      </c>
      <c r="H524" s="433"/>
      <c r="I524" s="433"/>
    </row>
    <row r="525" customFormat="false" ht="16.5" hidden="false" customHeight="false" outlineLevel="0" collapsed="false">
      <c r="A525" s="59" t="n">
        <f aca="false">A524+1</f>
        <v>519</v>
      </c>
      <c r="C525" s="59" t="n">
        <v>31</v>
      </c>
      <c r="D525" s="59" t="s">
        <v>166</v>
      </c>
      <c r="E525" s="125" t="n">
        <f aca="false">E524+C524</f>
        <v>52291</v>
      </c>
      <c r="F525" s="425" t="n">
        <f aca="false">F477</f>
        <v>21</v>
      </c>
      <c r="G525" s="433" t="n">
        <f aca="false">C525-F525</f>
        <v>10</v>
      </c>
      <c r="H525" s="433"/>
      <c r="I525" s="433"/>
    </row>
    <row r="526" customFormat="false" ht="16.5" hidden="false" customHeight="false" outlineLevel="0" collapsed="false">
      <c r="A526" s="59" t="n">
        <f aca="false">A525+1</f>
        <v>520</v>
      </c>
      <c r="C526" s="59" t="n">
        <v>30</v>
      </c>
      <c r="D526" s="59" t="s">
        <v>167</v>
      </c>
      <c r="E526" s="125" t="n">
        <f aca="false">E525+C525</f>
        <v>52322</v>
      </c>
      <c r="F526" s="425" t="n">
        <f aca="false">F478</f>
        <v>22</v>
      </c>
      <c r="G526" s="433" t="n">
        <f aca="false">C526-F526</f>
        <v>8</v>
      </c>
      <c r="H526" s="433"/>
      <c r="I526" s="433"/>
    </row>
    <row r="527" customFormat="false" ht="16.5" hidden="false" customHeight="false" outlineLevel="0" collapsed="false">
      <c r="A527" s="59" t="n">
        <f aca="false">A526+1</f>
        <v>521</v>
      </c>
      <c r="C527" s="59" t="n">
        <v>31</v>
      </c>
      <c r="D527" s="59" t="s">
        <v>29</v>
      </c>
      <c r="E527" s="125" t="n">
        <f aca="false">E526+C526</f>
        <v>52352</v>
      </c>
      <c r="F527" s="425" t="n">
        <f aca="false">F479</f>
        <v>22</v>
      </c>
      <c r="G527" s="433" t="n">
        <f aca="false">C527-F527</f>
        <v>9</v>
      </c>
      <c r="H527" s="433"/>
      <c r="I527" s="433"/>
    </row>
    <row r="528" customFormat="false" ht="16.5" hidden="false" customHeight="false" outlineLevel="0" collapsed="false">
      <c r="A528" s="59" t="n">
        <f aca="false">A527+1</f>
        <v>522</v>
      </c>
      <c r="C528" s="59" t="n">
        <v>30</v>
      </c>
      <c r="D528" s="59" t="s">
        <v>168</v>
      </c>
      <c r="E528" s="125" t="n">
        <f aca="false">E527+C527</f>
        <v>52383</v>
      </c>
      <c r="F528" s="425" t="n">
        <f aca="false">F480</f>
        <v>21</v>
      </c>
      <c r="G528" s="433" t="n">
        <f aca="false">C528-F528</f>
        <v>9</v>
      </c>
      <c r="H528" s="433"/>
      <c r="I528" s="433"/>
    </row>
    <row r="529" customFormat="false" ht="16.5" hidden="false" customHeight="false" outlineLevel="0" collapsed="false">
      <c r="A529" s="59" t="n">
        <f aca="false">A528+1</f>
        <v>523</v>
      </c>
      <c r="C529" s="59" t="n">
        <v>31</v>
      </c>
      <c r="D529" s="59" t="s">
        <v>169</v>
      </c>
      <c r="E529" s="125" t="n">
        <f aca="false">E528+C528</f>
        <v>52413</v>
      </c>
      <c r="F529" s="425" t="n">
        <f aca="false">F481</f>
        <v>23</v>
      </c>
      <c r="G529" s="433" t="n">
        <f aca="false">C529-F529</f>
        <v>8</v>
      </c>
      <c r="H529" s="433"/>
      <c r="I529" s="433"/>
    </row>
    <row r="530" customFormat="false" ht="16.5" hidden="false" customHeight="false" outlineLevel="0" collapsed="false">
      <c r="A530" s="59" t="n">
        <f aca="false">A529+1</f>
        <v>524</v>
      </c>
      <c r="C530" s="59" t="n">
        <v>31</v>
      </c>
      <c r="D530" s="59" t="s">
        <v>170</v>
      </c>
      <c r="E530" s="125" t="n">
        <f aca="false">E529+C529</f>
        <v>52444</v>
      </c>
      <c r="F530" s="425" t="n">
        <f aca="false">F482</f>
        <v>21</v>
      </c>
      <c r="G530" s="433" t="n">
        <f aca="false">C530-F530</f>
        <v>10</v>
      </c>
      <c r="H530" s="433"/>
      <c r="I530" s="433"/>
    </row>
    <row r="531" customFormat="false" ht="16.5" hidden="false" customHeight="false" outlineLevel="0" collapsed="false">
      <c r="A531" s="59" t="n">
        <f aca="false">A530+1</f>
        <v>525</v>
      </c>
      <c r="C531" s="59" t="n">
        <v>30</v>
      </c>
      <c r="D531" s="59" t="s">
        <v>171</v>
      </c>
      <c r="E531" s="125" t="n">
        <f aca="false">E530+C530</f>
        <v>52475</v>
      </c>
      <c r="F531" s="425" t="n">
        <f aca="false">F483</f>
        <v>22</v>
      </c>
      <c r="G531" s="433" t="n">
        <f aca="false">C531-F531</f>
        <v>8</v>
      </c>
      <c r="H531" s="433"/>
      <c r="I531" s="433"/>
    </row>
    <row r="532" customFormat="false" ht="16.5" hidden="false" customHeight="false" outlineLevel="0" collapsed="false">
      <c r="A532" s="59" t="n">
        <f aca="false">A531+1</f>
        <v>526</v>
      </c>
      <c r="C532" s="59" t="n">
        <v>31</v>
      </c>
      <c r="D532" s="59" t="s">
        <v>172</v>
      </c>
      <c r="E532" s="125" t="n">
        <f aca="false">E531+C531</f>
        <v>52505</v>
      </c>
      <c r="F532" s="425" t="n">
        <f aca="false">F484</f>
        <v>23</v>
      </c>
      <c r="G532" s="433" t="n">
        <f aca="false">C532-F532</f>
        <v>8</v>
      </c>
      <c r="H532" s="433"/>
      <c r="I532" s="433"/>
    </row>
    <row r="533" customFormat="false" ht="16.5" hidden="false" customHeight="false" outlineLevel="0" collapsed="false">
      <c r="A533" s="59" t="n">
        <f aca="false">A532+1</f>
        <v>527</v>
      </c>
      <c r="C533" s="59" t="n">
        <v>30</v>
      </c>
      <c r="D533" s="59" t="s">
        <v>173</v>
      </c>
      <c r="E533" s="125" t="n">
        <f aca="false">E532+C532</f>
        <v>52536</v>
      </c>
      <c r="F533" s="425" t="n">
        <f aca="false">F485</f>
        <v>20</v>
      </c>
      <c r="G533" s="433" t="n">
        <f aca="false">C533-F533</f>
        <v>10</v>
      </c>
      <c r="H533" s="433"/>
      <c r="I533" s="433"/>
    </row>
    <row r="534" customFormat="false" ht="16.5" hidden="false" customHeight="false" outlineLevel="0" collapsed="false">
      <c r="A534" s="59" t="n">
        <f aca="false">A533+1</f>
        <v>528</v>
      </c>
      <c r="C534" s="59" t="n">
        <v>31</v>
      </c>
      <c r="D534" s="59" t="s">
        <v>174</v>
      </c>
      <c r="E534" s="125" t="n">
        <f aca="false">E533+C533</f>
        <v>52566</v>
      </c>
      <c r="F534" s="425" t="n">
        <f aca="false">F486</f>
        <v>23</v>
      </c>
      <c r="G534" s="433" t="n">
        <f aca="false">C534-F534</f>
        <v>8</v>
      </c>
      <c r="H534" s="433" t="n">
        <f aca="false">SUM(F523:G534)</f>
        <v>365</v>
      </c>
      <c r="I534" s="433"/>
    </row>
    <row r="535" customFormat="false" ht="16.5" hidden="false" customHeight="false" outlineLevel="0" collapsed="false">
      <c r="A535" s="59" t="n">
        <f aca="false">A534+1</f>
        <v>529</v>
      </c>
      <c r="C535" s="59" t="n">
        <v>31</v>
      </c>
      <c r="D535" s="59" t="s">
        <v>164</v>
      </c>
      <c r="E535" s="125" t="n">
        <f aca="false">E534+C534</f>
        <v>52597</v>
      </c>
      <c r="F535" s="425" t="n">
        <f aca="false">F487</f>
        <v>22</v>
      </c>
      <c r="G535" s="433" t="n">
        <f aca="false">C535-F535</f>
        <v>9</v>
      </c>
      <c r="H535" s="433"/>
      <c r="I535" s="433"/>
    </row>
    <row r="536" customFormat="false" ht="16.5" hidden="false" customHeight="false" outlineLevel="0" collapsed="false">
      <c r="A536" s="59" t="n">
        <f aca="false">A535+1</f>
        <v>530</v>
      </c>
      <c r="C536" s="496" t="n">
        <v>29</v>
      </c>
      <c r="D536" s="497" t="s">
        <v>165</v>
      </c>
      <c r="E536" s="125" t="n">
        <f aca="false">E535+C535</f>
        <v>52628</v>
      </c>
      <c r="F536" s="425" t="n">
        <f aca="false">F488</f>
        <v>20</v>
      </c>
      <c r="G536" s="433" t="n">
        <f aca="false">C536-F536</f>
        <v>9</v>
      </c>
      <c r="H536" s="433"/>
      <c r="I536" s="433"/>
    </row>
    <row r="537" customFormat="false" ht="16.5" hidden="false" customHeight="false" outlineLevel="0" collapsed="false">
      <c r="A537" s="59" t="n">
        <f aca="false">A536+1</f>
        <v>531</v>
      </c>
      <c r="C537" s="59" t="n">
        <v>31</v>
      </c>
      <c r="D537" s="59" t="s">
        <v>166</v>
      </c>
      <c r="E537" s="125" t="n">
        <f aca="false">E536+C536</f>
        <v>52657</v>
      </c>
      <c r="F537" s="425" t="n">
        <f aca="false">F489</f>
        <v>23</v>
      </c>
      <c r="G537" s="433" t="n">
        <f aca="false">C537-F537</f>
        <v>8</v>
      </c>
      <c r="H537" s="433"/>
      <c r="I537" s="433"/>
    </row>
    <row r="538" customFormat="false" ht="16.5" hidden="false" customHeight="false" outlineLevel="0" collapsed="false">
      <c r="A538" s="59" t="n">
        <f aca="false">A537+1</f>
        <v>532</v>
      </c>
      <c r="C538" s="59" t="n">
        <v>30</v>
      </c>
      <c r="D538" s="59" t="s">
        <v>167</v>
      </c>
      <c r="E538" s="125" t="n">
        <f aca="false">E537+C537</f>
        <v>52688</v>
      </c>
      <c r="F538" s="425" t="n">
        <f aca="false">F490</f>
        <v>22</v>
      </c>
      <c r="G538" s="433" t="n">
        <f aca="false">C538-F538</f>
        <v>8</v>
      </c>
      <c r="H538" s="433"/>
      <c r="I538" s="433"/>
    </row>
    <row r="539" customFormat="false" ht="16.5" hidden="false" customHeight="false" outlineLevel="0" collapsed="false">
      <c r="A539" s="59" t="n">
        <f aca="false">A538+1</f>
        <v>533</v>
      </c>
      <c r="C539" s="59" t="n">
        <v>31</v>
      </c>
      <c r="D539" s="59" t="s">
        <v>29</v>
      </c>
      <c r="E539" s="125" t="n">
        <f aca="false">E538+C538</f>
        <v>52718</v>
      </c>
      <c r="F539" s="425" t="n">
        <f aca="false">F491</f>
        <v>21</v>
      </c>
      <c r="G539" s="433" t="n">
        <f aca="false">C539-F539</f>
        <v>10</v>
      </c>
      <c r="H539" s="433"/>
      <c r="I539" s="433"/>
    </row>
    <row r="540" customFormat="false" ht="16.5" hidden="false" customHeight="false" outlineLevel="0" collapsed="false">
      <c r="A540" s="59" t="n">
        <f aca="false">A539+1</f>
        <v>534</v>
      </c>
      <c r="C540" s="59" t="n">
        <v>30</v>
      </c>
      <c r="D540" s="59" t="s">
        <v>168</v>
      </c>
      <c r="E540" s="125" t="n">
        <f aca="false">E539+C539</f>
        <v>52749</v>
      </c>
      <c r="F540" s="425" t="n">
        <f aca="false">F492</f>
        <v>22</v>
      </c>
      <c r="G540" s="433" t="n">
        <f aca="false">C540-F540</f>
        <v>8</v>
      </c>
      <c r="H540" s="433"/>
      <c r="I540" s="433"/>
    </row>
    <row r="541" customFormat="false" ht="16.5" hidden="false" customHeight="false" outlineLevel="0" collapsed="false">
      <c r="A541" s="59" t="n">
        <f aca="false">A540+1</f>
        <v>535</v>
      </c>
      <c r="C541" s="59" t="n">
        <v>31</v>
      </c>
      <c r="D541" s="59" t="s">
        <v>169</v>
      </c>
      <c r="E541" s="125" t="n">
        <f aca="false">E540+C540</f>
        <v>52779</v>
      </c>
      <c r="F541" s="425" t="n">
        <f aca="false">F493</f>
        <v>22</v>
      </c>
      <c r="G541" s="433" t="n">
        <f aca="false">C541-F541</f>
        <v>9</v>
      </c>
      <c r="H541" s="433"/>
      <c r="I541" s="433"/>
    </row>
    <row r="542" customFormat="false" ht="16.5" hidden="false" customHeight="false" outlineLevel="0" collapsed="false">
      <c r="A542" s="59" t="n">
        <f aca="false">A541+1</f>
        <v>536</v>
      </c>
      <c r="C542" s="59" t="n">
        <v>31</v>
      </c>
      <c r="D542" s="59" t="s">
        <v>170</v>
      </c>
      <c r="E542" s="125" t="n">
        <f aca="false">E541+C541</f>
        <v>52810</v>
      </c>
      <c r="F542" s="425" t="n">
        <f aca="false">F494</f>
        <v>22</v>
      </c>
      <c r="G542" s="433" t="n">
        <f aca="false">C542-F542</f>
        <v>9</v>
      </c>
      <c r="H542" s="433"/>
      <c r="I542" s="433"/>
    </row>
    <row r="543" customFormat="false" ht="16.5" hidden="false" customHeight="false" outlineLevel="0" collapsed="false">
      <c r="A543" s="59" t="n">
        <f aca="false">A542+1</f>
        <v>537</v>
      </c>
      <c r="C543" s="59" t="n">
        <v>30</v>
      </c>
      <c r="D543" s="59" t="s">
        <v>171</v>
      </c>
      <c r="E543" s="125" t="n">
        <f aca="false">E542+C542</f>
        <v>52841</v>
      </c>
      <c r="F543" s="425" t="n">
        <f aca="false">F495</f>
        <v>22</v>
      </c>
      <c r="G543" s="433" t="n">
        <f aca="false">C543-F543</f>
        <v>8</v>
      </c>
      <c r="H543" s="433"/>
      <c r="I543" s="433"/>
    </row>
    <row r="544" customFormat="false" ht="16.5" hidden="false" customHeight="false" outlineLevel="0" collapsed="false">
      <c r="A544" s="59" t="n">
        <f aca="false">A543+1</f>
        <v>538</v>
      </c>
      <c r="C544" s="59" t="n">
        <v>31</v>
      </c>
      <c r="D544" s="59" t="s">
        <v>172</v>
      </c>
      <c r="E544" s="125" t="n">
        <f aca="false">E543+C543</f>
        <v>52871</v>
      </c>
      <c r="F544" s="425" t="n">
        <f aca="false">F496</f>
        <v>21</v>
      </c>
      <c r="G544" s="433" t="n">
        <f aca="false">C544-F544</f>
        <v>10</v>
      </c>
      <c r="H544" s="433"/>
      <c r="I544" s="433"/>
    </row>
    <row r="545" customFormat="false" ht="16.5" hidden="false" customHeight="false" outlineLevel="0" collapsed="false">
      <c r="A545" s="59" t="n">
        <f aca="false">A544+1</f>
        <v>539</v>
      </c>
      <c r="C545" s="59" t="n">
        <v>30</v>
      </c>
      <c r="D545" s="59" t="s">
        <v>173</v>
      </c>
      <c r="E545" s="125" t="n">
        <f aca="false">E544+C544</f>
        <v>52902</v>
      </c>
      <c r="F545" s="425" t="n">
        <f aca="false">F497</f>
        <v>22</v>
      </c>
      <c r="G545" s="433" t="n">
        <f aca="false">C545-F545</f>
        <v>8</v>
      </c>
      <c r="H545" s="433"/>
      <c r="I545" s="433"/>
    </row>
    <row r="546" customFormat="false" ht="16.5" hidden="false" customHeight="false" outlineLevel="0" collapsed="false">
      <c r="A546" s="59" t="n">
        <f aca="false">A545+1</f>
        <v>540</v>
      </c>
      <c r="C546" s="59" t="n">
        <v>31</v>
      </c>
      <c r="D546" s="59" t="s">
        <v>174</v>
      </c>
      <c r="E546" s="125" t="n">
        <f aca="false">E545+C545</f>
        <v>52932</v>
      </c>
      <c r="F546" s="425" t="n">
        <f aca="false">F498</f>
        <v>23</v>
      </c>
      <c r="G546" s="433" t="n">
        <f aca="false">C546-F546</f>
        <v>8</v>
      </c>
      <c r="H546" s="433" t="n">
        <f aca="false">SUM(F535:G546)</f>
        <v>366</v>
      </c>
      <c r="I546" s="433"/>
    </row>
    <row r="547" customFormat="false" ht="16.5" hidden="false" customHeight="false" outlineLevel="0" collapsed="false">
      <c r="A547" s="59" t="n">
        <f aca="false">A546+1</f>
        <v>541</v>
      </c>
      <c r="C547" s="59" t="n">
        <v>31</v>
      </c>
      <c r="D547" s="59" t="s">
        <v>164</v>
      </c>
      <c r="E547" s="125" t="n">
        <f aca="false">E546+C546</f>
        <v>52963</v>
      </c>
      <c r="F547" s="425" t="n">
        <f aca="false">F499</f>
        <v>23</v>
      </c>
      <c r="G547" s="433" t="n">
        <f aca="false">C547-F547</f>
        <v>8</v>
      </c>
      <c r="H547" s="433"/>
      <c r="I547" s="433"/>
    </row>
    <row r="548" customFormat="false" ht="16.5" hidden="false" customHeight="false" outlineLevel="0" collapsed="false">
      <c r="A548" s="59" t="n">
        <f aca="false">A547+1</f>
        <v>542</v>
      </c>
      <c r="C548" s="59" t="n">
        <v>28</v>
      </c>
      <c r="D548" s="59" t="s">
        <v>165</v>
      </c>
      <c r="E548" s="125" t="n">
        <f aca="false">E547+C547</f>
        <v>52994</v>
      </c>
      <c r="F548" s="425" t="n">
        <f aca="false">F500</f>
        <v>20</v>
      </c>
      <c r="G548" s="433" t="n">
        <f aca="false">C548-F548</f>
        <v>8</v>
      </c>
      <c r="H548" s="433"/>
      <c r="I548" s="433"/>
    </row>
    <row r="549" customFormat="false" ht="16.5" hidden="false" customHeight="false" outlineLevel="0" collapsed="false">
      <c r="A549" s="59" t="n">
        <f aca="false">A548+1</f>
        <v>543</v>
      </c>
      <c r="C549" s="59" t="n">
        <v>31</v>
      </c>
      <c r="D549" s="59" t="s">
        <v>166</v>
      </c>
      <c r="E549" s="125" t="n">
        <f aca="false">E548+C548</f>
        <v>53022</v>
      </c>
      <c r="F549" s="425" t="n">
        <f aca="false">F501</f>
        <v>22</v>
      </c>
      <c r="G549" s="433" t="n">
        <f aca="false">C549-F549</f>
        <v>9</v>
      </c>
      <c r="H549" s="433"/>
      <c r="I549" s="433"/>
    </row>
    <row r="550" customFormat="false" ht="16.5" hidden="false" customHeight="false" outlineLevel="0" collapsed="false">
      <c r="A550" s="59" t="n">
        <f aca="false">A549+1</f>
        <v>544</v>
      </c>
      <c r="C550" s="59" t="n">
        <v>30</v>
      </c>
      <c r="D550" s="59" t="s">
        <v>167</v>
      </c>
      <c r="E550" s="125" t="n">
        <f aca="false">E549+C549</f>
        <v>53053</v>
      </c>
      <c r="F550" s="425" t="n">
        <f aca="false">F502</f>
        <v>21</v>
      </c>
      <c r="G550" s="433" t="n">
        <f aca="false">C550-F550</f>
        <v>9</v>
      </c>
      <c r="H550" s="433"/>
      <c r="I550" s="433"/>
    </row>
    <row r="551" customFormat="false" ht="16.5" hidden="false" customHeight="false" outlineLevel="0" collapsed="false">
      <c r="A551" s="59" t="n">
        <f aca="false">A550+1</f>
        <v>545</v>
      </c>
      <c r="C551" s="59" t="n">
        <v>31</v>
      </c>
      <c r="D551" s="59" t="s">
        <v>29</v>
      </c>
      <c r="E551" s="125" t="n">
        <f aca="false">E550+C550</f>
        <v>53083</v>
      </c>
      <c r="F551" s="425" t="n">
        <f aca="false">F503</f>
        <v>23</v>
      </c>
      <c r="G551" s="433" t="n">
        <f aca="false">C551-F551</f>
        <v>8</v>
      </c>
      <c r="H551" s="433"/>
      <c r="I551" s="433"/>
    </row>
    <row r="552" customFormat="false" ht="16.5" hidden="false" customHeight="false" outlineLevel="0" collapsed="false">
      <c r="A552" s="59" t="n">
        <f aca="false">A551+1</f>
        <v>546</v>
      </c>
      <c r="C552" s="59" t="n">
        <v>30</v>
      </c>
      <c r="D552" s="59" t="s">
        <v>168</v>
      </c>
      <c r="E552" s="125" t="n">
        <f aca="false">E551+C551</f>
        <v>53114</v>
      </c>
      <c r="F552" s="425" t="n">
        <f aca="false">F504</f>
        <v>21</v>
      </c>
      <c r="G552" s="433" t="n">
        <f aca="false">C552-F552</f>
        <v>9</v>
      </c>
      <c r="H552" s="433"/>
      <c r="I552" s="433"/>
    </row>
    <row r="553" customFormat="false" ht="16.5" hidden="false" customHeight="false" outlineLevel="0" collapsed="false">
      <c r="A553" s="59" t="n">
        <f aca="false">A552+1</f>
        <v>547</v>
      </c>
      <c r="C553" s="59" t="n">
        <v>31</v>
      </c>
      <c r="D553" s="59" t="s">
        <v>169</v>
      </c>
      <c r="E553" s="125" t="n">
        <f aca="false">E552+C552</f>
        <v>53144</v>
      </c>
      <c r="F553" s="425" t="n">
        <f aca="false">F505</f>
        <v>22</v>
      </c>
      <c r="G553" s="433" t="n">
        <f aca="false">C553-F553</f>
        <v>9</v>
      </c>
      <c r="H553" s="433"/>
      <c r="I553" s="433"/>
    </row>
    <row r="554" customFormat="false" ht="16.5" hidden="false" customHeight="false" outlineLevel="0" collapsed="false">
      <c r="A554" s="59" t="n">
        <f aca="false">A553+1</f>
        <v>548</v>
      </c>
      <c r="C554" s="59" t="n">
        <v>31</v>
      </c>
      <c r="D554" s="59" t="s">
        <v>170</v>
      </c>
      <c r="E554" s="125" t="n">
        <f aca="false">E553+C553</f>
        <v>53175</v>
      </c>
      <c r="F554" s="425" t="n">
        <f aca="false">F506</f>
        <v>23</v>
      </c>
      <c r="G554" s="433" t="n">
        <f aca="false">C554-F554</f>
        <v>8</v>
      </c>
      <c r="H554" s="433"/>
      <c r="I554" s="433"/>
    </row>
    <row r="555" customFormat="false" ht="16.5" hidden="false" customHeight="false" outlineLevel="0" collapsed="false">
      <c r="A555" s="59" t="n">
        <f aca="false">A554+1</f>
        <v>549</v>
      </c>
      <c r="C555" s="59" t="n">
        <v>30</v>
      </c>
      <c r="D555" s="59" t="s">
        <v>171</v>
      </c>
      <c r="E555" s="125" t="n">
        <f aca="false">E554+C554</f>
        <v>53206</v>
      </c>
      <c r="F555" s="425" t="n">
        <f aca="false">F507</f>
        <v>20</v>
      </c>
      <c r="G555" s="433" t="n">
        <f aca="false">C555-F555</f>
        <v>10</v>
      </c>
      <c r="H555" s="433"/>
      <c r="I555" s="433"/>
    </row>
    <row r="556" customFormat="false" ht="16.5" hidden="false" customHeight="false" outlineLevel="0" collapsed="false">
      <c r="A556" s="59" t="n">
        <f aca="false">A555+1</f>
        <v>550</v>
      </c>
      <c r="C556" s="59" t="n">
        <v>31</v>
      </c>
      <c r="D556" s="59" t="s">
        <v>172</v>
      </c>
      <c r="E556" s="125" t="n">
        <f aca="false">E555+C555</f>
        <v>53236</v>
      </c>
      <c r="F556" s="425" t="n">
        <f aca="false">F508</f>
        <v>23</v>
      </c>
      <c r="G556" s="433" t="n">
        <f aca="false">C556-F556</f>
        <v>8</v>
      </c>
      <c r="H556" s="433"/>
      <c r="I556" s="433"/>
    </row>
    <row r="557" customFormat="false" ht="16.5" hidden="false" customHeight="false" outlineLevel="0" collapsed="false">
      <c r="A557" s="59" t="n">
        <f aca="false">A556+1</f>
        <v>551</v>
      </c>
      <c r="C557" s="59" t="n">
        <v>30</v>
      </c>
      <c r="D557" s="59" t="s">
        <v>173</v>
      </c>
      <c r="E557" s="125" t="n">
        <f aca="false">E556+C556</f>
        <v>53267</v>
      </c>
      <c r="F557" s="425" t="n">
        <f aca="false">F509</f>
        <v>22</v>
      </c>
      <c r="G557" s="433" t="n">
        <f aca="false">C557-F557</f>
        <v>8</v>
      </c>
      <c r="H557" s="433"/>
      <c r="I557" s="433"/>
    </row>
    <row r="558" customFormat="false" ht="16.5" hidden="false" customHeight="false" outlineLevel="0" collapsed="false">
      <c r="A558" s="59" t="n">
        <f aca="false">A557+1</f>
        <v>552</v>
      </c>
      <c r="C558" s="59" t="n">
        <v>31</v>
      </c>
      <c r="D558" s="59" t="s">
        <v>174</v>
      </c>
      <c r="E558" s="125" t="n">
        <f aca="false">E557+C557</f>
        <v>53297</v>
      </c>
      <c r="F558" s="425" t="n">
        <f aca="false">F510</f>
        <v>21</v>
      </c>
      <c r="G558" s="433" t="n">
        <f aca="false">C558-F558</f>
        <v>10</v>
      </c>
      <c r="H558" s="433" t="n">
        <f aca="false">SUM(F547:G558)</f>
        <v>365</v>
      </c>
      <c r="I558" s="433"/>
    </row>
    <row r="559" customFormat="false" ht="16.5" hidden="false" customHeight="false" outlineLevel="0" collapsed="false">
      <c r="A559" s="59" t="n">
        <f aca="false">A558+1</f>
        <v>553</v>
      </c>
      <c r="C559" s="59" t="n">
        <v>31</v>
      </c>
      <c r="D559" s="59" t="s">
        <v>164</v>
      </c>
      <c r="E559" s="125" t="n">
        <f aca="false">E558+C558</f>
        <v>53328</v>
      </c>
      <c r="F559" s="425" t="n">
        <f aca="false">F511</f>
        <v>23</v>
      </c>
      <c r="G559" s="433" t="n">
        <f aca="false">C559-F559</f>
        <v>8</v>
      </c>
      <c r="H559" s="433"/>
      <c r="I559" s="433"/>
    </row>
    <row r="560" customFormat="false" ht="16.5" hidden="false" customHeight="false" outlineLevel="0" collapsed="false">
      <c r="A560" s="59" t="n">
        <f aca="false">A559+1</f>
        <v>554</v>
      </c>
      <c r="C560" s="59" t="n">
        <v>28</v>
      </c>
      <c r="D560" s="59" t="s">
        <v>165</v>
      </c>
      <c r="E560" s="125" t="n">
        <f aca="false">E559+C559</f>
        <v>53359</v>
      </c>
      <c r="F560" s="425" t="n">
        <f aca="false">F512</f>
        <v>20</v>
      </c>
      <c r="G560" s="433" t="n">
        <f aca="false">C560-F560</f>
        <v>8</v>
      </c>
      <c r="H560" s="433"/>
      <c r="I560" s="433"/>
    </row>
    <row r="561" customFormat="false" ht="16.5" hidden="false" customHeight="false" outlineLevel="0" collapsed="false">
      <c r="A561" s="59" t="n">
        <f aca="false">A560+1</f>
        <v>555</v>
      </c>
      <c r="C561" s="59" t="n">
        <v>31</v>
      </c>
      <c r="D561" s="59" t="s">
        <v>166</v>
      </c>
      <c r="E561" s="125" t="n">
        <f aca="false">E560+C560</f>
        <v>53387</v>
      </c>
      <c r="F561" s="425" t="n">
        <f aca="false">F513</f>
        <v>21</v>
      </c>
      <c r="G561" s="433" t="n">
        <f aca="false">C561-F561</f>
        <v>10</v>
      </c>
      <c r="H561" s="433"/>
      <c r="I561" s="433"/>
    </row>
    <row r="562" customFormat="false" ht="16.5" hidden="false" customHeight="false" outlineLevel="0" collapsed="false">
      <c r="A562" s="59" t="n">
        <f aca="false">A561+1</f>
        <v>556</v>
      </c>
      <c r="C562" s="59" t="n">
        <v>30</v>
      </c>
      <c r="D562" s="59" t="s">
        <v>167</v>
      </c>
      <c r="E562" s="125" t="n">
        <f aca="false">E561+C561</f>
        <v>53418</v>
      </c>
      <c r="F562" s="425" t="n">
        <f aca="false">F514</f>
        <v>22</v>
      </c>
      <c r="G562" s="433" t="n">
        <f aca="false">C562-F562</f>
        <v>8</v>
      </c>
      <c r="H562" s="433"/>
      <c r="I562" s="433"/>
    </row>
    <row r="563" customFormat="false" ht="16.5" hidden="false" customHeight="false" outlineLevel="0" collapsed="false">
      <c r="A563" s="59" t="n">
        <f aca="false">A562+1</f>
        <v>557</v>
      </c>
      <c r="C563" s="59" t="n">
        <v>31</v>
      </c>
      <c r="D563" s="59" t="s">
        <v>29</v>
      </c>
      <c r="E563" s="125" t="n">
        <f aca="false">E562+C562</f>
        <v>53448</v>
      </c>
      <c r="F563" s="425" t="n">
        <f aca="false">F515</f>
        <v>23</v>
      </c>
      <c r="G563" s="433" t="n">
        <f aca="false">C563-F563</f>
        <v>8</v>
      </c>
      <c r="H563" s="433"/>
      <c r="I563" s="433"/>
    </row>
    <row r="564" customFormat="false" ht="16.5" hidden="false" customHeight="false" outlineLevel="0" collapsed="false">
      <c r="A564" s="59" t="n">
        <f aca="false">A563+1</f>
        <v>558</v>
      </c>
      <c r="C564" s="59" t="n">
        <v>30</v>
      </c>
      <c r="D564" s="59" t="s">
        <v>168</v>
      </c>
      <c r="E564" s="125" t="n">
        <f aca="false">E563+C563</f>
        <v>53479</v>
      </c>
      <c r="F564" s="425" t="n">
        <f aca="false">F516</f>
        <v>20</v>
      </c>
      <c r="G564" s="433" t="n">
        <f aca="false">C564-F564</f>
        <v>10</v>
      </c>
      <c r="H564" s="433"/>
      <c r="I564" s="433"/>
    </row>
    <row r="565" customFormat="false" ht="16.5" hidden="false" customHeight="false" outlineLevel="0" collapsed="false">
      <c r="A565" s="59" t="n">
        <f aca="false">A564+1</f>
        <v>559</v>
      </c>
      <c r="C565" s="59" t="n">
        <v>31</v>
      </c>
      <c r="D565" s="59" t="s">
        <v>169</v>
      </c>
      <c r="E565" s="125" t="n">
        <f aca="false">E564+C564</f>
        <v>53509</v>
      </c>
      <c r="F565" s="425" t="n">
        <f aca="false">F517</f>
        <v>23</v>
      </c>
      <c r="G565" s="433" t="n">
        <f aca="false">C565-F565</f>
        <v>8</v>
      </c>
      <c r="H565" s="433"/>
      <c r="I565" s="433"/>
    </row>
    <row r="566" customFormat="false" ht="16.5" hidden="false" customHeight="false" outlineLevel="0" collapsed="false">
      <c r="A566" s="59" t="n">
        <f aca="false">A565+1</f>
        <v>560</v>
      </c>
      <c r="C566" s="59" t="n">
        <v>31</v>
      </c>
      <c r="D566" s="59" t="s">
        <v>170</v>
      </c>
      <c r="E566" s="125" t="n">
        <f aca="false">E565+C565</f>
        <v>53540</v>
      </c>
      <c r="F566" s="425" t="n">
        <f aca="false">F518</f>
        <v>22</v>
      </c>
      <c r="G566" s="433" t="n">
        <f aca="false">C566-F566</f>
        <v>9</v>
      </c>
      <c r="H566" s="433"/>
      <c r="I566" s="433"/>
    </row>
    <row r="567" customFormat="false" ht="16.5" hidden="false" customHeight="false" outlineLevel="0" collapsed="false">
      <c r="A567" s="59" t="n">
        <f aca="false">A566+1</f>
        <v>561</v>
      </c>
      <c r="C567" s="59" t="n">
        <v>30</v>
      </c>
      <c r="D567" s="59" t="s">
        <v>171</v>
      </c>
      <c r="E567" s="125" t="n">
        <f aca="false">E566+C566</f>
        <v>53571</v>
      </c>
      <c r="F567" s="425" t="n">
        <f aca="false">F519</f>
        <v>21</v>
      </c>
      <c r="G567" s="433" t="n">
        <f aca="false">C567-F567</f>
        <v>9</v>
      </c>
      <c r="H567" s="433"/>
      <c r="I567" s="433"/>
    </row>
    <row r="568" customFormat="false" ht="16.5" hidden="false" customHeight="false" outlineLevel="0" collapsed="false">
      <c r="A568" s="59" t="n">
        <f aca="false">A567+1</f>
        <v>562</v>
      </c>
      <c r="C568" s="59" t="n">
        <v>31</v>
      </c>
      <c r="D568" s="59" t="s">
        <v>172</v>
      </c>
      <c r="E568" s="125" t="n">
        <f aca="false">E567+C567</f>
        <v>53601</v>
      </c>
      <c r="F568" s="425" t="n">
        <f aca="false">F520</f>
        <v>23</v>
      </c>
      <c r="G568" s="433" t="n">
        <f aca="false">C568-F568</f>
        <v>8</v>
      </c>
      <c r="H568" s="433"/>
      <c r="I568" s="433"/>
    </row>
    <row r="569" customFormat="false" ht="16.5" hidden="false" customHeight="false" outlineLevel="0" collapsed="false">
      <c r="A569" s="59" t="n">
        <f aca="false">A568+1</f>
        <v>563</v>
      </c>
      <c r="C569" s="59" t="n">
        <v>30</v>
      </c>
      <c r="D569" s="59" t="s">
        <v>173</v>
      </c>
      <c r="E569" s="125" t="n">
        <f aca="false">E568+C568</f>
        <v>53632</v>
      </c>
      <c r="F569" s="425" t="n">
        <f aca="false">F521</f>
        <v>21</v>
      </c>
      <c r="G569" s="433" t="n">
        <f aca="false">C569-F569</f>
        <v>9</v>
      </c>
      <c r="H569" s="433"/>
      <c r="I569" s="433"/>
    </row>
    <row r="570" customFormat="false" ht="16.5" hidden="false" customHeight="false" outlineLevel="0" collapsed="false">
      <c r="A570" s="59" t="n">
        <f aca="false">A569+1</f>
        <v>564</v>
      </c>
      <c r="C570" s="59" t="n">
        <v>31</v>
      </c>
      <c r="D570" s="59" t="s">
        <v>174</v>
      </c>
      <c r="E570" s="125" t="n">
        <f aca="false">E569+C569</f>
        <v>53662</v>
      </c>
      <c r="F570" s="425" t="n">
        <f aca="false">F522</f>
        <v>22</v>
      </c>
      <c r="G570" s="433" t="n">
        <f aca="false">C570-F570</f>
        <v>9</v>
      </c>
      <c r="H570" s="433" t="n">
        <f aca="false">SUM(F559:G570)</f>
        <v>365</v>
      </c>
      <c r="I570" s="433"/>
    </row>
    <row r="571" customFormat="false" ht="16.5" hidden="false" customHeight="false" outlineLevel="0" collapsed="false">
      <c r="A571" s="59" t="n">
        <f aca="false">A570+1</f>
        <v>565</v>
      </c>
      <c r="C571" s="59" t="n">
        <v>31</v>
      </c>
      <c r="D571" s="59" t="s">
        <v>164</v>
      </c>
      <c r="E571" s="125" t="n">
        <f aca="false">E570+C570</f>
        <v>53693</v>
      </c>
      <c r="F571" s="425" t="n">
        <f aca="false">F523</f>
        <v>23</v>
      </c>
      <c r="G571" s="433" t="n">
        <f aca="false">C571-F571</f>
        <v>8</v>
      </c>
      <c r="H571" s="433"/>
      <c r="I571" s="433"/>
    </row>
    <row r="572" customFormat="false" ht="16.5" hidden="false" customHeight="false" outlineLevel="0" collapsed="false">
      <c r="A572" s="59" t="n">
        <f aca="false">A571+1</f>
        <v>566</v>
      </c>
      <c r="C572" s="59" t="n">
        <v>28</v>
      </c>
      <c r="D572" s="59" t="s">
        <v>165</v>
      </c>
      <c r="E572" s="125" t="n">
        <f aca="false">E571+C571</f>
        <v>53724</v>
      </c>
      <c r="F572" s="425" t="n">
        <f aca="false">F524</f>
        <v>20</v>
      </c>
      <c r="G572" s="433" t="n">
        <f aca="false">C572-F572</f>
        <v>8</v>
      </c>
      <c r="H572" s="433"/>
      <c r="I572" s="433"/>
    </row>
    <row r="573" customFormat="false" ht="16.5" hidden="false" customHeight="false" outlineLevel="0" collapsed="false">
      <c r="A573" s="59" t="n">
        <f aca="false">A572+1</f>
        <v>567</v>
      </c>
      <c r="C573" s="59" t="n">
        <v>31</v>
      </c>
      <c r="D573" s="59" t="s">
        <v>166</v>
      </c>
      <c r="E573" s="125" t="n">
        <f aca="false">E572+C572</f>
        <v>53752</v>
      </c>
      <c r="F573" s="425" t="n">
        <f aca="false">F525</f>
        <v>21</v>
      </c>
      <c r="G573" s="433" t="n">
        <f aca="false">C573-F573</f>
        <v>10</v>
      </c>
      <c r="H573" s="433"/>
      <c r="I573" s="433"/>
    </row>
    <row r="574" customFormat="false" ht="16.5" hidden="false" customHeight="false" outlineLevel="0" collapsed="false">
      <c r="A574" s="59" t="n">
        <f aca="false">A573+1</f>
        <v>568</v>
      </c>
      <c r="C574" s="59" t="n">
        <v>30</v>
      </c>
      <c r="D574" s="59" t="s">
        <v>167</v>
      </c>
      <c r="E574" s="125" t="n">
        <f aca="false">E573+C573</f>
        <v>53783</v>
      </c>
      <c r="F574" s="425" t="n">
        <f aca="false">F526</f>
        <v>22</v>
      </c>
      <c r="G574" s="433" t="n">
        <f aca="false">C574-F574</f>
        <v>8</v>
      </c>
      <c r="H574" s="433"/>
      <c r="I574" s="433"/>
    </row>
    <row r="575" customFormat="false" ht="16.5" hidden="false" customHeight="false" outlineLevel="0" collapsed="false">
      <c r="A575" s="59" t="n">
        <f aca="false">A574+1</f>
        <v>569</v>
      </c>
      <c r="C575" s="59" t="n">
        <v>31</v>
      </c>
      <c r="D575" s="59" t="s">
        <v>29</v>
      </c>
      <c r="E575" s="125" t="n">
        <f aca="false">E574+C574</f>
        <v>53813</v>
      </c>
      <c r="F575" s="425" t="n">
        <f aca="false">F527</f>
        <v>22</v>
      </c>
      <c r="G575" s="433" t="n">
        <f aca="false">C575-F575</f>
        <v>9</v>
      </c>
      <c r="H575" s="433"/>
      <c r="I575" s="433"/>
    </row>
    <row r="576" customFormat="false" ht="16.5" hidden="false" customHeight="false" outlineLevel="0" collapsed="false">
      <c r="A576" s="59" t="n">
        <f aca="false">A575+1</f>
        <v>570</v>
      </c>
      <c r="C576" s="59" t="n">
        <v>30</v>
      </c>
      <c r="D576" s="59" t="s">
        <v>168</v>
      </c>
      <c r="E576" s="125" t="n">
        <f aca="false">E575+C575</f>
        <v>53844</v>
      </c>
      <c r="F576" s="425" t="n">
        <f aca="false">F528</f>
        <v>21</v>
      </c>
      <c r="G576" s="433" t="n">
        <f aca="false">C576-F576</f>
        <v>9</v>
      </c>
      <c r="H576" s="433"/>
      <c r="I576" s="433"/>
    </row>
    <row r="577" customFormat="false" ht="16.5" hidden="false" customHeight="false" outlineLevel="0" collapsed="false">
      <c r="A577" s="59" t="n">
        <f aca="false">A576+1</f>
        <v>571</v>
      </c>
      <c r="C577" s="59" t="n">
        <v>31</v>
      </c>
      <c r="D577" s="59" t="s">
        <v>169</v>
      </c>
      <c r="E577" s="125" t="n">
        <f aca="false">E576+C576</f>
        <v>53874</v>
      </c>
      <c r="F577" s="425" t="n">
        <f aca="false">F529</f>
        <v>23</v>
      </c>
      <c r="G577" s="433" t="n">
        <f aca="false">C577-F577</f>
        <v>8</v>
      </c>
      <c r="H577" s="433"/>
      <c r="I577" s="433"/>
    </row>
    <row r="578" customFormat="false" ht="16.5" hidden="false" customHeight="false" outlineLevel="0" collapsed="false">
      <c r="A578" s="59" t="n">
        <f aca="false">A577+1</f>
        <v>572</v>
      </c>
      <c r="C578" s="59" t="n">
        <v>31</v>
      </c>
      <c r="D578" s="59" t="s">
        <v>170</v>
      </c>
      <c r="E578" s="125" t="n">
        <f aca="false">E577+C577</f>
        <v>53905</v>
      </c>
      <c r="F578" s="425" t="n">
        <f aca="false">F530</f>
        <v>21</v>
      </c>
      <c r="G578" s="433" t="n">
        <f aca="false">C578-F578</f>
        <v>10</v>
      </c>
      <c r="H578" s="433"/>
      <c r="I578" s="433"/>
    </row>
    <row r="579" customFormat="false" ht="16.5" hidden="false" customHeight="false" outlineLevel="0" collapsed="false">
      <c r="A579" s="59" t="n">
        <f aca="false">A578+1</f>
        <v>573</v>
      </c>
      <c r="C579" s="59" t="n">
        <v>30</v>
      </c>
      <c r="D579" s="59" t="s">
        <v>171</v>
      </c>
      <c r="E579" s="125" t="n">
        <f aca="false">E578+C578</f>
        <v>53936</v>
      </c>
      <c r="F579" s="425" t="n">
        <f aca="false">F531</f>
        <v>22</v>
      </c>
      <c r="G579" s="433" t="n">
        <f aca="false">C579-F579</f>
        <v>8</v>
      </c>
      <c r="H579" s="433"/>
      <c r="I579" s="433"/>
    </row>
    <row r="580" customFormat="false" ht="16.5" hidden="false" customHeight="false" outlineLevel="0" collapsed="false">
      <c r="A580" s="59" t="n">
        <f aca="false">A579+1</f>
        <v>574</v>
      </c>
      <c r="C580" s="59" t="n">
        <v>31</v>
      </c>
      <c r="D580" s="59" t="s">
        <v>172</v>
      </c>
      <c r="E580" s="125" t="n">
        <f aca="false">E579+C579</f>
        <v>53966</v>
      </c>
      <c r="F580" s="425" t="n">
        <f aca="false">F532</f>
        <v>23</v>
      </c>
      <c r="G580" s="433" t="n">
        <f aca="false">C580-F580</f>
        <v>8</v>
      </c>
      <c r="H580" s="433"/>
      <c r="I580" s="433"/>
    </row>
    <row r="581" customFormat="false" ht="16.5" hidden="false" customHeight="false" outlineLevel="0" collapsed="false">
      <c r="A581" s="59" t="n">
        <f aca="false">A580+1</f>
        <v>575</v>
      </c>
      <c r="C581" s="59" t="n">
        <v>30</v>
      </c>
      <c r="D581" s="59" t="s">
        <v>173</v>
      </c>
      <c r="E581" s="125" t="n">
        <f aca="false">E580+C580</f>
        <v>53997</v>
      </c>
      <c r="F581" s="425" t="n">
        <f aca="false">F533</f>
        <v>20</v>
      </c>
      <c r="G581" s="433" t="n">
        <f aca="false">C581-F581</f>
        <v>10</v>
      </c>
      <c r="H581" s="433"/>
      <c r="I581" s="433"/>
    </row>
    <row r="582" customFormat="false" ht="16.5" hidden="false" customHeight="false" outlineLevel="0" collapsed="false">
      <c r="A582" s="59" t="n">
        <f aca="false">A581+1</f>
        <v>576</v>
      </c>
      <c r="C582" s="59" t="n">
        <v>31</v>
      </c>
      <c r="D582" s="59" t="s">
        <v>174</v>
      </c>
      <c r="E582" s="125" t="n">
        <f aca="false">E581+C581</f>
        <v>54027</v>
      </c>
      <c r="F582" s="425" t="n">
        <f aca="false">F534</f>
        <v>23</v>
      </c>
      <c r="G582" s="433" t="n">
        <f aca="false">C582-F582</f>
        <v>8</v>
      </c>
      <c r="H582" s="433" t="n">
        <f aca="false">SUM(F571:G582)</f>
        <v>365</v>
      </c>
      <c r="I582" s="433"/>
    </row>
    <row r="583" customFormat="false" ht="16.5" hidden="false" customHeight="false" outlineLevel="0" collapsed="false">
      <c r="A583" s="59" t="n">
        <f aca="false">A582+1</f>
        <v>577</v>
      </c>
      <c r="C583" s="59" t="n">
        <v>31</v>
      </c>
      <c r="D583" s="59" t="s">
        <v>164</v>
      </c>
      <c r="E583" s="125" t="n">
        <f aca="false">E582+C582</f>
        <v>54058</v>
      </c>
      <c r="F583" s="425" t="n">
        <f aca="false">F535</f>
        <v>22</v>
      </c>
      <c r="G583" s="433" t="n">
        <f aca="false">C583-F583</f>
        <v>9</v>
      </c>
      <c r="H583" s="433"/>
      <c r="I583" s="433"/>
    </row>
    <row r="584" customFormat="false" ht="16.5" hidden="false" customHeight="false" outlineLevel="0" collapsed="false">
      <c r="A584" s="59" t="n">
        <f aca="false">A583+1</f>
        <v>578</v>
      </c>
      <c r="C584" s="496" t="n">
        <v>29</v>
      </c>
      <c r="D584" s="497" t="s">
        <v>165</v>
      </c>
      <c r="E584" s="125" t="n">
        <f aca="false">E583+C583</f>
        <v>54089</v>
      </c>
      <c r="F584" s="425" t="n">
        <f aca="false">F536</f>
        <v>20</v>
      </c>
      <c r="G584" s="433" t="n">
        <f aca="false">C584-F584</f>
        <v>9</v>
      </c>
      <c r="H584" s="433"/>
      <c r="I584" s="433"/>
    </row>
    <row r="585" customFormat="false" ht="16.5" hidden="false" customHeight="false" outlineLevel="0" collapsed="false">
      <c r="A585" s="59" t="n">
        <f aca="false">A584+1</f>
        <v>579</v>
      </c>
      <c r="C585" s="59" t="n">
        <v>31</v>
      </c>
      <c r="D585" s="59" t="s">
        <v>166</v>
      </c>
      <c r="E585" s="125" t="n">
        <f aca="false">E584+C584</f>
        <v>54118</v>
      </c>
      <c r="F585" s="425" t="n">
        <f aca="false">F537</f>
        <v>23</v>
      </c>
      <c r="G585" s="433" t="n">
        <f aca="false">C585-F585</f>
        <v>8</v>
      </c>
      <c r="H585" s="433"/>
      <c r="I585" s="433"/>
    </row>
    <row r="586" customFormat="false" ht="16.5" hidden="false" customHeight="false" outlineLevel="0" collapsed="false">
      <c r="A586" s="59" t="n">
        <f aca="false">A585+1</f>
        <v>580</v>
      </c>
      <c r="C586" s="59" t="n">
        <v>30</v>
      </c>
      <c r="D586" s="59" t="s">
        <v>167</v>
      </c>
      <c r="E586" s="125" t="n">
        <f aca="false">E585+C585</f>
        <v>54149</v>
      </c>
      <c r="F586" s="425" t="n">
        <f aca="false">F538</f>
        <v>22</v>
      </c>
      <c r="G586" s="433" t="n">
        <f aca="false">C586-F586</f>
        <v>8</v>
      </c>
      <c r="H586" s="433"/>
      <c r="I586" s="433"/>
    </row>
    <row r="587" customFormat="false" ht="16.5" hidden="false" customHeight="false" outlineLevel="0" collapsed="false">
      <c r="A587" s="59" t="n">
        <f aca="false">A586+1</f>
        <v>581</v>
      </c>
      <c r="C587" s="59" t="n">
        <v>31</v>
      </c>
      <c r="D587" s="59" t="s">
        <v>29</v>
      </c>
      <c r="E587" s="125" t="n">
        <f aca="false">E586+C586</f>
        <v>54179</v>
      </c>
      <c r="F587" s="425" t="n">
        <f aca="false">F539</f>
        <v>21</v>
      </c>
      <c r="G587" s="433" t="n">
        <f aca="false">C587-F587</f>
        <v>10</v>
      </c>
      <c r="H587" s="433"/>
      <c r="I587" s="433"/>
    </row>
    <row r="588" customFormat="false" ht="16.5" hidden="false" customHeight="false" outlineLevel="0" collapsed="false">
      <c r="A588" s="59" t="n">
        <f aca="false">A587+1</f>
        <v>582</v>
      </c>
      <c r="C588" s="59" t="n">
        <v>30</v>
      </c>
      <c r="D588" s="59" t="s">
        <v>168</v>
      </c>
      <c r="E588" s="125" t="n">
        <f aca="false">E587+C587</f>
        <v>54210</v>
      </c>
      <c r="F588" s="425" t="n">
        <f aca="false">F540</f>
        <v>22</v>
      </c>
      <c r="G588" s="433" t="n">
        <f aca="false">C588-F588</f>
        <v>8</v>
      </c>
      <c r="H588" s="433"/>
      <c r="I588" s="433"/>
    </row>
    <row r="589" customFormat="false" ht="16.5" hidden="false" customHeight="false" outlineLevel="0" collapsed="false">
      <c r="A589" s="59" t="n">
        <f aca="false">A588+1</f>
        <v>583</v>
      </c>
      <c r="C589" s="59" t="n">
        <v>31</v>
      </c>
      <c r="D589" s="59" t="s">
        <v>169</v>
      </c>
      <c r="E589" s="125" t="n">
        <f aca="false">E588+C588</f>
        <v>54240</v>
      </c>
      <c r="F589" s="425" t="n">
        <f aca="false">F541</f>
        <v>22</v>
      </c>
      <c r="G589" s="433" t="n">
        <f aca="false">C589-F589</f>
        <v>9</v>
      </c>
      <c r="H589" s="433"/>
      <c r="I589" s="433"/>
    </row>
    <row r="590" customFormat="false" ht="16.5" hidden="false" customHeight="false" outlineLevel="0" collapsed="false">
      <c r="A590" s="59" t="n">
        <f aca="false">A589+1</f>
        <v>584</v>
      </c>
      <c r="C590" s="59" t="n">
        <v>31</v>
      </c>
      <c r="D590" s="59" t="s">
        <v>170</v>
      </c>
      <c r="E590" s="125" t="n">
        <f aca="false">E589+C589</f>
        <v>54271</v>
      </c>
      <c r="F590" s="425" t="n">
        <f aca="false">F542</f>
        <v>22</v>
      </c>
      <c r="G590" s="433" t="n">
        <f aca="false">C590-F590</f>
        <v>9</v>
      </c>
      <c r="H590" s="433"/>
      <c r="I590" s="433"/>
    </row>
    <row r="591" customFormat="false" ht="16.5" hidden="false" customHeight="false" outlineLevel="0" collapsed="false">
      <c r="A591" s="59" t="n">
        <f aca="false">A590+1</f>
        <v>585</v>
      </c>
      <c r="C591" s="59" t="n">
        <v>30</v>
      </c>
      <c r="D591" s="59" t="s">
        <v>171</v>
      </c>
      <c r="E591" s="125" t="n">
        <f aca="false">E590+C590</f>
        <v>54302</v>
      </c>
      <c r="F591" s="425" t="n">
        <f aca="false">F543</f>
        <v>22</v>
      </c>
      <c r="G591" s="433" t="n">
        <f aca="false">C591-F591</f>
        <v>8</v>
      </c>
      <c r="H591" s="433"/>
      <c r="I591" s="433"/>
    </row>
    <row r="592" customFormat="false" ht="16.5" hidden="false" customHeight="false" outlineLevel="0" collapsed="false">
      <c r="A592" s="59" t="n">
        <f aca="false">A591+1</f>
        <v>586</v>
      </c>
      <c r="C592" s="59" t="n">
        <v>31</v>
      </c>
      <c r="D592" s="59" t="s">
        <v>172</v>
      </c>
      <c r="E592" s="125" t="n">
        <f aca="false">E591+C591</f>
        <v>54332</v>
      </c>
      <c r="F592" s="425" t="n">
        <f aca="false">F544</f>
        <v>21</v>
      </c>
      <c r="G592" s="433" t="n">
        <f aca="false">C592-F592</f>
        <v>10</v>
      </c>
      <c r="H592" s="433"/>
      <c r="I592" s="433"/>
    </row>
    <row r="593" customFormat="false" ht="16.5" hidden="false" customHeight="false" outlineLevel="0" collapsed="false">
      <c r="A593" s="59" t="n">
        <f aca="false">A592+1</f>
        <v>587</v>
      </c>
      <c r="C593" s="59" t="n">
        <v>30</v>
      </c>
      <c r="D593" s="59" t="s">
        <v>173</v>
      </c>
      <c r="E593" s="125" t="n">
        <f aca="false">E592+C592</f>
        <v>54363</v>
      </c>
      <c r="F593" s="425" t="n">
        <f aca="false">F545</f>
        <v>22</v>
      </c>
      <c r="G593" s="433" t="n">
        <f aca="false">C593-F593</f>
        <v>8</v>
      </c>
      <c r="H593" s="433"/>
      <c r="I593" s="433"/>
    </row>
    <row r="594" customFormat="false" ht="16.5" hidden="false" customHeight="false" outlineLevel="0" collapsed="false">
      <c r="A594" s="59" t="n">
        <f aca="false">A593+1</f>
        <v>588</v>
      </c>
      <c r="C594" s="59" t="n">
        <v>31</v>
      </c>
      <c r="D594" s="59" t="s">
        <v>174</v>
      </c>
      <c r="E594" s="125" t="n">
        <f aca="false">E593+C593</f>
        <v>54393</v>
      </c>
      <c r="F594" s="425" t="n">
        <f aca="false">F546</f>
        <v>23</v>
      </c>
      <c r="G594" s="433" t="n">
        <f aca="false">C594-F594</f>
        <v>8</v>
      </c>
      <c r="H594" s="433" t="n">
        <f aca="false">SUM(F583:G594)</f>
        <v>366</v>
      </c>
      <c r="I594" s="433"/>
    </row>
    <row r="595" customFormat="false" ht="16.5" hidden="false" customHeight="false" outlineLevel="0" collapsed="false">
      <c r="A595" s="59" t="n">
        <f aca="false">A594+1</f>
        <v>589</v>
      </c>
      <c r="C595" s="59" t="n">
        <v>31</v>
      </c>
      <c r="D595" s="59" t="s">
        <v>164</v>
      </c>
      <c r="E595" s="125" t="n">
        <f aca="false">E594+C594</f>
        <v>54424</v>
      </c>
      <c r="F595" s="425" t="n">
        <f aca="false">F547</f>
        <v>23</v>
      </c>
      <c r="G595" s="433" t="n">
        <f aca="false">C595-F595</f>
        <v>8</v>
      </c>
      <c r="H595" s="433"/>
      <c r="I595" s="433"/>
    </row>
    <row r="596" customFormat="false" ht="16.5" hidden="false" customHeight="false" outlineLevel="0" collapsed="false">
      <c r="A596" s="59" t="n">
        <f aca="false">A595+1</f>
        <v>590</v>
      </c>
      <c r="C596" s="59" t="n">
        <v>28</v>
      </c>
      <c r="D596" s="59" t="s">
        <v>165</v>
      </c>
      <c r="E596" s="125" t="n">
        <f aca="false">E595+C595</f>
        <v>54455</v>
      </c>
      <c r="F596" s="425" t="n">
        <f aca="false">F548</f>
        <v>20</v>
      </c>
      <c r="G596" s="433" t="n">
        <f aca="false">C596-F596</f>
        <v>8</v>
      </c>
      <c r="H596" s="433"/>
      <c r="I596" s="433"/>
    </row>
    <row r="597" customFormat="false" ht="16.5" hidden="false" customHeight="false" outlineLevel="0" collapsed="false">
      <c r="A597" s="59" t="n">
        <f aca="false">A596+1</f>
        <v>591</v>
      </c>
      <c r="C597" s="59" t="n">
        <v>31</v>
      </c>
      <c r="D597" s="59" t="s">
        <v>166</v>
      </c>
      <c r="E597" s="125" t="n">
        <f aca="false">E596+C596</f>
        <v>54483</v>
      </c>
      <c r="F597" s="425" t="n">
        <f aca="false">F549</f>
        <v>22</v>
      </c>
      <c r="G597" s="433" t="n">
        <f aca="false">C597-F597</f>
        <v>9</v>
      </c>
      <c r="H597" s="433"/>
      <c r="I597" s="433"/>
    </row>
    <row r="598" customFormat="false" ht="16.5" hidden="false" customHeight="false" outlineLevel="0" collapsed="false">
      <c r="A598" s="59" t="n">
        <f aca="false">A597+1</f>
        <v>592</v>
      </c>
      <c r="C598" s="59" t="n">
        <v>30</v>
      </c>
      <c r="D598" s="59" t="s">
        <v>167</v>
      </c>
      <c r="E598" s="125" t="n">
        <f aca="false">E597+C597</f>
        <v>54514</v>
      </c>
      <c r="F598" s="425" t="n">
        <f aca="false">F550</f>
        <v>21</v>
      </c>
      <c r="G598" s="433" t="n">
        <f aca="false">C598-F598</f>
        <v>9</v>
      </c>
      <c r="H598" s="433"/>
      <c r="I598" s="433"/>
    </row>
    <row r="599" customFormat="false" ht="16.5" hidden="false" customHeight="false" outlineLevel="0" collapsed="false">
      <c r="A599" s="59" t="n">
        <f aca="false">A598+1</f>
        <v>593</v>
      </c>
      <c r="C599" s="59" t="n">
        <v>31</v>
      </c>
      <c r="D599" s="59" t="s">
        <v>29</v>
      </c>
      <c r="E599" s="125" t="n">
        <f aca="false">E598+C598</f>
        <v>54544</v>
      </c>
      <c r="F599" s="425" t="n">
        <f aca="false">F551</f>
        <v>23</v>
      </c>
      <c r="G599" s="433" t="n">
        <f aca="false">C599-F599</f>
        <v>8</v>
      </c>
      <c r="H599" s="433"/>
      <c r="I599" s="433"/>
    </row>
    <row r="600" customFormat="false" ht="16.5" hidden="false" customHeight="false" outlineLevel="0" collapsed="false">
      <c r="A600" s="59" t="n">
        <f aca="false">A599+1</f>
        <v>594</v>
      </c>
      <c r="C600" s="59" t="n">
        <v>30</v>
      </c>
      <c r="D600" s="59" t="s">
        <v>168</v>
      </c>
      <c r="E600" s="125" t="n">
        <f aca="false">E599+C599</f>
        <v>54575</v>
      </c>
      <c r="F600" s="425" t="n">
        <f aca="false">F552</f>
        <v>21</v>
      </c>
      <c r="G600" s="433" t="n">
        <f aca="false">C600-F600</f>
        <v>9</v>
      </c>
      <c r="H600" s="433"/>
      <c r="I600" s="433"/>
    </row>
    <row r="601" customFormat="false" ht="16.5" hidden="false" customHeight="false" outlineLevel="0" collapsed="false">
      <c r="A601" s="59" t="n">
        <f aca="false">A600+1</f>
        <v>595</v>
      </c>
      <c r="C601" s="59" t="n">
        <v>31</v>
      </c>
      <c r="D601" s="59" t="s">
        <v>169</v>
      </c>
      <c r="E601" s="125" t="n">
        <f aca="false">E600+C600</f>
        <v>54605</v>
      </c>
      <c r="F601" s="425" t="n">
        <f aca="false">F553</f>
        <v>22</v>
      </c>
      <c r="G601" s="433" t="n">
        <f aca="false">C601-F601</f>
        <v>9</v>
      </c>
      <c r="H601" s="433"/>
      <c r="I601" s="433"/>
    </row>
    <row r="602" customFormat="false" ht="16.5" hidden="false" customHeight="false" outlineLevel="0" collapsed="false">
      <c r="A602" s="59" t="n">
        <f aca="false">A601+1</f>
        <v>596</v>
      </c>
      <c r="C602" s="59" t="n">
        <v>31</v>
      </c>
      <c r="D602" s="59" t="s">
        <v>170</v>
      </c>
      <c r="E602" s="125" t="n">
        <f aca="false">E601+C601</f>
        <v>54636</v>
      </c>
      <c r="F602" s="425" t="n">
        <f aca="false">F554</f>
        <v>23</v>
      </c>
      <c r="G602" s="433" t="n">
        <f aca="false">C602-F602</f>
        <v>8</v>
      </c>
      <c r="H602" s="433"/>
      <c r="I602" s="433"/>
    </row>
    <row r="603" customFormat="false" ht="16.5" hidden="false" customHeight="false" outlineLevel="0" collapsed="false">
      <c r="A603" s="59" t="n">
        <f aca="false">A602+1</f>
        <v>597</v>
      </c>
      <c r="C603" s="59" t="n">
        <v>30</v>
      </c>
      <c r="D603" s="59" t="s">
        <v>171</v>
      </c>
      <c r="E603" s="125" t="n">
        <f aca="false">E602+C602</f>
        <v>54667</v>
      </c>
      <c r="F603" s="425" t="n">
        <f aca="false">F555</f>
        <v>20</v>
      </c>
      <c r="G603" s="433" t="n">
        <f aca="false">C603-F603</f>
        <v>10</v>
      </c>
      <c r="H603" s="433"/>
      <c r="I603" s="433"/>
    </row>
    <row r="604" customFormat="false" ht="16.5" hidden="false" customHeight="false" outlineLevel="0" collapsed="false">
      <c r="A604" s="59" t="n">
        <f aca="false">A603+1</f>
        <v>598</v>
      </c>
      <c r="C604" s="59" t="n">
        <v>31</v>
      </c>
      <c r="D604" s="59" t="s">
        <v>172</v>
      </c>
      <c r="E604" s="125" t="n">
        <f aca="false">E603+C603</f>
        <v>54697</v>
      </c>
      <c r="F604" s="425" t="n">
        <f aca="false">F556</f>
        <v>23</v>
      </c>
      <c r="G604" s="433" t="n">
        <f aca="false">C604-F604</f>
        <v>8</v>
      </c>
      <c r="H604" s="433"/>
      <c r="I604" s="433"/>
    </row>
    <row r="605" customFormat="false" ht="16.5" hidden="false" customHeight="false" outlineLevel="0" collapsed="false">
      <c r="A605" s="59" t="n">
        <f aca="false">A604+1</f>
        <v>599</v>
      </c>
      <c r="C605" s="59" t="n">
        <v>30</v>
      </c>
      <c r="D605" s="59" t="s">
        <v>173</v>
      </c>
      <c r="E605" s="125" t="n">
        <f aca="false">E604+C604</f>
        <v>54728</v>
      </c>
      <c r="F605" s="425" t="n">
        <f aca="false">F557</f>
        <v>22</v>
      </c>
      <c r="G605" s="433" t="n">
        <f aca="false">C605-F605</f>
        <v>8</v>
      </c>
      <c r="H605" s="433"/>
      <c r="I605" s="433"/>
    </row>
    <row r="606" customFormat="false" ht="16.5" hidden="false" customHeight="false" outlineLevel="0" collapsed="false">
      <c r="A606" s="59" t="n">
        <f aca="false">A605+1</f>
        <v>600</v>
      </c>
      <c r="C606" s="59" t="n">
        <v>31</v>
      </c>
      <c r="D606" s="59" t="s">
        <v>174</v>
      </c>
      <c r="E606" s="125" t="n">
        <f aca="false">E605+C605</f>
        <v>54758</v>
      </c>
      <c r="F606" s="425" t="n">
        <f aca="false">F558</f>
        <v>21</v>
      </c>
      <c r="G606" s="433" t="n">
        <f aca="false">C606-F606</f>
        <v>10</v>
      </c>
      <c r="H606" s="433" t="n">
        <f aca="false">SUM(F595:G606)</f>
        <v>365</v>
      </c>
      <c r="I606" s="433"/>
    </row>
    <row r="607" customFormat="false" ht="16.5" hidden="false" customHeight="false" outlineLevel="0" collapsed="false">
      <c r="A607" s="59" t="n">
        <f aca="false">A606+1</f>
        <v>601</v>
      </c>
      <c r="C607" s="59" t="n">
        <v>31</v>
      </c>
      <c r="D607" s="59" t="s">
        <v>164</v>
      </c>
      <c r="E607" s="125" t="n">
        <f aca="false">E606+C606</f>
        <v>54789</v>
      </c>
      <c r="F607" s="425" t="n">
        <f aca="false">F559</f>
        <v>23</v>
      </c>
      <c r="G607" s="433" t="n">
        <f aca="false">C607-F607</f>
        <v>8</v>
      </c>
      <c r="H607" s="433"/>
      <c r="I607" s="433"/>
    </row>
    <row r="608" customFormat="false" ht="16.5" hidden="false" customHeight="false" outlineLevel="0" collapsed="false">
      <c r="A608" s="59" t="n">
        <f aca="false">A607+1</f>
        <v>602</v>
      </c>
      <c r="C608" s="59" t="n">
        <v>28</v>
      </c>
      <c r="D608" s="59" t="s">
        <v>165</v>
      </c>
      <c r="E608" s="125" t="n">
        <f aca="false">E607+C607</f>
        <v>54820</v>
      </c>
      <c r="F608" s="425" t="n">
        <f aca="false">F560</f>
        <v>20</v>
      </c>
      <c r="G608" s="433" t="n">
        <f aca="false">C608-F608</f>
        <v>8</v>
      </c>
      <c r="H608" s="433"/>
      <c r="I608" s="433"/>
    </row>
    <row r="609" customFormat="false" ht="16.5" hidden="false" customHeight="false" outlineLevel="0" collapsed="false">
      <c r="A609" s="59" t="n">
        <f aca="false">A608+1</f>
        <v>603</v>
      </c>
      <c r="C609" s="59" t="n">
        <v>31</v>
      </c>
      <c r="D609" s="59" t="s">
        <v>166</v>
      </c>
      <c r="E609" s="125" t="n">
        <f aca="false">E608+C608</f>
        <v>54848</v>
      </c>
      <c r="F609" s="425" t="n">
        <f aca="false">F561</f>
        <v>21</v>
      </c>
      <c r="G609" s="433" t="n">
        <f aca="false">C609-F609</f>
        <v>10</v>
      </c>
      <c r="H609" s="433"/>
      <c r="I609" s="433"/>
    </row>
    <row r="610" customFormat="false" ht="16.5" hidden="false" customHeight="false" outlineLevel="0" collapsed="false">
      <c r="A610" s="59" t="n">
        <f aca="false">A609+1</f>
        <v>604</v>
      </c>
      <c r="C610" s="59" t="n">
        <v>30</v>
      </c>
      <c r="D610" s="59" t="s">
        <v>167</v>
      </c>
      <c r="E610" s="125" t="n">
        <f aca="false">E609+C609</f>
        <v>54879</v>
      </c>
      <c r="F610" s="425" t="n">
        <f aca="false">F562</f>
        <v>22</v>
      </c>
      <c r="G610" s="433" t="n">
        <f aca="false">C610-F610</f>
        <v>8</v>
      </c>
      <c r="H610" s="433"/>
      <c r="I610" s="433"/>
    </row>
    <row r="611" customFormat="false" ht="16.5" hidden="false" customHeight="false" outlineLevel="0" collapsed="false">
      <c r="A611" s="59" t="n">
        <f aca="false">A610+1</f>
        <v>605</v>
      </c>
      <c r="C611" s="59" t="n">
        <v>31</v>
      </c>
      <c r="D611" s="59" t="s">
        <v>29</v>
      </c>
      <c r="E611" s="125" t="n">
        <f aca="false">E610+C610</f>
        <v>54909</v>
      </c>
      <c r="F611" s="425" t="n">
        <f aca="false">F563</f>
        <v>23</v>
      </c>
      <c r="G611" s="433" t="n">
        <f aca="false">C611-F611</f>
        <v>8</v>
      </c>
      <c r="H611" s="433"/>
      <c r="I611" s="433"/>
    </row>
    <row r="612" customFormat="false" ht="16.5" hidden="false" customHeight="false" outlineLevel="0" collapsed="false">
      <c r="A612" s="59" t="n">
        <f aca="false">A611+1</f>
        <v>606</v>
      </c>
      <c r="C612" s="59" t="n">
        <v>30</v>
      </c>
      <c r="D612" s="59" t="s">
        <v>168</v>
      </c>
      <c r="E612" s="125" t="n">
        <f aca="false">E611+C611</f>
        <v>54940</v>
      </c>
      <c r="F612" s="425" t="n">
        <f aca="false">F564</f>
        <v>20</v>
      </c>
      <c r="G612" s="433" t="n">
        <f aca="false">C612-F612</f>
        <v>10</v>
      </c>
      <c r="H612" s="433"/>
      <c r="I612" s="433"/>
    </row>
    <row r="613" customFormat="false" ht="16.5" hidden="false" customHeight="false" outlineLevel="0" collapsed="false">
      <c r="A613" s="59" t="n">
        <f aca="false">A612+1</f>
        <v>607</v>
      </c>
      <c r="C613" s="59" t="n">
        <v>31</v>
      </c>
      <c r="D613" s="59" t="s">
        <v>169</v>
      </c>
      <c r="E613" s="125" t="n">
        <f aca="false">E612+C612</f>
        <v>54970</v>
      </c>
      <c r="F613" s="425" t="n">
        <f aca="false">F565</f>
        <v>23</v>
      </c>
      <c r="G613" s="433" t="n">
        <f aca="false">C613-F613</f>
        <v>8</v>
      </c>
      <c r="H613" s="433"/>
      <c r="I613" s="433"/>
    </row>
    <row r="614" customFormat="false" ht="16.5" hidden="false" customHeight="false" outlineLevel="0" collapsed="false">
      <c r="A614" s="59" t="n">
        <f aca="false">A613+1</f>
        <v>608</v>
      </c>
      <c r="C614" s="59" t="n">
        <v>31</v>
      </c>
      <c r="D614" s="59" t="s">
        <v>170</v>
      </c>
      <c r="E614" s="125" t="n">
        <f aca="false">E613+C613</f>
        <v>55001</v>
      </c>
      <c r="F614" s="425" t="n">
        <f aca="false">F566</f>
        <v>22</v>
      </c>
      <c r="G614" s="433" t="n">
        <f aca="false">C614-F614</f>
        <v>9</v>
      </c>
      <c r="H614" s="433"/>
      <c r="I614" s="433"/>
    </row>
    <row r="615" customFormat="false" ht="16.5" hidden="false" customHeight="false" outlineLevel="0" collapsed="false">
      <c r="A615" s="59" t="n">
        <f aca="false">A614+1</f>
        <v>609</v>
      </c>
      <c r="C615" s="59" t="n">
        <v>30</v>
      </c>
      <c r="D615" s="59" t="s">
        <v>171</v>
      </c>
      <c r="E615" s="125" t="n">
        <f aca="false">E614+C614</f>
        <v>55032</v>
      </c>
      <c r="F615" s="425" t="n">
        <f aca="false">F567</f>
        <v>21</v>
      </c>
      <c r="G615" s="433" t="n">
        <f aca="false">C615-F615</f>
        <v>9</v>
      </c>
      <c r="H615" s="433"/>
      <c r="I615" s="433"/>
    </row>
    <row r="616" customFormat="false" ht="16.5" hidden="false" customHeight="false" outlineLevel="0" collapsed="false">
      <c r="A616" s="59" t="n">
        <f aca="false">A615+1</f>
        <v>610</v>
      </c>
      <c r="C616" s="59" t="n">
        <v>31</v>
      </c>
      <c r="D616" s="59" t="s">
        <v>172</v>
      </c>
      <c r="E616" s="125" t="n">
        <f aca="false">E615+C615</f>
        <v>55062</v>
      </c>
      <c r="F616" s="425" t="n">
        <f aca="false">F568</f>
        <v>23</v>
      </c>
      <c r="G616" s="433" t="n">
        <f aca="false">C616-F616</f>
        <v>8</v>
      </c>
      <c r="H616" s="433"/>
      <c r="I616" s="433"/>
    </row>
    <row r="617" customFormat="false" ht="16.5" hidden="false" customHeight="false" outlineLevel="0" collapsed="false">
      <c r="A617" s="59" t="n">
        <f aca="false">A616+1</f>
        <v>611</v>
      </c>
      <c r="C617" s="59" t="n">
        <v>30</v>
      </c>
      <c r="D617" s="59" t="s">
        <v>173</v>
      </c>
      <c r="E617" s="125" t="n">
        <f aca="false">E616+C616</f>
        <v>55093</v>
      </c>
      <c r="F617" s="425" t="n">
        <f aca="false">F569</f>
        <v>21</v>
      </c>
      <c r="G617" s="433" t="n">
        <f aca="false">C617-F617</f>
        <v>9</v>
      </c>
      <c r="H617" s="433"/>
      <c r="I617" s="433"/>
    </row>
    <row r="618" customFormat="false" ht="16.5" hidden="false" customHeight="false" outlineLevel="0" collapsed="false">
      <c r="A618" s="59" t="n">
        <f aca="false">A617+1</f>
        <v>612</v>
      </c>
      <c r="C618" s="59" t="n">
        <v>31</v>
      </c>
      <c r="D618" s="59" t="s">
        <v>174</v>
      </c>
      <c r="E618" s="125" t="n">
        <f aca="false">E617+C617</f>
        <v>55123</v>
      </c>
      <c r="F618" s="425" t="n">
        <f aca="false">F570</f>
        <v>22</v>
      </c>
      <c r="G618" s="433" t="n">
        <f aca="false">C618-F618</f>
        <v>9</v>
      </c>
      <c r="H618" s="433" t="n">
        <f aca="false">SUM(F607:G618)</f>
        <v>365</v>
      </c>
      <c r="I618" s="433"/>
    </row>
    <row r="619" customFormat="false" ht="16.5" hidden="false" customHeight="false" outlineLevel="0" collapsed="false">
      <c r="A619" s="59" t="n">
        <f aca="false">A618+1</f>
        <v>613</v>
      </c>
      <c r="C619" s="59" t="n">
        <v>31</v>
      </c>
      <c r="D619" s="59" t="s">
        <v>164</v>
      </c>
      <c r="E619" s="125" t="n">
        <f aca="false">E618+C618</f>
        <v>55154</v>
      </c>
      <c r="F619" s="425" t="n">
        <f aca="false">F571</f>
        <v>23</v>
      </c>
      <c r="G619" s="433" t="n">
        <f aca="false">C619-F619</f>
        <v>8</v>
      </c>
      <c r="H619" s="433"/>
      <c r="I619" s="433"/>
    </row>
    <row r="620" customFormat="false" ht="16.5" hidden="false" customHeight="false" outlineLevel="0" collapsed="false">
      <c r="A620" s="59" t="n">
        <f aca="false">A619+1</f>
        <v>614</v>
      </c>
      <c r="C620" s="59" t="n">
        <v>28</v>
      </c>
      <c r="D620" s="59" t="s">
        <v>165</v>
      </c>
      <c r="E620" s="125" t="n">
        <f aca="false">E619+C619</f>
        <v>55185</v>
      </c>
      <c r="F620" s="425" t="n">
        <f aca="false">F572</f>
        <v>20</v>
      </c>
      <c r="G620" s="433" t="n">
        <f aca="false">C620-F620</f>
        <v>8</v>
      </c>
      <c r="H620" s="433"/>
      <c r="I620" s="433"/>
    </row>
    <row r="621" customFormat="false" ht="16.5" hidden="false" customHeight="false" outlineLevel="0" collapsed="false">
      <c r="A621" s="59" t="n">
        <f aca="false">A620+1</f>
        <v>615</v>
      </c>
      <c r="C621" s="59" t="n">
        <v>31</v>
      </c>
      <c r="D621" s="59" t="s">
        <v>166</v>
      </c>
      <c r="E621" s="125" t="n">
        <f aca="false">E620+C620</f>
        <v>55213</v>
      </c>
      <c r="F621" s="425" t="n">
        <f aca="false">F573</f>
        <v>21</v>
      </c>
      <c r="G621" s="433" t="n">
        <f aca="false">C621-F621</f>
        <v>10</v>
      </c>
      <c r="H621" s="433"/>
      <c r="I621" s="433"/>
    </row>
    <row r="622" customFormat="false" ht="16.5" hidden="false" customHeight="false" outlineLevel="0" collapsed="false">
      <c r="A622" s="59" t="n">
        <f aca="false">A621+1</f>
        <v>616</v>
      </c>
      <c r="C622" s="59" t="n">
        <v>30</v>
      </c>
      <c r="D622" s="59" t="s">
        <v>167</v>
      </c>
      <c r="E622" s="125" t="n">
        <f aca="false">E621+C621</f>
        <v>55244</v>
      </c>
      <c r="F622" s="425" t="n">
        <f aca="false">F574</f>
        <v>22</v>
      </c>
      <c r="G622" s="433" t="n">
        <f aca="false">C622-F622</f>
        <v>8</v>
      </c>
      <c r="H622" s="433"/>
      <c r="I622" s="433"/>
    </row>
    <row r="623" customFormat="false" ht="16.5" hidden="false" customHeight="false" outlineLevel="0" collapsed="false">
      <c r="A623" s="59" t="n">
        <f aca="false">A622+1</f>
        <v>617</v>
      </c>
      <c r="C623" s="59" t="n">
        <v>31</v>
      </c>
      <c r="D623" s="59" t="s">
        <v>29</v>
      </c>
      <c r="E623" s="125" t="n">
        <f aca="false">E622+C622</f>
        <v>55274</v>
      </c>
      <c r="F623" s="425" t="n">
        <f aca="false">F575</f>
        <v>22</v>
      </c>
      <c r="G623" s="433" t="n">
        <f aca="false">C623-F623</f>
        <v>9</v>
      </c>
      <c r="H623" s="433"/>
      <c r="I623" s="433"/>
    </row>
    <row r="624" customFormat="false" ht="16.5" hidden="false" customHeight="false" outlineLevel="0" collapsed="false">
      <c r="A624" s="59" t="n">
        <f aca="false">A623+1</f>
        <v>618</v>
      </c>
      <c r="C624" s="59" t="n">
        <v>30</v>
      </c>
      <c r="D624" s="59" t="s">
        <v>168</v>
      </c>
      <c r="E624" s="125" t="n">
        <f aca="false">E623+C623</f>
        <v>55305</v>
      </c>
      <c r="F624" s="425" t="n">
        <f aca="false">F576</f>
        <v>21</v>
      </c>
      <c r="G624" s="433" t="n">
        <f aca="false">C624-F624</f>
        <v>9</v>
      </c>
      <c r="H624" s="433"/>
      <c r="I624" s="433"/>
    </row>
    <row r="625" customFormat="false" ht="16.5" hidden="false" customHeight="false" outlineLevel="0" collapsed="false">
      <c r="A625" s="59" t="n">
        <f aca="false">A624+1</f>
        <v>619</v>
      </c>
      <c r="C625" s="59" t="n">
        <v>31</v>
      </c>
      <c r="D625" s="59" t="s">
        <v>169</v>
      </c>
      <c r="E625" s="125" t="n">
        <f aca="false">E624+C624</f>
        <v>55335</v>
      </c>
      <c r="F625" s="425" t="n">
        <f aca="false">F577</f>
        <v>23</v>
      </c>
      <c r="G625" s="433" t="n">
        <f aca="false">C625-F625</f>
        <v>8</v>
      </c>
      <c r="H625" s="433"/>
      <c r="I625" s="433"/>
    </row>
    <row r="626" customFormat="false" ht="16.5" hidden="false" customHeight="false" outlineLevel="0" collapsed="false">
      <c r="A626" s="59" t="n">
        <f aca="false">A625+1</f>
        <v>620</v>
      </c>
      <c r="C626" s="59" t="n">
        <v>31</v>
      </c>
      <c r="D626" s="59" t="s">
        <v>170</v>
      </c>
      <c r="E626" s="125" t="n">
        <f aca="false">E625+C625</f>
        <v>55366</v>
      </c>
      <c r="F626" s="425" t="n">
        <f aca="false">F578</f>
        <v>21</v>
      </c>
      <c r="G626" s="433" t="n">
        <f aca="false">C626-F626</f>
        <v>10</v>
      </c>
      <c r="H626" s="433"/>
      <c r="I626" s="433"/>
    </row>
    <row r="627" customFormat="false" ht="16.5" hidden="false" customHeight="false" outlineLevel="0" collapsed="false">
      <c r="A627" s="59" t="n">
        <f aca="false">A626+1</f>
        <v>621</v>
      </c>
      <c r="C627" s="59" t="n">
        <v>30</v>
      </c>
      <c r="D627" s="59" t="s">
        <v>171</v>
      </c>
      <c r="E627" s="125" t="n">
        <f aca="false">E626+C626</f>
        <v>55397</v>
      </c>
      <c r="F627" s="425" t="n">
        <f aca="false">F579</f>
        <v>22</v>
      </c>
      <c r="G627" s="433" t="n">
        <f aca="false">C627-F627</f>
        <v>8</v>
      </c>
      <c r="H627" s="433"/>
      <c r="I627" s="433"/>
    </row>
    <row r="628" customFormat="false" ht="16.5" hidden="false" customHeight="false" outlineLevel="0" collapsed="false">
      <c r="A628" s="59" t="n">
        <f aca="false">A627+1</f>
        <v>622</v>
      </c>
      <c r="C628" s="59" t="n">
        <v>31</v>
      </c>
      <c r="D628" s="59" t="s">
        <v>172</v>
      </c>
      <c r="E628" s="125" t="n">
        <f aca="false">E627+C627</f>
        <v>55427</v>
      </c>
      <c r="F628" s="425" t="n">
        <f aca="false">F580</f>
        <v>23</v>
      </c>
      <c r="G628" s="433" t="n">
        <f aca="false">C628-F628</f>
        <v>8</v>
      </c>
      <c r="H628" s="433"/>
      <c r="I628" s="433"/>
    </row>
    <row r="629" customFormat="false" ht="16.5" hidden="false" customHeight="false" outlineLevel="0" collapsed="false">
      <c r="A629" s="59" t="n">
        <f aca="false">A628+1</f>
        <v>623</v>
      </c>
      <c r="C629" s="59" t="n">
        <v>30</v>
      </c>
      <c r="D629" s="59" t="s">
        <v>173</v>
      </c>
      <c r="E629" s="125" t="n">
        <f aca="false">E628+C628</f>
        <v>55458</v>
      </c>
      <c r="F629" s="425" t="n">
        <f aca="false">F581</f>
        <v>20</v>
      </c>
      <c r="G629" s="433" t="n">
        <f aca="false">C629-F629</f>
        <v>10</v>
      </c>
      <c r="H629" s="433"/>
      <c r="I629" s="433"/>
    </row>
    <row r="630" customFormat="false" ht="16.5" hidden="false" customHeight="false" outlineLevel="0" collapsed="false">
      <c r="A630" s="59" t="n">
        <f aca="false">A629+1</f>
        <v>624</v>
      </c>
      <c r="C630" s="59" t="n">
        <v>31</v>
      </c>
      <c r="D630" s="59" t="s">
        <v>174</v>
      </c>
      <c r="E630" s="125" t="n">
        <f aca="false">E629+C629</f>
        <v>55488</v>
      </c>
      <c r="F630" s="425" t="n">
        <f aca="false">F582</f>
        <v>23</v>
      </c>
      <c r="G630" s="433" t="n">
        <f aca="false">C630-F630</f>
        <v>8</v>
      </c>
      <c r="H630" s="433" t="n">
        <f aca="false">SUM(F619:G630)</f>
        <v>365</v>
      </c>
      <c r="I630" s="433"/>
    </row>
    <row r="631" customFormat="false" ht="16.5" hidden="false" customHeight="false" outlineLevel="0" collapsed="false">
      <c r="A631" s="59" t="n">
        <f aca="false">A630+1</f>
        <v>625</v>
      </c>
      <c r="C631" s="59" t="n">
        <v>31</v>
      </c>
      <c r="D631" s="59" t="s">
        <v>164</v>
      </c>
      <c r="E631" s="125" t="n">
        <f aca="false">E630+C630</f>
        <v>55519</v>
      </c>
      <c r="F631" s="425" t="n">
        <f aca="false">F583</f>
        <v>22</v>
      </c>
      <c r="G631" s="433" t="n">
        <f aca="false">C631-F631</f>
        <v>9</v>
      </c>
      <c r="H631" s="433"/>
      <c r="I631" s="433"/>
    </row>
    <row r="632" customFormat="false" ht="16.5" hidden="false" customHeight="false" outlineLevel="0" collapsed="false">
      <c r="A632" s="59" t="n">
        <f aca="false">A631+1</f>
        <v>626</v>
      </c>
      <c r="C632" s="496" t="n">
        <v>29</v>
      </c>
      <c r="D632" s="497" t="s">
        <v>165</v>
      </c>
      <c r="E632" s="125" t="n">
        <f aca="false">E631+C631</f>
        <v>55550</v>
      </c>
      <c r="F632" s="425" t="n">
        <f aca="false">F584</f>
        <v>20</v>
      </c>
      <c r="G632" s="433" t="n">
        <f aca="false">C632-F632</f>
        <v>9</v>
      </c>
      <c r="H632" s="433"/>
      <c r="I632" s="433"/>
    </row>
    <row r="633" customFormat="false" ht="16.5" hidden="false" customHeight="false" outlineLevel="0" collapsed="false">
      <c r="A633" s="59" t="n">
        <f aca="false">A632+1</f>
        <v>627</v>
      </c>
      <c r="C633" s="59" t="n">
        <v>31</v>
      </c>
      <c r="D633" s="59" t="s">
        <v>166</v>
      </c>
      <c r="E633" s="125" t="n">
        <f aca="false">E632+C632</f>
        <v>55579</v>
      </c>
      <c r="F633" s="425" t="n">
        <f aca="false">F585</f>
        <v>23</v>
      </c>
      <c r="G633" s="433" t="n">
        <f aca="false">C633-F633</f>
        <v>8</v>
      </c>
      <c r="H633" s="433"/>
      <c r="I633" s="433"/>
    </row>
    <row r="634" customFormat="false" ht="16.5" hidden="false" customHeight="false" outlineLevel="0" collapsed="false">
      <c r="A634" s="59" t="n">
        <f aca="false">A633+1</f>
        <v>628</v>
      </c>
      <c r="C634" s="59" t="n">
        <v>30</v>
      </c>
      <c r="D634" s="59" t="s">
        <v>167</v>
      </c>
      <c r="E634" s="125" t="n">
        <f aca="false">E633+C633</f>
        <v>55610</v>
      </c>
      <c r="F634" s="425" t="n">
        <f aca="false">F586</f>
        <v>22</v>
      </c>
      <c r="G634" s="433" t="n">
        <f aca="false">C634-F634</f>
        <v>8</v>
      </c>
      <c r="H634" s="433"/>
      <c r="I634" s="433"/>
    </row>
    <row r="635" customFormat="false" ht="16.5" hidden="false" customHeight="false" outlineLevel="0" collapsed="false">
      <c r="A635" s="59" t="n">
        <f aca="false">A634+1</f>
        <v>629</v>
      </c>
      <c r="C635" s="59" t="n">
        <v>31</v>
      </c>
      <c r="D635" s="59" t="s">
        <v>29</v>
      </c>
      <c r="E635" s="125" t="n">
        <f aca="false">E634+C634</f>
        <v>55640</v>
      </c>
      <c r="F635" s="425" t="n">
        <f aca="false">F587</f>
        <v>21</v>
      </c>
      <c r="G635" s="433" t="n">
        <f aca="false">C635-F635</f>
        <v>10</v>
      </c>
      <c r="H635" s="433"/>
      <c r="I635" s="433"/>
    </row>
    <row r="636" customFormat="false" ht="16.5" hidden="false" customHeight="false" outlineLevel="0" collapsed="false">
      <c r="A636" s="59" t="n">
        <f aca="false">A635+1</f>
        <v>630</v>
      </c>
      <c r="C636" s="59" t="n">
        <v>30</v>
      </c>
      <c r="D636" s="59" t="s">
        <v>168</v>
      </c>
      <c r="E636" s="125" t="n">
        <f aca="false">E635+C635</f>
        <v>55671</v>
      </c>
      <c r="F636" s="425" t="n">
        <f aca="false">F588</f>
        <v>22</v>
      </c>
      <c r="G636" s="433" t="n">
        <f aca="false">C636-F636</f>
        <v>8</v>
      </c>
      <c r="H636" s="433"/>
      <c r="I636" s="433"/>
    </row>
    <row r="637" customFormat="false" ht="16.5" hidden="false" customHeight="false" outlineLevel="0" collapsed="false">
      <c r="A637" s="59" t="n">
        <f aca="false">A636+1</f>
        <v>631</v>
      </c>
      <c r="C637" s="59" t="n">
        <v>31</v>
      </c>
      <c r="D637" s="59" t="s">
        <v>169</v>
      </c>
      <c r="E637" s="125" t="n">
        <f aca="false">E636+C636</f>
        <v>55701</v>
      </c>
      <c r="F637" s="425" t="n">
        <f aca="false">F589</f>
        <v>22</v>
      </c>
      <c r="G637" s="433" t="n">
        <f aca="false">C637-F637</f>
        <v>9</v>
      </c>
      <c r="H637" s="433"/>
      <c r="I637" s="433"/>
    </row>
    <row r="638" customFormat="false" ht="16.5" hidden="false" customHeight="false" outlineLevel="0" collapsed="false">
      <c r="A638" s="59" t="n">
        <f aca="false">A637+1</f>
        <v>632</v>
      </c>
      <c r="C638" s="59" t="n">
        <v>31</v>
      </c>
      <c r="D638" s="59" t="s">
        <v>170</v>
      </c>
      <c r="E638" s="125" t="n">
        <f aca="false">E637+C637</f>
        <v>55732</v>
      </c>
      <c r="F638" s="425" t="n">
        <f aca="false">F590</f>
        <v>22</v>
      </c>
      <c r="G638" s="433" t="n">
        <f aca="false">C638-F638</f>
        <v>9</v>
      </c>
      <c r="H638" s="433"/>
      <c r="I638" s="433"/>
    </row>
    <row r="639" customFormat="false" ht="16.5" hidden="false" customHeight="false" outlineLevel="0" collapsed="false">
      <c r="A639" s="59" t="n">
        <f aca="false">A638+1</f>
        <v>633</v>
      </c>
      <c r="C639" s="59" t="n">
        <v>30</v>
      </c>
      <c r="D639" s="59" t="s">
        <v>171</v>
      </c>
      <c r="E639" s="125" t="n">
        <f aca="false">E638+C638</f>
        <v>55763</v>
      </c>
      <c r="F639" s="425" t="n">
        <f aca="false">F591</f>
        <v>22</v>
      </c>
      <c r="G639" s="433" t="n">
        <f aca="false">C639-F639</f>
        <v>8</v>
      </c>
      <c r="H639" s="433"/>
      <c r="I639" s="433"/>
    </row>
    <row r="640" customFormat="false" ht="16.5" hidden="false" customHeight="false" outlineLevel="0" collapsed="false">
      <c r="A640" s="59" t="n">
        <f aca="false">A639+1</f>
        <v>634</v>
      </c>
      <c r="C640" s="59" t="n">
        <v>31</v>
      </c>
      <c r="D640" s="59" t="s">
        <v>172</v>
      </c>
      <c r="E640" s="125" t="n">
        <f aca="false">E639+C639</f>
        <v>55793</v>
      </c>
      <c r="F640" s="425" t="n">
        <f aca="false">F592</f>
        <v>21</v>
      </c>
      <c r="G640" s="433" t="n">
        <f aca="false">C640-F640</f>
        <v>10</v>
      </c>
      <c r="H640" s="433"/>
      <c r="I640" s="433"/>
    </row>
    <row r="641" customFormat="false" ht="16.5" hidden="false" customHeight="false" outlineLevel="0" collapsed="false">
      <c r="A641" s="59" t="n">
        <f aca="false">A640+1</f>
        <v>635</v>
      </c>
      <c r="C641" s="59" t="n">
        <v>30</v>
      </c>
      <c r="D641" s="59" t="s">
        <v>173</v>
      </c>
      <c r="E641" s="125" t="n">
        <f aca="false">E640+C640</f>
        <v>55824</v>
      </c>
      <c r="F641" s="425" t="n">
        <f aca="false">F593</f>
        <v>22</v>
      </c>
      <c r="G641" s="433" t="n">
        <f aca="false">C641-F641</f>
        <v>8</v>
      </c>
      <c r="H641" s="433"/>
      <c r="I641" s="433"/>
    </row>
    <row r="642" customFormat="false" ht="16.5" hidden="false" customHeight="false" outlineLevel="0" collapsed="false">
      <c r="A642" s="59" t="n">
        <f aca="false">A641+1</f>
        <v>636</v>
      </c>
      <c r="C642" s="59" t="n">
        <v>31</v>
      </c>
      <c r="D642" s="59" t="s">
        <v>174</v>
      </c>
      <c r="E642" s="125" t="n">
        <f aca="false">E641+C641</f>
        <v>55854</v>
      </c>
      <c r="F642" s="425" t="n">
        <f aca="false">F594</f>
        <v>23</v>
      </c>
      <c r="G642" s="433" t="n">
        <f aca="false">C642-F642</f>
        <v>8</v>
      </c>
      <c r="H642" s="433" t="n">
        <f aca="false">SUM(F631:G642)</f>
        <v>366</v>
      </c>
      <c r="I642" s="433"/>
    </row>
    <row r="643" customFormat="false" ht="16.5" hidden="false" customHeight="false" outlineLevel="0" collapsed="false">
      <c r="A643" s="59" t="n">
        <f aca="false">A642+1</f>
        <v>637</v>
      </c>
      <c r="C643" s="59" t="n">
        <v>31</v>
      </c>
      <c r="D643" s="59" t="s">
        <v>164</v>
      </c>
      <c r="E643" s="125" t="n">
        <f aca="false">E642+C642</f>
        <v>55885</v>
      </c>
      <c r="F643" s="425" t="n">
        <f aca="false">F595</f>
        <v>23</v>
      </c>
      <c r="G643" s="433" t="n">
        <f aca="false">C643-F643</f>
        <v>8</v>
      </c>
      <c r="H643" s="433"/>
      <c r="I643" s="433"/>
    </row>
    <row r="644" customFormat="false" ht="16.5" hidden="false" customHeight="false" outlineLevel="0" collapsed="false">
      <c r="A644" s="59" t="n">
        <f aca="false">A643+1</f>
        <v>638</v>
      </c>
      <c r="C644" s="59" t="n">
        <v>28</v>
      </c>
      <c r="D644" s="59" t="s">
        <v>165</v>
      </c>
      <c r="E644" s="125" t="n">
        <f aca="false">E643+C643</f>
        <v>55916</v>
      </c>
      <c r="F644" s="425" t="n">
        <f aca="false">F596</f>
        <v>20</v>
      </c>
      <c r="G644" s="433" t="n">
        <f aca="false">C644-F644</f>
        <v>8</v>
      </c>
      <c r="H644" s="433"/>
      <c r="I644" s="433"/>
    </row>
    <row r="645" customFormat="false" ht="16.5" hidden="false" customHeight="false" outlineLevel="0" collapsed="false">
      <c r="A645" s="59" t="n">
        <f aca="false">A644+1</f>
        <v>639</v>
      </c>
      <c r="C645" s="59" t="n">
        <v>31</v>
      </c>
      <c r="D645" s="59" t="s">
        <v>166</v>
      </c>
      <c r="E645" s="125" t="n">
        <f aca="false">E644+C644</f>
        <v>55944</v>
      </c>
      <c r="F645" s="425" t="n">
        <f aca="false">F597</f>
        <v>22</v>
      </c>
      <c r="G645" s="433" t="n">
        <f aca="false">C645-F645</f>
        <v>9</v>
      </c>
      <c r="H645" s="433"/>
      <c r="I645" s="433"/>
    </row>
    <row r="646" customFormat="false" ht="16.5" hidden="false" customHeight="false" outlineLevel="0" collapsed="false">
      <c r="A646" s="59" t="n">
        <f aca="false">A645+1</f>
        <v>640</v>
      </c>
      <c r="C646" s="59" t="n">
        <v>30</v>
      </c>
      <c r="D646" s="59" t="s">
        <v>167</v>
      </c>
      <c r="E646" s="125" t="n">
        <f aca="false">E645+C645</f>
        <v>55975</v>
      </c>
      <c r="F646" s="425" t="n">
        <f aca="false">F598</f>
        <v>21</v>
      </c>
      <c r="G646" s="433" t="n">
        <f aca="false">C646-F646</f>
        <v>9</v>
      </c>
      <c r="H646" s="433"/>
      <c r="I646" s="433"/>
    </row>
    <row r="647" customFormat="false" ht="16.5" hidden="false" customHeight="false" outlineLevel="0" collapsed="false">
      <c r="A647" s="59" t="n">
        <f aca="false">A646+1</f>
        <v>641</v>
      </c>
      <c r="C647" s="59" t="n">
        <v>31</v>
      </c>
      <c r="D647" s="59" t="s">
        <v>29</v>
      </c>
      <c r="E647" s="125" t="n">
        <f aca="false">E646+C646</f>
        <v>56005</v>
      </c>
      <c r="F647" s="425" t="n">
        <f aca="false">F599</f>
        <v>23</v>
      </c>
      <c r="G647" s="433" t="n">
        <f aca="false">C647-F647</f>
        <v>8</v>
      </c>
      <c r="H647" s="433"/>
      <c r="I647" s="433"/>
    </row>
    <row r="648" customFormat="false" ht="16.5" hidden="false" customHeight="false" outlineLevel="0" collapsed="false">
      <c r="A648" s="59" t="n">
        <f aca="false">A647+1</f>
        <v>642</v>
      </c>
      <c r="C648" s="59" t="n">
        <v>30</v>
      </c>
      <c r="D648" s="59" t="s">
        <v>168</v>
      </c>
      <c r="E648" s="125" t="n">
        <f aca="false">E647+C647</f>
        <v>56036</v>
      </c>
      <c r="F648" s="425" t="n">
        <f aca="false">F600</f>
        <v>21</v>
      </c>
      <c r="G648" s="433" t="n">
        <f aca="false">C648-F648</f>
        <v>9</v>
      </c>
      <c r="H648" s="433"/>
      <c r="I648" s="433"/>
    </row>
    <row r="649" customFormat="false" ht="16.5" hidden="false" customHeight="false" outlineLevel="0" collapsed="false">
      <c r="A649" s="59" t="n">
        <f aca="false">A648+1</f>
        <v>643</v>
      </c>
      <c r="C649" s="59" t="n">
        <v>31</v>
      </c>
      <c r="D649" s="59" t="s">
        <v>169</v>
      </c>
      <c r="E649" s="125" t="n">
        <f aca="false">E648+C648</f>
        <v>56066</v>
      </c>
      <c r="F649" s="425" t="n">
        <f aca="false">F601</f>
        <v>22</v>
      </c>
      <c r="G649" s="433" t="n">
        <f aca="false">C649-F649</f>
        <v>9</v>
      </c>
      <c r="H649" s="433"/>
      <c r="I649" s="433"/>
    </row>
    <row r="650" customFormat="false" ht="16.5" hidden="false" customHeight="false" outlineLevel="0" collapsed="false">
      <c r="A650" s="59" t="n">
        <f aca="false">A649+1</f>
        <v>644</v>
      </c>
      <c r="C650" s="59" t="n">
        <v>31</v>
      </c>
      <c r="D650" s="59" t="s">
        <v>170</v>
      </c>
      <c r="E650" s="125" t="n">
        <f aca="false">E649+C649</f>
        <v>56097</v>
      </c>
      <c r="F650" s="425" t="n">
        <f aca="false">F602</f>
        <v>23</v>
      </c>
      <c r="G650" s="433" t="n">
        <f aca="false">C650-F650</f>
        <v>8</v>
      </c>
      <c r="H650" s="433"/>
      <c r="I650" s="433"/>
    </row>
    <row r="651" customFormat="false" ht="16.5" hidden="false" customHeight="false" outlineLevel="0" collapsed="false">
      <c r="A651" s="59" t="n">
        <f aca="false">A650+1</f>
        <v>645</v>
      </c>
      <c r="C651" s="59" t="n">
        <v>30</v>
      </c>
      <c r="D651" s="59" t="s">
        <v>171</v>
      </c>
      <c r="E651" s="125" t="n">
        <f aca="false">E650+C650</f>
        <v>56128</v>
      </c>
      <c r="F651" s="425" t="n">
        <f aca="false">F603</f>
        <v>20</v>
      </c>
      <c r="G651" s="433" t="n">
        <f aca="false">C651-F651</f>
        <v>10</v>
      </c>
      <c r="H651" s="433"/>
      <c r="I651" s="433"/>
    </row>
    <row r="652" customFormat="false" ht="16.5" hidden="false" customHeight="false" outlineLevel="0" collapsed="false">
      <c r="A652" s="59" t="n">
        <f aca="false">A651+1</f>
        <v>646</v>
      </c>
      <c r="C652" s="59" t="n">
        <v>31</v>
      </c>
      <c r="D652" s="59" t="s">
        <v>172</v>
      </c>
      <c r="E652" s="125" t="n">
        <f aca="false">E651+C651</f>
        <v>56158</v>
      </c>
      <c r="F652" s="425" t="n">
        <f aca="false">F604</f>
        <v>23</v>
      </c>
      <c r="G652" s="433" t="n">
        <f aca="false">C652-F652</f>
        <v>8</v>
      </c>
      <c r="H652" s="433"/>
      <c r="I652" s="433"/>
    </row>
    <row r="653" customFormat="false" ht="16.5" hidden="false" customHeight="false" outlineLevel="0" collapsed="false">
      <c r="A653" s="59" t="n">
        <f aca="false">A652+1</f>
        <v>647</v>
      </c>
      <c r="C653" s="59" t="n">
        <v>30</v>
      </c>
      <c r="D653" s="59" t="s">
        <v>173</v>
      </c>
      <c r="E653" s="125" t="n">
        <f aca="false">E652+C652</f>
        <v>56189</v>
      </c>
      <c r="F653" s="425" t="n">
        <f aca="false">F605</f>
        <v>22</v>
      </c>
      <c r="G653" s="433" t="n">
        <f aca="false">C653-F653</f>
        <v>8</v>
      </c>
      <c r="H653" s="433"/>
      <c r="I653" s="433"/>
    </row>
    <row r="654" customFormat="false" ht="16.5" hidden="false" customHeight="false" outlineLevel="0" collapsed="false">
      <c r="A654" s="59" t="n">
        <f aca="false">A653+1</f>
        <v>648</v>
      </c>
      <c r="C654" s="59" t="n">
        <v>31</v>
      </c>
      <c r="D654" s="59" t="s">
        <v>174</v>
      </c>
      <c r="E654" s="125" t="n">
        <f aca="false">E653+C653</f>
        <v>56219</v>
      </c>
      <c r="F654" s="425" t="n">
        <f aca="false">F606</f>
        <v>21</v>
      </c>
      <c r="G654" s="433" t="n">
        <f aca="false">C654-F654</f>
        <v>10</v>
      </c>
      <c r="H654" s="433" t="n">
        <f aca="false">SUM(F643:G654)</f>
        <v>365</v>
      </c>
      <c r="I654" s="433"/>
    </row>
    <row r="655" customFormat="false" ht="16.5" hidden="false" customHeight="false" outlineLevel="0" collapsed="false">
      <c r="A655" s="59" t="n">
        <f aca="false">A654+1</f>
        <v>649</v>
      </c>
      <c r="C655" s="59" t="n">
        <v>31</v>
      </c>
      <c r="D655" s="59" t="s">
        <v>164</v>
      </c>
      <c r="E655" s="125" t="n">
        <f aca="false">E654+C654</f>
        <v>56250</v>
      </c>
      <c r="F655" s="425" t="n">
        <f aca="false">F607</f>
        <v>23</v>
      </c>
      <c r="G655" s="433" t="n">
        <f aca="false">C655-F655</f>
        <v>8</v>
      </c>
      <c r="H655" s="433"/>
      <c r="I655" s="433"/>
    </row>
    <row r="656" customFormat="false" ht="16.5" hidden="false" customHeight="false" outlineLevel="0" collapsed="false">
      <c r="A656" s="59" t="n">
        <f aca="false">A655+1</f>
        <v>650</v>
      </c>
      <c r="C656" s="59" t="n">
        <v>28</v>
      </c>
      <c r="D656" s="59" t="s">
        <v>165</v>
      </c>
      <c r="E656" s="125" t="n">
        <f aca="false">E655+C655</f>
        <v>56281</v>
      </c>
      <c r="F656" s="425" t="n">
        <f aca="false">F608</f>
        <v>20</v>
      </c>
      <c r="G656" s="433" t="n">
        <f aca="false">C656-F656</f>
        <v>8</v>
      </c>
      <c r="H656" s="433"/>
      <c r="I656" s="433"/>
    </row>
    <row r="657" customFormat="false" ht="16.5" hidden="false" customHeight="false" outlineLevel="0" collapsed="false">
      <c r="A657" s="59" t="n">
        <f aca="false">A656+1</f>
        <v>651</v>
      </c>
      <c r="C657" s="59" t="n">
        <v>31</v>
      </c>
      <c r="D657" s="59" t="s">
        <v>166</v>
      </c>
      <c r="E657" s="125" t="n">
        <f aca="false">E656+C656</f>
        <v>56309</v>
      </c>
      <c r="F657" s="425" t="n">
        <f aca="false">F609</f>
        <v>21</v>
      </c>
      <c r="G657" s="433" t="n">
        <f aca="false">C657-F657</f>
        <v>10</v>
      </c>
      <c r="H657" s="433"/>
      <c r="I657" s="433"/>
    </row>
    <row r="658" customFormat="false" ht="16.5" hidden="false" customHeight="false" outlineLevel="0" collapsed="false">
      <c r="A658" s="59" t="n">
        <f aca="false">A657+1</f>
        <v>652</v>
      </c>
      <c r="C658" s="59" t="n">
        <v>30</v>
      </c>
      <c r="D658" s="59" t="s">
        <v>167</v>
      </c>
      <c r="E658" s="125" t="n">
        <f aca="false">E657+C657</f>
        <v>56340</v>
      </c>
      <c r="F658" s="425" t="n">
        <f aca="false">F610</f>
        <v>22</v>
      </c>
      <c r="G658" s="433" t="n">
        <f aca="false">C658-F658</f>
        <v>8</v>
      </c>
      <c r="H658" s="433"/>
      <c r="I658" s="433"/>
    </row>
    <row r="659" customFormat="false" ht="16.5" hidden="false" customHeight="false" outlineLevel="0" collapsed="false">
      <c r="A659" s="59" t="n">
        <f aca="false">A658+1</f>
        <v>653</v>
      </c>
      <c r="C659" s="59" t="n">
        <v>31</v>
      </c>
      <c r="D659" s="59" t="s">
        <v>29</v>
      </c>
      <c r="E659" s="125" t="n">
        <f aca="false">E658+C658</f>
        <v>56370</v>
      </c>
      <c r="F659" s="425" t="n">
        <f aca="false">F611</f>
        <v>23</v>
      </c>
      <c r="G659" s="433" t="n">
        <f aca="false">C659-F659</f>
        <v>8</v>
      </c>
      <c r="H659" s="433"/>
      <c r="I659" s="433"/>
    </row>
    <row r="660" customFormat="false" ht="16.5" hidden="false" customHeight="false" outlineLevel="0" collapsed="false">
      <c r="A660" s="59" t="n">
        <f aca="false">A659+1</f>
        <v>654</v>
      </c>
      <c r="C660" s="59" t="n">
        <v>30</v>
      </c>
      <c r="D660" s="59" t="s">
        <v>168</v>
      </c>
      <c r="E660" s="125" t="n">
        <f aca="false">E659+C659</f>
        <v>56401</v>
      </c>
      <c r="F660" s="425" t="n">
        <f aca="false">F612</f>
        <v>20</v>
      </c>
      <c r="G660" s="433" t="n">
        <f aca="false">C660-F660</f>
        <v>10</v>
      </c>
      <c r="H660" s="433"/>
      <c r="I660" s="433"/>
    </row>
    <row r="661" customFormat="false" ht="16.5" hidden="false" customHeight="false" outlineLevel="0" collapsed="false">
      <c r="A661" s="59" t="n">
        <f aca="false">A660+1</f>
        <v>655</v>
      </c>
      <c r="C661" s="59" t="n">
        <v>31</v>
      </c>
      <c r="D661" s="59" t="s">
        <v>169</v>
      </c>
      <c r="E661" s="125" t="n">
        <f aca="false">E660+C660</f>
        <v>56431</v>
      </c>
      <c r="F661" s="425" t="n">
        <f aca="false">F613</f>
        <v>23</v>
      </c>
      <c r="G661" s="433" t="n">
        <f aca="false">C661-F661</f>
        <v>8</v>
      </c>
      <c r="H661" s="433"/>
      <c r="I661" s="433"/>
    </row>
    <row r="662" customFormat="false" ht="16.5" hidden="false" customHeight="false" outlineLevel="0" collapsed="false">
      <c r="A662" s="59" t="n">
        <f aca="false">A661+1</f>
        <v>656</v>
      </c>
      <c r="C662" s="59" t="n">
        <v>31</v>
      </c>
      <c r="D662" s="59" t="s">
        <v>170</v>
      </c>
      <c r="E662" s="125" t="n">
        <f aca="false">E661+C661</f>
        <v>56462</v>
      </c>
      <c r="F662" s="425" t="n">
        <f aca="false">F614</f>
        <v>22</v>
      </c>
      <c r="G662" s="433" t="n">
        <f aca="false">C662-F662</f>
        <v>9</v>
      </c>
      <c r="H662" s="433"/>
      <c r="I662" s="433"/>
    </row>
    <row r="663" customFormat="false" ht="16.5" hidden="false" customHeight="false" outlineLevel="0" collapsed="false">
      <c r="A663" s="59" t="n">
        <f aca="false">A662+1</f>
        <v>657</v>
      </c>
      <c r="C663" s="59" t="n">
        <v>30</v>
      </c>
      <c r="D663" s="59" t="s">
        <v>171</v>
      </c>
      <c r="E663" s="125" t="n">
        <f aca="false">E662+C662</f>
        <v>56493</v>
      </c>
      <c r="F663" s="425" t="n">
        <f aca="false">F615</f>
        <v>21</v>
      </c>
      <c r="G663" s="433" t="n">
        <f aca="false">C663-F663</f>
        <v>9</v>
      </c>
      <c r="H663" s="433"/>
      <c r="I663" s="433"/>
    </row>
    <row r="664" customFormat="false" ht="16.5" hidden="false" customHeight="false" outlineLevel="0" collapsed="false">
      <c r="A664" s="59" t="n">
        <f aca="false">A663+1</f>
        <v>658</v>
      </c>
      <c r="C664" s="59" t="n">
        <v>31</v>
      </c>
      <c r="D664" s="59" t="s">
        <v>172</v>
      </c>
      <c r="E664" s="125" t="n">
        <f aca="false">E663+C663</f>
        <v>56523</v>
      </c>
      <c r="F664" s="425" t="n">
        <f aca="false">F616</f>
        <v>23</v>
      </c>
      <c r="G664" s="433" t="n">
        <f aca="false">C664-F664</f>
        <v>8</v>
      </c>
      <c r="H664" s="433"/>
      <c r="I664" s="433"/>
    </row>
    <row r="665" customFormat="false" ht="16.5" hidden="false" customHeight="false" outlineLevel="0" collapsed="false">
      <c r="A665" s="59" t="n">
        <f aca="false">A664+1</f>
        <v>659</v>
      </c>
      <c r="C665" s="59" t="n">
        <v>30</v>
      </c>
      <c r="D665" s="59" t="s">
        <v>173</v>
      </c>
      <c r="E665" s="125" t="n">
        <f aca="false">E664+C664</f>
        <v>56554</v>
      </c>
      <c r="F665" s="425" t="n">
        <f aca="false">F617</f>
        <v>21</v>
      </c>
      <c r="G665" s="433" t="n">
        <f aca="false">C665-F665</f>
        <v>9</v>
      </c>
      <c r="H665" s="433"/>
      <c r="I665" s="433"/>
    </row>
    <row r="666" customFormat="false" ht="16.5" hidden="false" customHeight="false" outlineLevel="0" collapsed="false">
      <c r="A666" s="59" t="n">
        <f aca="false">A665+1</f>
        <v>660</v>
      </c>
      <c r="C666" s="59" t="n">
        <v>31</v>
      </c>
      <c r="D666" s="59" t="s">
        <v>174</v>
      </c>
      <c r="E666" s="125" t="n">
        <f aca="false">E665+C665</f>
        <v>56584</v>
      </c>
      <c r="F666" s="425" t="n">
        <f aca="false">F618</f>
        <v>22</v>
      </c>
      <c r="G666" s="433" t="n">
        <f aca="false">C666-F666</f>
        <v>9</v>
      </c>
      <c r="H666" s="433" t="n">
        <f aca="false">SUM(F655:G666)</f>
        <v>365</v>
      </c>
      <c r="I666" s="433"/>
    </row>
    <row r="667" customFormat="false" ht="16.5" hidden="false" customHeight="false" outlineLevel="0" collapsed="false">
      <c r="A667" s="59" t="n">
        <f aca="false">A666+1</f>
        <v>661</v>
      </c>
      <c r="C667" s="59" t="n">
        <v>31</v>
      </c>
      <c r="D667" s="59" t="s">
        <v>164</v>
      </c>
      <c r="E667" s="125" t="n">
        <f aca="false">E666+C666</f>
        <v>56615</v>
      </c>
      <c r="F667" s="425" t="n">
        <f aca="false">F619</f>
        <v>23</v>
      </c>
      <c r="G667" s="433" t="n">
        <f aca="false">C667-F667</f>
        <v>8</v>
      </c>
      <c r="H667" s="433"/>
      <c r="I667" s="433"/>
    </row>
    <row r="668" customFormat="false" ht="16.5" hidden="false" customHeight="false" outlineLevel="0" collapsed="false">
      <c r="A668" s="59" t="n">
        <f aca="false">A667+1</f>
        <v>662</v>
      </c>
      <c r="C668" s="59" t="n">
        <v>28</v>
      </c>
      <c r="D668" s="59" t="s">
        <v>165</v>
      </c>
      <c r="E668" s="125" t="n">
        <f aca="false">E667+C667</f>
        <v>56646</v>
      </c>
      <c r="F668" s="425" t="n">
        <f aca="false">F620</f>
        <v>20</v>
      </c>
      <c r="G668" s="433" t="n">
        <f aca="false">C668-F668</f>
        <v>8</v>
      </c>
      <c r="H668" s="433"/>
      <c r="I668" s="433"/>
    </row>
    <row r="669" customFormat="false" ht="16.5" hidden="false" customHeight="false" outlineLevel="0" collapsed="false">
      <c r="A669" s="59" t="n">
        <f aca="false">A668+1</f>
        <v>663</v>
      </c>
      <c r="C669" s="59" t="n">
        <v>31</v>
      </c>
      <c r="D669" s="59" t="s">
        <v>166</v>
      </c>
      <c r="E669" s="125" t="n">
        <f aca="false">E668+C668</f>
        <v>56674</v>
      </c>
      <c r="F669" s="425" t="n">
        <f aca="false">F621</f>
        <v>21</v>
      </c>
      <c r="G669" s="433" t="n">
        <f aca="false">C669-F669</f>
        <v>10</v>
      </c>
      <c r="H669" s="433"/>
      <c r="I669" s="433"/>
    </row>
    <row r="670" customFormat="false" ht="16.5" hidden="false" customHeight="false" outlineLevel="0" collapsed="false">
      <c r="A670" s="59" t="n">
        <f aca="false">A669+1</f>
        <v>664</v>
      </c>
      <c r="C670" s="59" t="n">
        <v>30</v>
      </c>
      <c r="D670" s="59" t="s">
        <v>167</v>
      </c>
      <c r="E670" s="125" t="n">
        <f aca="false">E669+C669</f>
        <v>56705</v>
      </c>
      <c r="F670" s="425" t="n">
        <f aca="false">F622</f>
        <v>22</v>
      </c>
      <c r="G670" s="433" t="n">
        <f aca="false">C670-F670</f>
        <v>8</v>
      </c>
      <c r="H670" s="433"/>
      <c r="I670" s="433"/>
    </row>
    <row r="671" customFormat="false" ht="16.5" hidden="false" customHeight="false" outlineLevel="0" collapsed="false">
      <c r="A671" s="59" t="n">
        <f aca="false">A670+1</f>
        <v>665</v>
      </c>
      <c r="C671" s="59" t="n">
        <v>31</v>
      </c>
      <c r="D671" s="59" t="s">
        <v>29</v>
      </c>
      <c r="E671" s="125" t="n">
        <f aca="false">E670+C670</f>
        <v>56735</v>
      </c>
      <c r="F671" s="425" t="n">
        <f aca="false">F623</f>
        <v>22</v>
      </c>
      <c r="G671" s="433" t="n">
        <f aca="false">C671-F671</f>
        <v>9</v>
      </c>
      <c r="H671" s="433"/>
      <c r="I671" s="433"/>
    </row>
    <row r="672" customFormat="false" ht="16.5" hidden="false" customHeight="false" outlineLevel="0" collapsed="false">
      <c r="A672" s="59" t="n">
        <f aca="false">A671+1</f>
        <v>666</v>
      </c>
      <c r="C672" s="59" t="n">
        <v>30</v>
      </c>
      <c r="D672" s="59" t="s">
        <v>168</v>
      </c>
      <c r="E672" s="125" t="n">
        <f aca="false">E671+C671</f>
        <v>56766</v>
      </c>
      <c r="F672" s="425" t="n">
        <f aca="false">F624</f>
        <v>21</v>
      </c>
      <c r="G672" s="433" t="n">
        <f aca="false">C672-F672</f>
        <v>9</v>
      </c>
      <c r="H672" s="433"/>
      <c r="I672" s="433"/>
    </row>
    <row r="673" customFormat="false" ht="16.5" hidden="false" customHeight="false" outlineLevel="0" collapsed="false">
      <c r="A673" s="59" t="n">
        <f aca="false">A672+1</f>
        <v>667</v>
      </c>
      <c r="C673" s="59" t="n">
        <v>31</v>
      </c>
      <c r="D673" s="59" t="s">
        <v>169</v>
      </c>
      <c r="E673" s="125" t="n">
        <f aca="false">E672+C672</f>
        <v>56796</v>
      </c>
      <c r="F673" s="425" t="n">
        <f aca="false">F625</f>
        <v>23</v>
      </c>
      <c r="G673" s="433" t="n">
        <f aca="false">C673-F673</f>
        <v>8</v>
      </c>
      <c r="H673" s="433"/>
      <c r="I673" s="433"/>
    </row>
    <row r="674" customFormat="false" ht="16.5" hidden="false" customHeight="false" outlineLevel="0" collapsed="false">
      <c r="A674" s="59" t="n">
        <f aca="false">A673+1</f>
        <v>668</v>
      </c>
      <c r="C674" s="59" t="n">
        <v>31</v>
      </c>
      <c r="D674" s="59" t="s">
        <v>170</v>
      </c>
      <c r="E674" s="125" t="n">
        <f aca="false">E673+C673</f>
        <v>56827</v>
      </c>
      <c r="F674" s="425" t="n">
        <f aca="false">F626</f>
        <v>21</v>
      </c>
      <c r="G674" s="433" t="n">
        <f aca="false">C674-F674</f>
        <v>10</v>
      </c>
      <c r="H674" s="433"/>
      <c r="I674" s="433"/>
    </row>
    <row r="675" customFormat="false" ht="16.5" hidden="false" customHeight="false" outlineLevel="0" collapsed="false">
      <c r="A675" s="59" t="n">
        <f aca="false">A674+1</f>
        <v>669</v>
      </c>
      <c r="C675" s="59" t="n">
        <v>30</v>
      </c>
      <c r="D675" s="59" t="s">
        <v>171</v>
      </c>
      <c r="E675" s="125" t="n">
        <f aca="false">E674+C674</f>
        <v>56858</v>
      </c>
      <c r="F675" s="425" t="n">
        <f aca="false">F627</f>
        <v>22</v>
      </c>
      <c r="G675" s="433" t="n">
        <f aca="false">C675-F675</f>
        <v>8</v>
      </c>
      <c r="H675" s="433"/>
      <c r="I675" s="433"/>
    </row>
    <row r="676" customFormat="false" ht="16.5" hidden="false" customHeight="false" outlineLevel="0" collapsed="false">
      <c r="A676" s="59" t="n">
        <f aca="false">A675+1</f>
        <v>670</v>
      </c>
      <c r="C676" s="59" t="n">
        <v>31</v>
      </c>
      <c r="D676" s="59" t="s">
        <v>172</v>
      </c>
      <c r="E676" s="125" t="n">
        <f aca="false">E675+C675</f>
        <v>56888</v>
      </c>
      <c r="F676" s="425" t="n">
        <f aca="false">F628</f>
        <v>23</v>
      </c>
      <c r="G676" s="433" t="n">
        <f aca="false">C676-F676</f>
        <v>8</v>
      </c>
      <c r="H676" s="433"/>
      <c r="I676" s="433"/>
    </row>
    <row r="677" customFormat="false" ht="16.5" hidden="false" customHeight="false" outlineLevel="0" collapsed="false">
      <c r="A677" s="59" t="n">
        <f aca="false">A676+1</f>
        <v>671</v>
      </c>
      <c r="C677" s="59" t="n">
        <v>30</v>
      </c>
      <c r="D677" s="59" t="s">
        <v>173</v>
      </c>
      <c r="E677" s="125" t="n">
        <f aca="false">E676+C676</f>
        <v>56919</v>
      </c>
      <c r="F677" s="425" t="n">
        <f aca="false">F629</f>
        <v>20</v>
      </c>
      <c r="G677" s="433" t="n">
        <f aca="false">C677-F677</f>
        <v>10</v>
      </c>
      <c r="H677" s="433"/>
      <c r="I677" s="433"/>
    </row>
    <row r="678" customFormat="false" ht="16.5" hidden="false" customHeight="false" outlineLevel="0" collapsed="false">
      <c r="A678" s="59" t="n">
        <f aca="false">A677+1</f>
        <v>672</v>
      </c>
      <c r="C678" s="59" t="n">
        <v>31</v>
      </c>
      <c r="D678" s="59" t="s">
        <v>174</v>
      </c>
      <c r="E678" s="125" t="n">
        <f aca="false">E677+C677</f>
        <v>56949</v>
      </c>
      <c r="F678" s="425" t="n">
        <f aca="false">F630</f>
        <v>23</v>
      </c>
      <c r="G678" s="433" t="n">
        <f aca="false">C678-F678</f>
        <v>8</v>
      </c>
      <c r="H678" s="433" t="n">
        <f aca="false">SUM(F667:G678)</f>
        <v>365</v>
      </c>
      <c r="I678" s="433"/>
    </row>
    <row r="679" customFormat="false" ht="16.5" hidden="false" customHeight="false" outlineLevel="0" collapsed="false">
      <c r="A679" s="59" t="n">
        <f aca="false">A678+1</f>
        <v>673</v>
      </c>
      <c r="C679" s="59" t="n">
        <v>31</v>
      </c>
      <c r="D679" s="59" t="s">
        <v>164</v>
      </c>
      <c r="E679" s="125" t="n">
        <f aca="false">E678+C678</f>
        <v>56980</v>
      </c>
      <c r="F679" s="425" t="n">
        <f aca="false">F631</f>
        <v>22</v>
      </c>
      <c r="G679" s="433" t="n">
        <f aca="false">C679-F679</f>
        <v>9</v>
      </c>
      <c r="H679" s="433"/>
      <c r="I679" s="433"/>
    </row>
    <row r="680" customFormat="false" ht="16.5" hidden="false" customHeight="false" outlineLevel="0" collapsed="false">
      <c r="A680" s="59" t="n">
        <f aca="false">A679+1</f>
        <v>674</v>
      </c>
      <c r="C680" s="496" t="n">
        <v>29</v>
      </c>
      <c r="D680" s="497" t="s">
        <v>165</v>
      </c>
      <c r="E680" s="125" t="n">
        <f aca="false">E679+C679</f>
        <v>57011</v>
      </c>
      <c r="F680" s="425" t="n">
        <f aca="false">F632</f>
        <v>20</v>
      </c>
      <c r="G680" s="433" t="n">
        <f aca="false">C680-F680</f>
        <v>9</v>
      </c>
      <c r="H680" s="433"/>
      <c r="I680" s="433"/>
    </row>
    <row r="681" customFormat="false" ht="16.5" hidden="false" customHeight="false" outlineLevel="0" collapsed="false">
      <c r="A681" s="59" t="n">
        <f aca="false">A680+1</f>
        <v>675</v>
      </c>
      <c r="C681" s="59" t="n">
        <v>31</v>
      </c>
      <c r="D681" s="59" t="s">
        <v>166</v>
      </c>
      <c r="E681" s="125" t="n">
        <f aca="false">E680+C680</f>
        <v>57040</v>
      </c>
      <c r="F681" s="425" t="n">
        <f aca="false">F633</f>
        <v>23</v>
      </c>
      <c r="G681" s="433" t="n">
        <f aca="false">C681-F681</f>
        <v>8</v>
      </c>
      <c r="H681" s="433"/>
      <c r="I681" s="433"/>
    </row>
    <row r="682" customFormat="false" ht="16.5" hidden="false" customHeight="false" outlineLevel="0" collapsed="false">
      <c r="A682" s="59" t="n">
        <f aca="false">A681+1</f>
        <v>676</v>
      </c>
      <c r="C682" s="59" t="n">
        <v>30</v>
      </c>
      <c r="D682" s="59" t="s">
        <v>167</v>
      </c>
      <c r="E682" s="125" t="n">
        <f aca="false">E681+C681</f>
        <v>57071</v>
      </c>
      <c r="F682" s="425" t="n">
        <f aca="false">F634</f>
        <v>22</v>
      </c>
      <c r="G682" s="433" t="n">
        <f aca="false">C682-F682</f>
        <v>8</v>
      </c>
      <c r="H682" s="433"/>
      <c r="I682" s="433"/>
    </row>
    <row r="683" customFormat="false" ht="16.5" hidden="false" customHeight="false" outlineLevel="0" collapsed="false">
      <c r="A683" s="59" t="n">
        <f aca="false">A682+1</f>
        <v>677</v>
      </c>
      <c r="C683" s="59" t="n">
        <v>31</v>
      </c>
      <c r="D683" s="59" t="s">
        <v>29</v>
      </c>
      <c r="E683" s="125" t="n">
        <f aca="false">E682+C682</f>
        <v>57101</v>
      </c>
      <c r="F683" s="425" t="n">
        <f aca="false">F635</f>
        <v>21</v>
      </c>
      <c r="G683" s="433" t="n">
        <f aca="false">C683-F683</f>
        <v>10</v>
      </c>
      <c r="H683" s="433"/>
      <c r="I683" s="433"/>
    </row>
    <row r="684" customFormat="false" ht="16.5" hidden="false" customHeight="false" outlineLevel="0" collapsed="false">
      <c r="A684" s="59" t="n">
        <f aca="false">A683+1</f>
        <v>678</v>
      </c>
      <c r="C684" s="59" t="n">
        <v>30</v>
      </c>
      <c r="D684" s="59" t="s">
        <v>168</v>
      </c>
      <c r="E684" s="125" t="n">
        <f aca="false">E683+C683</f>
        <v>57132</v>
      </c>
      <c r="F684" s="425" t="n">
        <f aca="false">F636</f>
        <v>22</v>
      </c>
      <c r="G684" s="433" t="n">
        <f aca="false">C684-F684</f>
        <v>8</v>
      </c>
      <c r="H684" s="433"/>
      <c r="I684" s="433"/>
    </row>
    <row r="685" customFormat="false" ht="16.5" hidden="false" customHeight="false" outlineLevel="0" collapsed="false">
      <c r="A685" s="59" t="n">
        <f aca="false">A684+1</f>
        <v>679</v>
      </c>
      <c r="C685" s="59" t="n">
        <v>31</v>
      </c>
      <c r="D685" s="59" t="s">
        <v>169</v>
      </c>
      <c r="E685" s="125" t="n">
        <f aca="false">E684+C684</f>
        <v>57162</v>
      </c>
      <c r="F685" s="425" t="n">
        <f aca="false">F637</f>
        <v>22</v>
      </c>
      <c r="G685" s="433" t="n">
        <f aca="false">C685-F685</f>
        <v>9</v>
      </c>
      <c r="H685" s="433"/>
      <c r="I685" s="433"/>
    </row>
    <row r="686" customFormat="false" ht="16.5" hidden="false" customHeight="false" outlineLevel="0" collapsed="false">
      <c r="A686" s="59" t="n">
        <f aca="false">A685+1</f>
        <v>680</v>
      </c>
      <c r="C686" s="59" t="n">
        <v>31</v>
      </c>
      <c r="D686" s="59" t="s">
        <v>170</v>
      </c>
      <c r="E686" s="125" t="n">
        <f aca="false">E685+C685</f>
        <v>57193</v>
      </c>
      <c r="F686" s="425" t="n">
        <f aca="false">F638</f>
        <v>22</v>
      </c>
      <c r="G686" s="433" t="n">
        <f aca="false">C686-F686</f>
        <v>9</v>
      </c>
      <c r="H686" s="433"/>
      <c r="I686" s="433"/>
    </row>
    <row r="687" customFormat="false" ht="16.5" hidden="false" customHeight="false" outlineLevel="0" collapsed="false">
      <c r="A687" s="59" t="n">
        <f aca="false">A686+1</f>
        <v>681</v>
      </c>
      <c r="C687" s="59" t="n">
        <v>30</v>
      </c>
      <c r="D687" s="59" t="s">
        <v>171</v>
      </c>
      <c r="E687" s="125" t="n">
        <f aca="false">E686+C686</f>
        <v>57224</v>
      </c>
      <c r="F687" s="425" t="n">
        <f aca="false">F639</f>
        <v>22</v>
      </c>
      <c r="G687" s="433" t="n">
        <f aca="false">C687-F687</f>
        <v>8</v>
      </c>
      <c r="H687" s="433"/>
      <c r="I687" s="433"/>
    </row>
    <row r="688" customFormat="false" ht="16.5" hidden="false" customHeight="false" outlineLevel="0" collapsed="false">
      <c r="A688" s="59" t="n">
        <f aca="false">A687+1</f>
        <v>682</v>
      </c>
      <c r="C688" s="59" t="n">
        <v>31</v>
      </c>
      <c r="D688" s="59" t="s">
        <v>172</v>
      </c>
      <c r="E688" s="125" t="n">
        <f aca="false">E687+C687</f>
        <v>57254</v>
      </c>
      <c r="F688" s="425" t="n">
        <f aca="false">F640</f>
        <v>21</v>
      </c>
      <c r="G688" s="433" t="n">
        <f aca="false">C688-F688</f>
        <v>10</v>
      </c>
      <c r="H688" s="433"/>
      <c r="I688" s="433"/>
    </row>
    <row r="689" customFormat="false" ht="16.5" hidden="false" customHeight="false" outlineLevel="0" collapsed="false">
      <c r="A689" s="59" t="n">
        <f aca="false">A688+1</f>
        <v>683</v>
      </c>
      <c r="C689" s="59" t="n">
        <v>30</v>
      </c>
      <c r="D689" s="59" t="s">
        <v>173</v>
      </c>
      <c r="E689" s="125" t="n">
        <f aca="false">E688+C688</f>
        <v>57285</v>
      </c>
      <c r="F689" s="425" t="n">
        <f aca="false">F641</f>
        <v>22</v>
      </c>
      <c r="G689" s="433" t="n">
        <f aca="false">C689-F689</f>
        <v>8</v>
      </c>
      <c r="H689" s="433"/>
      <c r="I689" s="433"/>
    </row>
    <row r="690" customFormat="false" ht="16.5" hidden="false" customHeight="false" outlineLevel="0" collapsed="false">
      <c r="A690" s="59" t="n">
        <f aca="false">A689+1</f>
        <v>684</v>
      </c>
      <c r="C690" s="59" t="n">
        <v>31</v>
      </c>
      <c r="D690" s="59" t="s">
        <v>174</v>
      </c>
      <c r="E690" s="125" t="n">
        <f aca="false">E689+C689</f>
        <v>57315</v>
      </c>
      <c r="F690" s="425" t="n">
        <f aca="false">F642</f>
        <v>23</v>
      </c>
      <c r="G690" s="433" t="n">
        <f aca="false">C690-F690</f>
        <v>8</v>
      </c>
      <c r="H690" s="433" t="n">
        <f aca="false">SUM(F679:G690)</f>
        <v>366</v>
      </c>
      <c r="I690" s="433"/>
    </row>
    <row r="691" customFormat="false" ht="16.5" hidden="false" customHeight="false" outlineLevel="0" collapsed="false">
      <c r="A691" s="59" t="n">
        <f aca="false">A690+1</f>
        <v>685</v>
      </c>
      <c r="C691" s="59" t="n">
        <v>31</v>
      </c>
      <c r="D691" s="59" t="s">
        <v>164</v>
      </c>
      <c r="E691" s="125" t="n">
        <f aca="false">E690+C690</f>
        <v>57346</v>
      </c>
      <c r="F691" s="425" t="n">
        <f aca="false">F643</f>
        <v>23</v>
      </c>
      <c r="G691" s="433" t="n">
        <f aca="false">C691-F691</f>
        <v>8</v>
      </c>
      <c r="H691" s="433"/>
      <c r="I691" s="433"/>
    </row>
    <row r="692" customFormat="false" ht="16.5" hidden="false" customHeight="false" outlineLevel="0" collapsed="false">
      <c r="A692" s="59" t="n">
        <f aca="false">A691+1</f>
        <v>686</v>
      </c>
      <c r="C692" s="59" t="n">
        <v>28</v>
      </c>
      <c r="D692" s="59" t="s">
        <v>165</v>
      </c>
      <c r="E692" s="125" t="n">
        <f aca="false">E691+C691</f>
        <v>57377</v>
      </c>
      <c r="F692" s="425" t="n">
        <f aca="false">F644</f>
        <v>20</v>
      </c>
      <c r="G692" s="433" t="n">
        <f aca="false">C692-F692</f>
        <v>8</v>
      </c>
      <c r="H692" s="433"/>
      <c r="I692" s="433"/>
    </row>
    <row r="693" customFormat="false" ht="16.5" hidden="false" customHeight="false" outlineLevel="0" collapsed="false">
      <c r="A693" s="59" t="n">
        <f aca="false">A692+1</f>
        <v>687</v>
      </c>
      <c r="C693" s="59" t="n">
        <v>31</v>
      </c>
      <c r="D693" s="59" t="s">
        <v>166</v>
      </c>
      <c r="E693" s="125" t="n">
        <f aca="false">E692+C692</f>
        <v>57405</v>
      </c>
      <c r="F693" s="425" t="n">
        <f aca="false">F645</f>
        <v>22</v>
      </c>
      <c r="G693" s="433" t="n">
        <f aca="false">C693-F693</f>
        <v>9</v>
      </c>
      <c r="H693" s="433"/>
      <c r="I693" s="433"/>
    </row>
    <row r="694" customFormat="false" ht="16.5" hidden="false" customHeight="false" outlineLevel="0" collapsed="false">
      <c r="A694" s="59" t="n">
        <f aca="false">A693+1</f>
        <v>688</v>
      </c>
      <c r="C694" s="59" t="n">
        <v>30</v>
      </c>
      <c r="D694" s="59" t="s">
        <v>167</v>
      </c>
      <c r="E694" s="125" t="n">
        <f aca="false">E693+C693</f>
        <v>57436</v>
      </c>
      <c r="F694" s="425" t="n">
        <f aca="false">F646</f>
        <v>21</v>
      </c>
      <c r="G694" s="433" t="n">
        <f aca="false">C694-F694</f>
        <v>9</v>
      </c>
      <c r="H694" s="433"/>
      <c r="I694" s="433"/>
    </row>
    <row r="695" customFormat="false" ht="16.5" hidden="false" customHeight="false" outlineLevel="0" collapsed="false">
      <c r="A695" s="59" t="n">
        <f aca="false">A694+1</f>
        <v>689</v>
      </c>
      <c r="C695" s="59" t="n">
        <v>31</v>
      </c>
      <c r="D695" s="59" t="s">
        <v>29</v>
      </c>
      <c r="E695" s="125" t="n">
        <f aca="false">E694+C694</f>
        <v>57466</v>
      </c>
      <c r="F695" s="425" t="n">
        <f aca="false">F647</f>
        <v>23</v>
      </c>
      <c r="G695" s="433" t="n">
        <f aca="false">C695-F695</f>
        <v>8</v>
      </c>
      <c r="H695" s="433"/>
      <c r="I695" s="433"/>
    </row>
    <row r="696" customFormat="false" ht="16.5" hidden="false" customHeight="false" outlineLevel="0" collapsed="false">
      <c r="A696" s="59" t="n">
        <f aca="false">A695+1</f>
        <v>690</v>
      </c>
      <c r="C696" s="59" t="n">
        <v>30</v>
      </c>
      <c r="D696" s="59" t="s">
        <v>168</v>
      </c>
      <c r="E696" s="125" t="n">
        <f aca="false">E695+C695</f>
        <v>57497</v>
      </c>
      <c r="F696" s="425" t="n">
        <f aca="false">F648</f>
        <v>21</v>
      </c>
      <c r="G696" s="433" t="n">
        <f aca="false">C696-F696</f>
        <v>9</v>
      </c>
      <c r="H696" s="433"/>
      <c r="I696" s="433"/>
    </row>
    <row r="697" customFormat="false" ht="16.5" hidden="false" customHeight="false" outlineLevel="0" collapsed="false">
      <c r="A697" s="59" t="n">
        <f aca="false">A696+1</f>
        <v>691</v>
      </c>
      <c r="C697" s="59" t="n">
        <v>31</v>
      </c>
      <c r="D697" s="59" t="s">
        <v>169</v>
      </c>
      <c r="E697" s="125" t="n">
        <f aca="false">E696+C696</f>
        <v>57527</v>
      </c>
      <c r="F697" s="425" t="n">
        <f aca="false">F649</f>
        <v>22</v>
      </c>
      <c r="G697" s="433" t="n">
        <f aca="false">C697-F697</f>
        <v>9</v>
      </c>
      <c r="H697" s="433"/>
      <c r="I697" s="433"/>
    </row>
    <row r="698" customFormat="false" ht="16.5" hidden="false" customHeight="false" outlineLevel="0" collapsed="false">
      <c r="A698" s="59" t="n">
        <f aca="false">A697+1</f>
        <v>692</v>
      </c>
      <c r="C698" s="59" t="n">
        <v>31</v>
      </c>
      <c r="D698" s="59" t="s">
        <v>170</v>
      </c>
      <c r="E698" s="125" t="n">
        <f aca="false">E697+C697</f>
        <v>57558</v>
      </c>
      <c r="F698" s="425" t="n">
        <f aca="false">F650</f>
        <v>23</v>
      </c>
      <c r="G698" s="433" t="n">
        <f aca="false">C698-F698</f>
        <v>8</v>
      </c>
      <c r="H698" s="433"/>
      <c r="I698" s="433"/>
    </row>
    <row r="699" customFormat="false" ht="16.5" hidden="false" customHeight="false" outlineLevel="0" collapsed="false">
      <c r="A699" s="59" t="n">
        <f aca="false">A698+1</f>
        <v>693</v>
      </c>
      <c r="C699" s="59" t="n">
        <v>30</v>
      </c>
      <c r="D699" s="59" t="s">
        <v>171</v>
      </c>
      <c r="E699" s="125" t="n">
        <f aca="false">E698+C698</f>
        <v>57589</v>
      </c>
      <c r="F699" s="425" t="n">
        <f aca="false">F651</f>
        <v>20</v>
      </c>
      <c r="G699" s="433" t="n">
        <f aca="false">C699-F699</f>
        <v>10</v>
      </c>
      <c r="H699" s="433"/>
      <c r="I699" s="433"/>
    </row>
    <row r="700" customFormat="false" ht="16.5" hidden="false" customHeight="false" outlineLevel="0" collapsed="false">
      <c r="A700" s="59" t="n">
        <f aca="false">A699+1</f>
        <v>694</v>
      </c>
      <c r="C700" s="59" t="n">
        <v>31</v>
      </c>
      <c r="D700" s="59" t="s">
        <v>172</v>
      </c>
      <c r="E700" s="125" t="n">
        <f aca="false">E699+C699</f>
        <v>57619</v>
      </c>
      <c r="F700" s="425" t="n">
        <f aca="false">F652</f>
        <v>23</v>
      </c>
      <c r="G700" s="433" t="n">
        <f aca="false">C700-F700</f>
        <v>8</v>
      </c>
      <c r="H700" s="433"/>
      <c r="I700" s="433"/>
    </row>
    <row r="701" customFormat="false" ht="16.5" hidden="false" customHeight="false" outlineLevel="0" collapsed="false">
      <c r="A701" s="59" t="n">
        <f aca="false">A700+1</f>
        <v>695</v>
      </c>
      <c r="C701" s="59" t="n">
        <v>30</v>
      </c>
      <c r="D701" s="59" t="s">
        <v>173</v>
      </c>
      <c r="E701" s="125" t="n">
        <f aca="false">E700+C700</f>
        <v>57650</v>
      </c>
      <c r="F701" s="425" t="n">
        <f aca="false">F653</f>
        <v>22</v>
      </c>
      <c r="G701" s="433" t="n">
        <f aca="false">C701-F701</f>
        <v>8</v>
      </c>
      <c r="H701" s="433"/>
      <c r="I701" s="433"/>
    </row>
    <row r="702" customFormat="false" ht="16.5" hidden="false" customHeight="false" outlineLevel="0" collapsed="false">
      <c r="A702" s="59" t="n">
        <f aca="false">A701+1</f>
        <v>696</v>
      </c>
      <c r="C702" s="59" t="n">
        <v>31</v>
      </c>
      <c r="D702" s="59" t="s">
        <v>174</v>
      </c>
      <c r="E702" s="125" t="n">
        <f aca="false">E701+C701</f>
        <v>57680</v>
      </c>
      <c r="F702" s="425" t="n">
        <f aca="false">F654</f>
        <v>21</v>
      </c>
      <c r="G702" s="433" t="n">
        <f aca="false">C702-F702</f>
        <v>10</v>
      </c>
      <c r="H702" s="433" t="n">
        <f aca="false">SUM(F691:G702)</f>
        <v>365</v>
      </c>
      <c r="I702" s="433"/>
    </row>
    <row r="703" customFormat="false" ht="16.5" hidden="false" customHeight="false" outlineLevel="0" collapsed="false">
      <c r="A703" s="59" t="n">
        <f aca="false">A702+1</f>
        <v>697</v>
      </c>
      <c r="C703" s="59" t="n">
        <v>31</v>
      </c>
      <c r="D703" s="59" t="s">
        <v>164</v>
      </c>
      <c r="E703" s="125" t="n">
        <f aca="false">E702+C702</f>
        <v>57711</v>
      </c>
      <c r="F703" s="425" t="n">
        <f aca="false">F655</f>
        <v>23</v>
      </c>
      <c r="G703" s="433" t="n">
        <f aca="false">C703-F703</f>
        <v>8</v>
      </c>
      <c r="H703" s="433"/>
      <c r="I703" s="433"/>
    </row>
    <row r="704" customFormat="false" ht="16.5" hidden="false" customHeight="false" outlineLevel="0" collapsed="false">
      <c r="A704" s="59" t="n">
        <f aca="false">A703+1</f>
        <v>698</v>
      </c>
      <c r="C704" s="59" t="n">
        <v>28</v>
      </c>
      <c r="D704" s="59" t="s">
        <v>165</v>
      </c>
      <c r="E704" s="125" t="n">
        <f aca="false">E703+C703</f>
        <v>57742</v>
      </c>
      <c r="F704" s="425" t="n">
        <f aca="false">F656</f>
        <v>20</v>
      </c>
      <c r="G704" s="433" t="n">
        <f aca="false">C704-F704</f>
        <v>8</v>
      </c>
      <c r="H704" s="433"/>
      <c r="I704" s="433"/>
    </row>
    <row r="705" customFormat="false" ht="16.5" hidden="false" customHeight="false" outlineLevel="0" collapsed="false">
      <c r="A705" s="59" t="n">
        <f aca="false">A704+1</f>
        <v>699</v>
      </c>
      <c r="C705" s="59" t="n">
        <v>31</v>
      </c>
      <c r="D705" s="59" t="s">
        <v>166</v>
      </c>
      <c r="E705" s="125" t="n">
        <f aca="false">E704+C704</f>
        <v>57770</v>
      </c>
      <c r="F705" s="425" t="n">
        <f aca="false">F657</f>
        <v>21</v>
      </c>
      <c r="G705" s="433" t="n">
        <f aca="false">C705-F705</f>
        <v>10</v>
      </c>
      <c r="H705" s="433"/>
      <c r="I705" s="433"/>
    </row>
    <row r="706" customFormat="false" ht="16.5" hidden="false" customHeight="false" outlineLevel="0" collapsed="false">
      <c r="A706" s="59" t="n">
        <f aca="false">A705+1</f>
        <v>700</v>
      </c>
      <c r="C706" s="59" t="n">
        <v>30</v>
      </c>
      <c r="D706" s="59" t="s">
        <v>167</v>
      </c>
      <c r="E706" s="125" t="n">
        <f aca="false">E705+C705</f>
        <v>57801</v>
      </c>
      <c r="F706" s="425" t="n">
        <f aca="false">F658</f>
        <v>22</v>
      </c>
      <c r="G706" s="433" t="n">
        <f aca="false">C706-F706</f>
        <v>8</v>
      </c>
      <c r="H706" s="433"/>
      <c r="I706" s="433"/>
    </row>
    <row r="707" customFormat="false" ht="16.5" hidden="false" customHeight="false" outlineLevel="0" collapsed="false">
      <c r="A707" s="59" t="n">
        <f aca="false">A706+1</f>
        <v>701</v>
      </c>
      <c r="C707" s="59" t="n">
        <v>31</v>
      </c>
      <c r="D707" s="59" t="s">
        <v>29</v>
      </c>
      <c r="E707" s="125" t="n">
        <f aca="false">E706+C706</f>
        <v>57831</v>
      </c>
      <c r="F707" s="425" t="n">
        <f aca="false">F659</f>
        <v>23</v>
      </c>
      <c r="G707" s="433" t="n">
        <f aca="false">C707-F707</f>
        <v>8</v>
      </c>
      <c r="H707" s="433"/>
      <c r="I707" s="433"/>
    </row>
    <row r="708" customFormat="false" ht="16.5" hidden="false" customHeight="false" outlineLevel="0" collapsed="false">
      <c r="A708" s="59" t="n">
        <f aca="false">A707+1</f>
        <v>702</v>
      </c>
      <c r="C708" s="59" t="n">
        <v>30</v>
      </c>
      <c r="D708" s="59" t="s">
        <v>168</v>
      </c>
      <c r="E708" s="125" t="n">
        <f aca="false">E707+C707</f>
        <v>57862</v>
      </c>
      <c r="F708" s="425" t="n">
        <f aca="false">F660</f>
        <v>20</v>
      </c>
      <c r="G708" s="433" t="n">
        <f aca="false">C708-F708</f>
        <v>10</v>
      </c>
      <c r="H708" s="433"/>
      <c r="I708" s="433"/>
    </row>
    <row r="709" customFormat="false" ht="16.5" hidden="false" customHeight="false" outlineLevel="0" collapsed="false">
      <c r="A709" s="59" t="n">
        <f aca="false">A708+1</f>
        <v>703</v>
      </c>
      <c r="C709" s="59" t="n">
        <v>31</v>
      </c>
      <c r="D709" s="59" t="s">
        <v>169</v>
      </c>
      <c r="E709" s="125" t="n">
        <f aca="false">E708+C708</f>
        <v>57892</v>
      </c>
      <c r="F709" s="425" t="n">
        <f aca="false">F661</f>
        <v>23</v>
      </c>
      <c r="G709" s="433" t="n">
        <f aca="false">C709-F709</f>
        <v>8</v>
      </c>
      <c r="H709" s="433"/>
      <c r="I709" s="433"/>
    </row>
    <row r="710" customFormat="false" ht="16.5" hidden="false" customHeight="false" outlineLevel="0" collapsed="false">
      <c r="A710" s="59" t="n">
        <f aca="false">A709+1</f>
        <v>704</v>
      </c>
      <c r="C710" s="59" t="n">
        <v>31</v>
      </c>
      <c r="D710" s="59" t="s">
        <v>170</v>
      </c>
      <c r="E710" s="125" t="n">
        <f aca="false">E709+C709</f>
        <v>57923</v>
      </c>
      <c r="F710" s="425" t="n">
        <f aca="false">F662</f>
        <v>22</v>
      </c>
      <c r="G710" s="433" t="n">
        <f aca="false">C710-F710</f>
        <v>9</v>
      </c>
      <c r="H710" s="433"/>
      <c r="I710" s="433"/>
    </row>
    <row r="711" customFormat="false" ht="16.5" hidden="false" customHeight="false" outlineLevel="0" collapsed="false">
      <c r="A711" s="59" t="n">
        <f aca="false">A710+1</f>
        <v>705</v>
      </c>
      <c r="C711" s="59" t="n">
        <v>30</v>
      </c>
      <c r="D711" s="59" t="s">
        <v>171</v>
      </c>
      <c r="E711" s="125" t="n">
        <f aca="false">E710+C710</f>
        <v>57954</v>
      </c>
      <c r="F711" s="425" t="n">
        <f aca="false">F663</f>
        <v>21</v>
      </c>
      <c r="G711" s="433" t="n">
        <f aca="false">C711-F711</f>
        <v>9</v>
      </c>
      <c r="H711" s="433"/>
      <c r="I711" s="433"/>
    </row>
    <row r="712" customFormat="false" ht="16.5" hidden="false" customHeight="false" outlineLevel="0" collapsed="false">
      <c r="A712" s="59" t="n">
        <f aca="false">A711+1</f>
        <v>706</v>
      </c>
      <c r="C712" s="59" t="n">
        <v>31</v>
      </c>
      <c r="D712" s="59" t="s">
        <v>172</v>
      </c>
      <c r="E712" s="125" t="n">
        <f aca="false">E711+C711</f>
        <v>57984</v>
      </c>
      <c r="F712" s="425" t="n">
        <f aca="false">F664</f>
        <v>23</v>
      </c>
      <c r="G712" s="433" t="n">
        <f aca="false">C712-F712</f>
        <v>8</v>
      </c>
      <c r="H712" s="433"/>
      <c r="I712" s="433"/>
    </row>
    <row r="713" customFormat="false" ht="16.5" hidden="false" customHeight="false" outlineLevel="0" collapsed="false">
      <c r="A713" s="59" t="n">
        <f aca="false">A712+1</f>
        <v>707</v>
      </c>
      <c r="C713" s="59" t="n">
        <v>30</v>
      </c>
      <c r="D713" s="59" t="s">
        <v>173</v>
      </c>
      <c r="E713" s="125" t="n">
        <f aca="false">E712+C712</f>
        <v>58015</v>
      </c>
      <c r="F713" s="425" t="n">
        <f aca="false">F665</f>
        <v>21</v>
      </c>
      <c r="G713" s="433" t="n">
        <f aca="false">C713-F713</f>
        <v>9</v>
      </c>
      <c r="H713" s="433"/>
      <c r="I713" s="433"/>
    </row>
    <row r="714" customFormat="false" ht="16.5" hidden="false" customHeight="false" outlineLevel="0" collapsed="false">
      <c r="A714" s="59" t="n">
        <f aca="false">A713+1</f>
        <v>708</v>
      </c>
      <c r="C714" s="59" t="n">
        <v>31</v>
      </c>
      <c r="D714" s="59" t="s">
        <v>174</v>
      </c>
      <c r="E714" s="125" t="n">
        <f aca="false">E713+C713</f>
        <v>58045</v>
      </c>
      <c r="F714" s="425" t="n">
        <f aca="false">F666</f>
        <v>22</v>
      </c>
      <c r="G714" s="433" t="n">
        <f aca="false">C714-F714</f>
        <v>9</v>
      </c>
      <c r="H714" s="433" t="n">
        <f aca="false">SUM(F703:G714)</f>
        <v>365</v>
      </c>
      <c r="I714" s="433"/>
    </row>
    <row r="715" customFormat="false" ht="16.5" hidden="false" customHeight="false" outlineLevel="0" collapsed="false">
      <c r="A715" s="59" t="n">
        <f aca="false">A714+1</f>
        <v>709</v>
      </c>
      <c r="C715" s="59" t="n">
        <v>31</v>
      </c>
      <c r="D715" s="59" t="s">
        <v>164</v>
      </c>
      <c r="E715" s="125" t="n">
        <f aca="false">E714+C714</f>
        <v>58076</v>
      </c>
      <c r="F715" s="425" t="n">
        <f aca="false">F667</f>
        <v>23</v>
      </c>
      <c r="G715" s="433" t="n">
        <f aca="false">C715-F715</f>
        <v>8</v>
      </c>
      <c r="H715" s="433"/>
      <c r="I715" s="433"/>
    </row>
    <row r="716" customFormat="false" ht="16.5" hidden="false" customHeight="false" outlineLevel="0" collapsed="false">
      <c r="A716" s="59" t="n">
        <f aca="false">A715+1</f>
        <v>710</v>
      </c>
      <c r="C716" s="59" t="n">
        <v>28</v>
      </c>
      <c r="D716" s="59" t="s">
        <v>165</v>
      </c>
      <c r="E716" s="125" t="n">
        <f aca="false">E715+C715</f>
        <v>58107</v>
      </c>
      <c r="F716" s="425" t="n">
        <f aca="false">F668</f>
        <v>20</v>
      </c>
      <c r="G716" s="433" t="n">
        <f aca="false">C716-F716</f>
        <v>8</v>
      </c>
      <c r="H716" s="433"/>
      <c r="I716" s="433"/>
    </row>
    <row r="717" customFormat="false" ht="16.5" hidden="false" customHeight="false" outlineLevel="0" collapsed="false">
      <c r="A717" s="59" t="n">
        <f aca="false">A716+1</f>
        <v>711</v>
      </c>
      <c r="C717" s="59" t="n">
        <v>31</v>
      </c>
      <c r="D717" s="59" t="s">
        <v>166</v>
      </c>
      <c r="E717" s="125" t="n">
        <f aca="false">E716+C716</f>
        <v>58135</v>
      </c>
      <c r="F717" s="425" t="n">
        <f aca="false">F669</f>
        <v>21</v>
      </c>
      <c r="G717" s="433" t="n">
        <f aca="false">C717-F717</f>
        <v>10</v>
      </c>
      <c r="H717" s="433"/>
      <c r="I717" s="433"/>
    </row>
    <row r="718" customFormat="false" ht="16.5" hidden="false" customHeight="false" outlineLevel="0" collapsed="false">
      <c r="A718" s="59" t="n">
        <f aca="false">A717+1</f>
        <v>712</v>
      </c>
      <c r="C718" s="59" t="n">
        <v>30</v>
      </c>
      <c r="D718" s="59" t="s">
        <v>167</v>
      </c>
      <c r="E718" s="125" t="n">
        <f aca="false">E717+C717</f>
        <v>58166</v>
      </c>
      <c r="F718" s="425" t="n">
        <f aca="false">F670</f>
        <v>22</v>
      </c>
      <c r="G718" s="433" t="n">
        <f aca="false">C718-F718</f>
        <v>8</v>
      </c>
      <c r="H718" s="433"/>
      <c r="I718" s="433"/>
    </row>
    <row r="719" customFormat="false" ht="16.5" hidden="false" customHeight="false" outlineLevel="0" collapsed="false">
      <c r="A719" s="59" t="n">
        <f aca="false">A718+1</f>
        <v>713</v>
      </c>
      <c r="C719" s="59" t="n">
        <v>31</v>
      </c>
      <c r="D719" s="59" t="s">
        <v>29</v>
      </c>
      <c r="E719" s="125" t="n">
        <f aca="false">E718+C718</f>
        <v>58196</v>
      </c>
      <c r="F719" s="425" t="n">
        <f aca="false">F671</f>
        <v>22</v>
      </c>
      <c r="G719" s="433" t="n">
        <f aca="false">C719-F719</f>
        <v>9</v>
      </c>
      <c r="H719" s="433"/>
      <c r="I719" s="433"/>
    </row>
    <row r="720" customFormat="false" ht="16.5" hidden="false" customHeight="false" outlineLevel="0" collapsed="false">
      <c r="A720" s="59" t="n">
        <f aca="false">A719+1</f>
        <v>714</v>
      </c>
      <c r="C720" s="59" t="n">
        <v>30</v>
      </c>
      <c r="D720" s="59" t="s">
        <v>168</v>
      </c>
      <c r="E720" s="125" t="n">
        <f aca="false">E719+C719</f>
        <v>58227</v>
      </c>
      <c r="F720" s="425" t="n">
        <f aca="false">F672</f>
        <v>21</v>
      </c>
      <c r="G720" s="433" t="n">
        <f aca="false">C720-F720</f>
        <v>9</v>
      </c>
      <c r="H720" s="433"/>
      <c r="I720" s="433"/>
    </row>
    <row r="721" customFormat="false" ht="16.5" hidden="false" customHeight="false" outlineLevel="0" collapsed="false">
      <c r="A721" s="59" t="n">
        <f aca="false">A720+1</f>
        <v>715</v>
      </c>
      <c r="C721" s="59" t="n">
        <v>31</v>
      </c>
      <c r="D721" s="59" t="s">
        <v>169</v>
      </c>
      <c r="E721" s="125" t="n">
        <f aca="false">E720+C720</f>
        <v>58257</v>
      </c>
      <c r="F721" s="425" t="n">
        <f aca="false">F673</f>
        <v>23</v>
      </c>
      <c r="G721" s="433" t="n">
        <f aca="false">C721-F721</f>
        <v>8</v>
      </c>
      <c r="H721" s="433"/>
      <c r="I721" s="433"/>
    </row>
    <row r="722" customFormat="false" ht="16.5" hidden="false" customHeight="false" outlineLevel="0" collapsed="false">
      <c r="A722" s="59" t="n">
        <f aca="false">A721+1</f>
        <v>716</v>
      </c>
      <c r="C722" s="59" t="n">
        <v>31</v>
      </c>
      <c r="D722" s="59" t="s">
        <v>170</v>
      </c>
      <c r="E722" s="125" t="n">
        <f aca="false">E721+C721</f>
        <v>58288</v>
      </c>
      <c r="F722" s="425" t="n">
        <f aca="false">F674</f>
        <v>21</v>
      </c>
      <c r="G722" s="433" t="n">
        <f aca="false">C722-F722</f>
        <v>10</v>
      </c>
      <c r="H722" s="433"/>
      <c r="I722" s="433"/>
    </row>
    <row r="723" customFormat="false" ht="16.5" hidden="false" customHeight="false" outlineLevel="0" collapsed="false">
      <c r="A723" s="59" t="n">
        <f aca="false">A722+1</f>
        <v>717</v>
      </c>
      <c r="C723" s="59" t="n">
        <v>30</v>
      </c>
      <c r="D723" s="59" t="s">
        <v>171</v>
      </c>
      <c r="E723" s="125" t="n">
        <f aca="false">E722+C722</f>
        <v>58319</v>
      </c>
      <c r="F723" s="425" t="n">
        <f aca="false">F675</f>
        <v>22</v>
      </c>
      <c r="G723" s="433" t="n">
        <f aca="false">C723-F723</f>
        <v>8</v>
      </c>
      <c r="H723" s="433"/>
      <c r="I723" s="433"/>
    </row>
    <row r="724" customFormat="false" ht="16.5" hidden="false" customHeight="false" outlineLevel="0" collapsed="false">
      <c r="A724" s="59" t="n">
        <f aca="false">A723+1</f>
        <v>718</v>
      </c>
      <c r="C724" s="59" t="n">
        <v>31</v>
      </c>
      <c r="D724" s="59" t="s">
        <v>172</v>
      </c>
      <c r="E724" s="125" t="n">
        <f aca="false">E723+C723</f>
        <v>58349</v>
      </c>
      <c r="F724" s="425" t="n">
        <f aca="false">F676</f>
        <v>23</v>
      </c>
      <c r="G724" s="433" t="n">
        <f aca="false">C724-F724</f>
        <v>8</v>
      </c>
      <c r="H724" s="433"/>
      <c r="I724" s="433"/>
    </row>
    <row r="725" customFormat="false" ht="16.5" hidden="false" customHeight="false" outlineLevel="0" collapsed="false">
      <c r="A725" s="59" t="n">
        <f aca="false">A724+1</f>
        <v>719</v>
      </c>
      <c r="C725" s="59" t="n">
        <v>30</v>
      </c>
      <c r="D725" s="59" t="s">
        <v>173</v>
      </c>
      <c r="E725" s="125" t="n">
        <f aca="false">E724+C724</f>
        <v>58380</v>
      </c>
      <c r="F725" s="425" t="n">
        <f aca="false">F677</f>
        <v>20</v>
      </c>
      <c r="G725" s="433" t="n">
        <f aca="false">C725-F725</f>
        <v>10</v>
      </c>
      <c r="H725" s="433"/>
      <c r="I725" s="433"/>
    </row>
    <row r="726" customFormat="false" ht="16.5" hidden="false" customHeight="false" outlineLevel="0" collapsed="false">
      <c r="A726" s="59" t="n">
        <f aca="false">A725+1</f>
        <v>720</v>
      </c>
      <c r="C726" s="59" t="n">
        <v>31</v>
      </c>
      <c r="D726" s="59" t="s">
        <v>174</v>
      </c>
      <c r="E726" s="125" t="n">
        <f aca="false">E725+C725</f>
        <v>58410</v>
      </c>
      <c r="F726" s="425" t="n">
        <f aca="false">F678</f>
        <v>23</v>
      </c>
      <c r="G726" s="433" t="n">
        <f aca="false">C726-F726</f>
        <v>8</v>
      </c>
      <c r="H726" s="433" t="n">
        <f aca="false">SUM(F715:G726)</f>
        <v>365</v>
      </c>
      <c r="I726" s="433"/>
    </row>
    <row r="727" customFormat="false" ht="16.5" hidden="false" customHeight="false" outlineLevel="0" collapsed="false">
      <c r="A727" s="59" t="n">
        <f aca="false">A726+1</f>
        <v>721</v>
      </c>
      <c r="C727" s="59" t="n">
        <v>31</v>
      </c>
      <c r="D727" s="59" t="s">
        <v>164</v>
      </c>
      <c r="E727" s="125" t="n">
        <f aca="false">E726+C726</f>
        <v>58441</v>
      </c>
      <c r="F727" s="425" t="n">
        <f aca="false">F679</f>
        <v>22</v>
      </c>
      <c r="G727" s="433" t="n">
        <f aca="false">C727-F727</f>
        <v>9</v>
      </c>
      <c r="H727" s="433"/>
      <c r="I727" s="433"/>
    </row>
    <row r="728" customFormat="false" ht="16.5" hidden="false" customHeight="false" outlineLevel="0" collapsed="false">
      <c r="A728" s="59" t="n">
        <f aca="false">A727+1</f>
        <v>722</v>
      </c>
      <c r="C728" s="496" t="n">
        <v>29</v>
      </c>
      <c r="D728" s="497" t="s">
        <v>165</v>
      </c>
      <c r="E728" s="125" t="n">
        <f aca="false">E727+C727</f>
        <v>58472</v>
      </c>
      <c r="F728" s="425" t="n">
        <f aca="false">F680</f>
        <v>20</v>
      </c>
      <c r="G728" s="433" t="n">
        <f aca="false">C728-F728</f>
        <v>9</v>
      </c>
      <c r="H728" s="433"/>
      <c r="I728" s="433"/>
    </row>
    <row r="729" customFormat="false" ht="16.5" hidden="false" customHeight="false" outlineLevel="0" collapsed="false">
      <c r="A729" s="59" t="n">
        <f aca="false">A728+1</f>
        <v>723</v>
      </c>
      <c r="C729" s="59" t="n">
        <v>31</v>
      </c>
      <c r="D729" s="59" t="s">
        <v>166</v>
      </c>
      <c r="E729" s="125" t="n">
        <f aca="false">E728+C728</f>
        <v>58501</v>
      </c>
      <c r="F729" s="425" t="n">
        <f aca="false">F681</f>
        <v>23</v>
      </c>
      <c r="G729" s="433" t="n">
        <f aca="false">C729-F729</f>
        <v>8</v>
      </c>
      <c r="H729" s="433"/>
      <c r="I729" s="433"/>
    </row>
    <row r="730" customFormat="false" ht="16.5" hidden="false" customHeight="false" outlineLevel="0" collapsed="false">
      <c r="A730" s="59" t="n">
        <f aca="false">A729+1</f>
        <v>724</v>
      </c>
      <c r="C730" s="59" t="n">
        <v>30</v>
      </c>
      <c r="D730" s="59" t="s">
        <v>167</v>
      </c>
      <c r="E730" s="125" t="n">
        <f aca="false">E729+C729</f>
        <v>58532</v>
      </c>
      <c r="F730" s="425" t="n">
        <f aca="false">F682</f>
        <v>22</v>
      </c>
      <c r="G730" s="433" t="n">
        <f aca="false">C730-F730</f>
        <v>8</v>
      </c>
      <c r="H730" s="433"/>
      <c r="I730" s="433"/>
    </row>
    <row r="731" customFormat="false" ht="16.5" hidden="false" customHeight="false" outlineLevel="0" collapsed="false">
      <c r="A731" s="59" t="n">
        <f aca="false">A730+1</f>
        <v>725</v>
      </c>
      <c r="C731" s="59" t="n">
        <v>31</v>
      </c>
      <c r="D731" s="59" t="s">
        <v>29</v>
      </c>
      <c r="E731" s="125" t="n">
        <f aca="false">E730+C730</f>
        <v>58562</v>
      </c>
      <c r="F731" s="425" t="n">
        <f aca="false">F683</f>
        <v>21</v>
      </c>
      <c r="G731" s="433" t="n">
        <f aca="false">C731-F731</f>
        <v>10</v>
      </c>
      <c r="H731" s="433"/>
      <c r="I731" s="433"/>
    </row>
    <row r="732" customFormat="false" ht="16.5" hidden="false" customHeight="false" outlineLevel="0" collapsed="false">
      <c r="A732" s="59" t="n">
        <f aca="false">A731+1</f>
        <v>726</v>
      </c>
      <c r="C732" s="59" t="n">
        <v>30</v>
      </c>
      <c r="D732" s="59" t="s">
        <v>168</v>
      </c>
      <c r="E732" s="125" t="n">
        <f aca="false">E731+C731</f>
        <v>58593</v>
      </c>
      <c r="F732" s="425" t="n">
        <f aca="false">F684</f>
        <v>22</v>
      </c>
      <c r="G732" s="433" t="n">
        <f aca="false">C732-F732</f>
        <v>8</v>
      </c>
      <c r="H732" s="433"/>
      <c r="I732" s="433"/>
    </row>
    <row r="733" customFormat="false" ht="16.5" hidden="false" customHeight="false" outlineLevel="0" collapsed="false">
      <c r="A733" s="59" t="n">
        <f aca="false">A732+1</f>
        <v>727</v>
      </c>
      <c r="C733" s="59" t="n">
        <v>31</v>
      </c>
      <c r="D733" s="59" t="s">
        <v>169</v>
      </c>
      <c r="E733" s="125" t="n">
        <f aca="false">E732+C732</f>
        <v>58623</v>
      </c>
      <c r="F733" s="425" t="n">
        <f aca="false">F685</f>
        <v>22</v>
      </c>
      <c r="G733" s="433" t="n">
        <f aca="false">C733-F733</f>
        <v>9</v>
      </c>
      <c r="H733" s="433"/>
      <c r="I733" s="433"/>
    </row>
    <row r="734" customFormat="false" ht="16.5" hidden="false" customHeight="false" outlineLevel="0" collapsed="false">
      <c r="A734" s="59" t="n">
        <f aca="false">A733+1</f>
        <v>728</v>
      </c>
      <c r="C734" s="59" t="n">
        <v>31</v>
      </c>
      <c r="D734" s="59" t="s">
        <v>170</v>
      </c>
      <c r="E734" s="125" t="n">
        <f aca="false">E733+C733</f>
        <v>58654</v>
      </c>
      <c r="F734" s="425" t="n">
        <f aca="false">F686</f>
        <v>22</v>
      </c>
      <c r="G734" s="433" t="n">
        <f aca="false">C734-F734</f>
        <v>9</v>
      </c>
      <c r="H734" s="433"/>
      <c r="I734" s="433"/>
    </row>
    <row r="735" customFormat="false" ht="16.5" hidden="false" customHeight="false" outlineLevel="0" collapsed="false">
      <c r="A735" s="59" t="n">
        <f aca="false">A734+1</f>
        <v>729</v>
      </c>
      <c r="C735" s="59" t="n">
        <v>30</v>
      </c>
      <c r="D735" s="59" t="s">
        <v>171</v>
      </c>
      <c r="E735" s="125" t="n">
        <f aca="false">E734+C734</f>
        <v>58685</v>
      </c>
      <c r="F735" s="425" t="n">
        <f aca="false">F687</f>
        <v>22</v>
      </c>
      <c r="G735" s="433" t="n">
        <f aca="false">C735-F735</f>
        <v>8</v>
      </c>
      <c r="H735" s="433"/>
      <c r="I735" s="433"/>
    </row>
    <row r="736" customFormat="false" ht="16.5" hidden="false" customHeight="false" outlineLevel="0" collapsed="false">
      <c r="A736" s="59" t="n">
        <f aca="false">A735+1</f>
        <v>730</v>
      </c>
      <c r="C736" s="59" t="n">
        <v>31</v>
      </c>
      <c r="D736" s="59" t="s">
        <v>172</v>
      </c>
      <c r="E736" s="125" t="n">
        <f aca="false">E735+C735</f>
        <v>58715</v>
      </c>
      <c r="F736" s="425" t="n">
        <f aca="false">F688</f>
        <v>21</v>
      </c>
      <c r="G736" s="433" t="n">
        <f aca="false">C736-F736</f>
        <v>10</v>
      </c>
      <c r="H736" s="433"/>
      <c r="I736" s="433"/>
    </row>
    <row r="737" customFormat="false" ht="16.5" hidden="false" customHeight="false" outlineLevel="0" collapsed="false">
      <c r="A737" s="59" t="n">
        <f aca="false">A736+1</f>
        <v>731</v>
      </c>
      <c r="C737" s="59" t="n">
        <v>30</v>
      </c>
      <c r="D737" s="59" t="s">
        <v>173</v>
      </c>
      <c r="E737" s="125" t="n">
        <f aca="false">E736+C736</f>
        <v>58746</v>
      </c>
      <c r="F737" s="425" t="n">
        <f aca="false">F689</f>
        <v>22</v>
      </c>
      <c r="G737" s="433" t="n">
        <f aca="false">C737-F737</f>
        <v>8</v>
      </c>
      <c r="H737" s="433"/>
      <c r="I737" s="433"/>
    </row>
    <row r="738" customFormat="false" ht="16.5" hidden="false" customHeight="false" outlineLevel="0" collapsed="false">
      <c r="A738" s="59" t="n">
        <f aca="false">A737+1</f>
        <v>732</v>
      </c>
      <c r="C738" s="59" t="n">
        <v>31</v>
      </c>
      <c r="D738" s="59" t="s">
        <v>174</v>
      </c>
      <c r="E738" s="125" t="n">
        <f aca="false">E737+C737</f>
        <v>58776</v>
      </c>
      <c r="F738" s="425" t="n">
        <f aca="false">F690</f>
        <v>23</v>
      </c>
      <c r="G738" s="433" t="n">
        <f aca="false">C738-F738</f>
        <v>8</v>
      </c>
      <c r="H738" s="433" t="n">
        <f aca="false">SUM(F727:G738)</f>
        <v>366</v>
      </c>
      <c r="I738" s="433"/>
    </row>
    <row r="739" customFormat="false" ht="16.5" hidden="false" customHeight="false" outlineLevel="0" collapsed="false">
      <c r="A739" s="59" t="n">
        <f aca="false">A738+1</f>
        <v>733</v>
      </c>
      <c r="C739" s="59" t="n">
        <v>31</v>
      </c>
      <c r="D739" s="59" t="s">
        <v>164</v>
      </c>
      <c r="E739" s="125" t="n">
        <f aca="false">E738+C738</f>
        <v>58807</v>
      </c>
      <c r="F739" s="425" t="n">
        <f aca="false">F691</f>
        <v>23</v>
      </c>
      <c r="G739" s="433" t="n">
        <f aca="false">C739-F739</f>
        <v>8</v>
      </c>
      <c r="H739" s="433"/>
      <c r="I739" s="433"/>
    </row>
    <row r="740" customFormat="false" ht="16.5" hidden="false" customHeight="false" outlineLevel="0" collapsed="false">
      <c r="A740" s="59" t="n">
        <f aca="false">A739+1</f>
        <v>734</v>
      </c>
      <c r="C740" s="59" t="n">
        <v>28</v>
      </c>
      <c r="D740" s="59" t="s">
        <v>165</v>
      </c>
      <c r="E740" s="125" t="n">
        <f aca="false">E739+C739</f>
        <v>58838</v>
      </c>
      <c r="F740" s="425" t="n">
        <f aca="false">F692</f>
        <v>20</v>
      </c>
      <c r="G740" s="433" t="n">
        <f aca="false">C740-F740</f>
        <v>8</v>
      </c>
      <c r="H740" s="433"/>
      <c r="I740" s="433"/>
    </row>
    <row r="741" customFormat="false" ht="16.5" hidden="false" customHeight="false" outlineLevel="0" collapsed="false">
      <c r="A741" s="59" t="n">
        <f aca="false">A740+1</f>
        <v>735</v>
      </c>
      <c r="C741" s="59" t="n">
        <v>31</v>
      </c>
      <c r="D741" s="59" t="s">
        <v>166</v>
      </c>
      <c r="E741" s="125" t="n">
        <f aca="false">E740+C740</f>
        <v>58866</v>
      </c>
      <c r="F741" s="425" t="n">
        <f aca="false">F693</f>
        <v>22</v>
      </c>
      <c r="G741" s="433" t="n">
        <f aca="false">C741-F741</f>
        <v>9</v>
      </c>
      <c r="H741" s="433"/>
      <c r="I741" s="433"/>
    </row>
    <row r="742" customFormat="false" ht="16.5" hidden="false" customHeight="false" outlineLevel="0" collapsed="false">
      <c r="A742" s="59" t="n">
        <f aca="false">A741+1</f>
        <v>736</v>
      </c>
      <c r="C742" s="59" t="n">
        <v>30</v>
      </c>
      <c r="D742" s="59" t="s">
        <v>167</v>
      </c>
      <c r="E742" s="125" t="n">
        <f aca="false">E741+C741</f>
        <v>58897</v>
      </c>
      <c r="F742" s="425" t="n">
        <f aca="false">F694</f>
        <v>21</v>
      </c>
      <c r="G742" s="433" t="n">
        <f aca="false">C742-F742</f>
        <v>9</v>
      </c>
      <c r="H742" s="433"/>
      <c r="I742" s="433"/>
    </row>
    <row r="743" customFormat="false" ht="16.5" hidden="false" customHeight="false" outlineLevel="0" collapsed="false">
      <c r="A743" s="59" t="n">
        <f aca="false">A742+1</f>
        <v>737</v>
      </c>
      <c r="C743" s="59" t="n">
        <v>31</v>
      </c>
      <c r="D743" s="59" t="s">
        <v>29</v>
      </c>
      <c r="E743" s="125" t="n">
        <f aca="false">E742+C742</f>
        <v>58927</v>
      </c>
      <c r="F743" s="425" t="n">
        <f aca="false">F695</f>
        <v>23</v>
      </c>
      <c r="G743" s="433" t="n">
        <f aca="false">C743-F743</f>
        <v>8</v>
      </c>
      <c r="H743" s="433"/>
      <c r="I743" s="433"/>
    </row>
    <row r="744" customFormat="false" ht="16.5" hidden="false" customHeight="false" outlineLevel="0" collapsed="false">
      <c r="A744" s="59" t="n">
        <f aca="false">A743+1</f>
        <v>738</v>
      </c>
      <c r="C744" s="59" t="n">
        <v>30</v>
      </c>
      <c r="D744" s="59" t="s">
        <v>168</v>
      </c>
      <c r="E744" s="125" t="n">
        <f aca="false">E743+C743</f>
        <v>58958</v>
      </c>
      <c r="F744" s="425" t="n">
        <f aca="false">F696</f>
        <v>21</v>
      </c>
      <c r="G744" s="433" t="n">
        <f aca="false">C744-F744</f>
        <v>9</v>
      </c>
      <c r="H744" s="433"/>
      <c r="I744" s="433"/>
    </row>
    <row r="745" customFormat="false" ht="16.5" hidden="false" customHeight="false" outlineLevel="0" collapsed="false">
      <c r="A745" s="59" t="n">
        <f aca="false">A744+1</f>
        <v>739</v>
      </c>
      <c r="C745" s="59" t="n">
        <v>31</v>
      </c>
      <c r="D745" s="59" t="s">
        <v>169</v>
      </c>
      <c r="E745" s="125" t="n">
        <f aca="false">E744+C744</f>
        <v>58988</v>
      </c>
      <c r="F745" s="425" t="n">
        <f aca="false">F697</f>
        <v>22</v>
      </c>
      <c r="G745" s="433" t="n">
        <f aca="false">C745-F745</f>
        <v>9</v>
      </c>
      <c r="H745" s="433"/>
      <c r="I745" s="433"/>
    </row>
    <row r="746" customFormat="false" ht="16.5" hidden="false" customHeight="false" outlineLevel="0" collapsed="false">
      <c r="A746" s="59" t="n">
        <f aca="false">A745+1</f>
        <v>740</v>
      </c>
      <c r="C746" s="59" t="n">
        <v>31</v>
      </c>
      <c r="D746" s="59" t="s">
        <v>170</v>
      </c>
      <c r="E746" s="125" t="n">
        <f aca="false">E745+C745</f>
        <v>59019</v>
      </c>
      <c r="F746" s="425" t="n">
        <f aca="false">F698</f>
        <v>23</v>
      </c>
      <c r="G746" s="433" t="n">
        <f aca="false">C746-F746</f>
        <v>8</v>
      </c>
      <c r="H746" s="433"/>
      <c r="I746" s="433"/>
    </row>
    <row r="747" customFormat="false" ht="16.5" hidden="false" customHeight="false" outlineLevel="0" collapsed="false">
      <c r="A747" s="59" t="n">
        <f aca="false">A746+1</f>
        <v>741</v>
      </c>
      <c r="C747" s="59" t="n">
        <v>30</v>
      </c>
      <c r="D747" s="59" t="s">
        <v>171</v>
      </c>
      <c r="E747" s="125" t="n">
        <f aca="false">E746+C746</f>
        <v>59050</v>
      </c>
      <c r="F747" s="425" t="n">
        <f aca="false">F699</f>
        <v>20</v>
      </c>
      <c r="G747" s="433" t="n">
        <f aca="false">C747-F747</f>
        <v>10</v>
      </c>
      <c r="H747" s="433"/>
      <c r="I747" s="433"/>
    </row>
    <row r="748" customFormat="false" ht="16.5" hidden="false" customHeight="false" outlineLevel="0" collapsed="false">
      <c r="A748" s="59" t="n">
        <f aca="false">A747+1</f>
        <v>742</v>
      </c>
      <c r="C748" s="59" t="n">
        <v>31</v>
      </c>
      <c r="D748" s="59" t="s">
        <v>172</v>
      </c>
      <c r="E748" s="125" t="n">
        <f aca="false">E747+C747</f>
        <v>59080</v>
      </c>
      <c r="F748" s="425" t="n">
        <f aca="false">F700</f>
        <v>23</v>
      </c>
      <c r="G748" s="433" t="n">
        <f aca="false">C748-F748</f>
        <v>8</v>
      </c>
      <c r="H748" s="433"/>
      <c r="I748" s="433"/>
    </row>
    <row r="749" customFormat="false" ht="16.5" hidden="false" customHeight="false" outlineLevel="0" collapsed="false">
      <c r="A749" s="59" t="n">
        <f aca="false">A748+1</f>
        <v>743</v>
      </c>
      <c r="C749" s="59" t="n">
        <v>30</v>
      </c>
      <c r="D749" s="59" t="s">
        <v>173</v>
      </c>
      <c r="E749" s="125" t="n">
        <f aca="false">E748+C748</f>
        <v>59111</v>
      </c>
      <c r="F749" s="425" t="n">
        <f aca="false">F701</f>
        <v>22</v>
      </c>
      <c r="G749" s="433" t="n">
        <f aca="false">C749-F749</f>
        <v>8</v>
      </c>
      <c r="H749" s="433"/>
      <c r="I749" s="433"/>
    </row>
    <row r="750" customFormat="false" ht="16.5" hidden="false" customHeight="false" outlineLevel="0" collapsed="false">
      <c r="A750" s="59" t="n">
        <f aca="false">A749+1</f>
        <v>744</v>
      </c>
      <c r="C750" s="59" t="n">
        <v>31</v>
      </c>
      <c r="D750" s="59" t="s">
        <v>174</v>
      </c>
      <c r="E750" s="125" t="n">
        <f aca="false">E749+C749</f>
        <v>59141</v>
      </c>
      <c r="F750" s="425" t="n">
        <f aca="false">F702</f>
        <v>21</v>
      </c>
      <c r="G750" s="433" t="n">
        <f aca="false">C750-F750</f>
        <v>10</v>
      </c>
      <c r="H750" s="433" t="n">
        <f aca="false">SUM(F739:G750)</f>
        <v>365</v>
      </c>
      <c r="I750" s="433"/>
    </row>
    <row r="751" customFormat="false" ht="16.5" hidden="false" customHeight="false" outlineLevel="0" collapsed="false">
      <c r="A751" s="59" t="n">
        <f aca="false">A750+1</f>
        <v>745</v>
      </c>
      <c r="C751" s="59" t="n">
        <v>31</v>
      </c>
      <c r="D751" s="59" t="s">
        <v>164</v>
      </c>
      <c r="E751" s="125" t="n">
        <f aca="false">E750+C750</f>
        <v>59172</v>
      </c>
      <c r="F751" s="425" t="n">
        <f aca="false">F703</f>
        <v>23</v>
      </c>
      <c r="G751" s="433" t="n">
        <f aca="false">C751-F751</f>
        <v>8</v>
      </c>
      <c r="H751" s="433"/>
      <c r="I751" s="433"/>
    </row>
    <row r="752" customFormat="false" ht="16.5" hidden="false" customHeight="false" outlineLevel="0" collapsed="false">
      <c r="A752" s="59" t="n">
        <f aca="false">A751+1</f>
        <v>746</v>
      </c>
      <c r="C752" s="59" t="n">
        <v>28</v>
      </c>
      <c r="D752" s="59" t="s">
        <v>165</v>
      </c>
      <c r="E752" s="125" t="n">
        <f aca="false">E751+C751</f>
        <v>59203</v>
      </c>
      <c r="F752" s="425" t="n">
        <f aca="false">F704</f>
        <v>20</v>
      </c>
      <c r="G752" s="433" t="n">
        <f aca="false">C752-F752</f>
        <v>8</v>
      </c>
      <c r="H752" s="433"/>
      <c r="I752" s="433"/>
    </row>
    <row r="753" customFormat="false" ht="16.5" hidden="false" customHeight="false" outlineLevel="0" collapsed="false">
      <c r="A753" s="59" t="n">
        <f aca="false">A752+1</f>
        <v>747</v>
      </c>
      <c r="C753" s="59" t="n">
        <v>31</v>
      </c>
      <c r="D753" s="59" t="s">
        <v>166</v>
      </c>
      <c r="E753" s="125" t="n">
        <f aca="false">E752+C752</f>
        <v>59231</v>
      </c>
      <c r="F753" s="425" t="n">
        <f aca="false">F705</f>
        <v>21</v>
      </c>
      <c r="G753" s="433" t="n">
        <f aca="false">C753-F753</f>
        <v>10</v>
      </c>
      <c r="H753" s="433"/>
      <c r="I753" s="433"/>
    </row>
    <row r="754" customFormat="false" ht="16.5" hidden="false" customHeight="false" outlineLevel="0" collapsed="false">
      <c r="A754" s="59" t="n">
        <f aca="false">A753+1</f>
        <v>748</v>
      </c>
      <c r="C754" s="59" t="n">
        <v>30</v>
      </c>
      <c r="D754" s="59" t="s">
        <v>167</v>
      </c>
      <c r="E754" s="125" t="n">
        <f aca="false">E753+C753</f>
        <v>59262</v>
      </c>
      <c r="F754" s="425" t="n">
        <f aca="false">F706</f>
        <v>22</v>
      </c>
      <c r="G754" s="433" t="n">
        <f aca="false">C754-F754</f>
        <v>8</v>
      </c>
      <c r="H754" s="433"/>
      <c r="I754" s="433"/>
    </row>
    <row r="755" customFormat="false" ht="16.5" hidden="false" customHeight="false" outlineLevel="0" collapsed="false">
      <c r="A755" s="59" t="n">
        <f aca="false">A754+1</f>
        <v>749</v>
      </c>
      <c r="C755" s="59" t="n">
        <v>31</v>
      </c>
      <c r="D755" s="59" t="s">
        <v>29</v>
      </c>
      <c r="E755" s="125" t="n">
        <f aca="false">E754+C754</f>
        <v>59292</v>
      </c>
      <c r="F755" s="425" t="n">
        <f aca="false">F707</f>
        <v>23</v>
      </c>
      <c r="G755" s="433" t="n">
        <f aca="false">C755-F755</f>
        <v>8</v>
      </c>
      <c r="H755" s="433"/>
      <c r="I755" s="433"/>
    </row>
    <row r="756" customFormat="false" ht="16.5" hidden="false" customHeight="false" outlineLevel="0" collapsed="false">
      <c r="A756" s="59" t="n">
        <f aca="false">A755+1</f>
        <v>750</v>
      </c>
      <c r="C756" s="59" t="n">
        <v>30</v>
      </c>
      <c r="D756" s="59" t="s">
        <v>168</v>
      </c>
      <c r="E756" s="125" t="n">
        <f aca="false">E755+C755</f>
        <v>59323</v>
      </c>
      <c r="F756" s="425" t="n">
        <f aca="false">F708</f>
        <v>20</v>
      </c>
      <c r="G756" s="433" t="n">
        <f aca="false">C756-F756</f>
        <v>10</v>
      </c>
      <c r="H756" s="433"/>
      <c r="I756" s="433"/>
    </row>
    <row r="757" customFormat="false" ht="16.5" hidden="false" customHeight="false" outlineLevel="0" collapsed="false">
      <c r="A757" s="59" t="n">
        <f aca="false">A756+1</f>
        <v>751</v>
      </c>
      <c r="C757" s="59" t="n">
        <v>31</v>
      </c>
      <c r="D757" s="59" t="s">
        <v>169</v>
      </c>
      <c r="E757" s="125" t="n">
        <f aca="false">E756+C756</f>
        <v>59353</v>
      </c>
      <c r="F757" s="425" t="n">
        <f aca="false">F709</f>
        <v>23</v>
      </c>
      <c r="G757" s="433" t="n">
        <f aca="false">C757-F757</f>
        <v>8</v>
      </c>
      <c r="H757" s="433"/>
      <c r="I757" s="433"/>
    </row>
    <row r="758" customFormat="false" ht="16.5" hidden="false" customHeight="false" outlineLevel="0" collapsed="false">
      <c r="A758" s="59" t="n">
        <f aca="false">A757+1</f>
        <v>752</v>
      </c>
      <c r="C758" s="59" t="n">
        <v>31</v>
      </c>
      <c r="D758" s="59" t="s">
        <v>170</v>
      </c>
      <c r="E758" s="125" t="n">
        <f aca="false">E757+C757</f>
        <v>59384</v>
      </c>
      <c r="F758" s="425" t="n">
        <f aca="false">F710</f>
        <v>22</v>
      </c>
      <c r="G758" s="433" t="n">
        <f aca="false">C758-F758</f>
        <v>9</v>
      </c>
      <c r="H758" s="433"/>
      <c r="I758" s="433"/>
    </row>
    <row r="759" customFormat="false" ht="16.5" hidden="false" customHeight="false" outlineLevel="0" collapsed="false">
      <c r="A759" s="59" t="n">
        <f aca="false">A758+1</f>
        <v>753</v>
      </c>
      <c r="C759" s="59" t="n">
        <v>30</v>
      </c>
      <c r="D759" s="59" t="s">
        <v>171</v>
      </c>
      <c r="E759" s="125" t="n">
        <f aca="false">E758+C758</f>
        <v>59415</v>
      </c>
      <c r="F759" s="425" t="n">
        <f aca="false">F711</f>
        <v>21</v>
      </c>
      <c r="G759" s="433" t="n">
        <f aca="false">C759-F759</f>
        <v>9</v>
      </c>
      <c r="H759" s="433"/>
      <c r="I759" s="433"/>
    </row>
    <row r="760" customFormat="false" ht="16.5" hidden="false" customHeight="false" outlineLevel="0" collapsed="false">
      <c r="A760" s="59" t="n">
        <f aca="false">A759+1</f>
        <v>754</v>
      </c>
      <c r="C760" s="59" t="n">
        <v>31</v>
      </c>
      <c r="D760" s="59" t="s">
        <v>172</v>
      </c>
      <c r="E760" s="125" t="n">
        <f aca="false">E759+C759</f>
        <v>59445</v>
      </c>
      <c r="F760" s="425" t="n">
        <f aca="false">F712</f>
        <v>23</v>
      </c>
      <c r="G760" s="433" t="n">
        <f aca="false">C760-F760</f>
        <v>8</v>
      </c>
      <c r="H760" s="433"/>
      <c r="I760" s="433"/>
    </row>
    <row r="761" customFormat="false" ht="16.5" hidden="false" customHeight="false" outlineLevel="0" collapsed="false">
      <c r="A761" s="59" t="n">
        <f aca="false">A760+1</f>
        <v>755</v>
      </c>
      <c r="C761" s="59" t="n">
        <v>30</v>
      </c>
      <c r="D761" s="59" t="s">
        <v>173</v>
      </c>
      <c r="E761" s="125" t="n">
        <f aca="false">E760+C760</f>
        <v>59476</v>
      </c>
      <c r="F761" s="425" t="n">
        <f aca="false">F713</f>
        <v>21</v>
      </c>
      <c r="G761" s="433" t="n">
        <f aca="false">C761-F761</f>
        <v>9</v>
      </c>
      <c r="H761" s="433"/>
      <c r="I761" s="433"/>
    </row>
    <row r="762" customFormat="false" ht="16.5" hidden="false" customHeight="false" outlineLevel="0" collapsed="false">
      <c r="A762" s="59" t="n">
        <f aca="false">A761+1</f>
        <v>756</v>
      </c>
      <c r="C762" s="59" t="n">
        <v>31</v>
      </c>
      <c r="D762" s="59" t="s">
        <v>174</v>
      </c>
      <c r="E762" s="125" t="n">
        <f aca="false">E761+C761</f>
        <v>59506</v>
      </c>
      <c r="F762" s="425" t="n">
        <f aca="false">F714</f>
        <v>22</v>
      </c>
      <c r="G762" s="433" t="n">
        <f aca="false">C762-F762</f>
        <v>9</v>
      </c>
      <c r="H762" s="433" t="n">
        <f aca="false">SUM(F751:G762)</f>
        <v>365</v>
      </c>
      <c r="I762" s="433"/>
    </row>
    <row r="763" customFormat="false" ht="16.5" hidden="false" customHeight="false" outlineLevel="0" collapsed="false">
      <c r="A763" s="59" t="n">
        <f aca="false">A762+1</f>
        <v>757</v>
      </c>
      <c r="C763" s="59" t="n">
        <v>31</v>
      </c>
      <c r="D763" s="59" t="s">
        <v>164</v>
      </c>
      <c r="E763" s="125" t="n">
        <f aca="false">E762+C762</f>
        <v>59537</v>
      </c>
      <c r="F763" s="425" t="n">
        <f aca="false">F715</f>
        <v>23</v>
      </c>
      <c r="G763" s="433" t="n">
        <f aca="false">C763-F763</f>
        <v>8</v>
      </c>
      <c r="H763" s="433"/>
      <c r="I763" s="433"/>
    </row>
    <row r="764" customFormat="false" ht="16.5" hidden="false" customHeight="false" outlineLevel="0" collapsed="false">
      <c r="A764" s="59" t="n">
        <f aca="false">A763+1</f>
        <v>758</v>
      </c>
      <c r="C764" s="59" t="n">
        <v>28</v>
      </c>
      <c r="D764" s="59" t="s">
        <v>165</v>
      </c>
      <c r="E764" s="125" t="n">
        <f aca="false">E763+C763</f>
        <v>59568</v>
      </c>
      <c r="F764" s="425" t="n">
        <f aca="false">F716</f>
        <v>20</v>
      </c>
      <c r="G764" s="433" t="n">
        <f aca="false">C764-F764</f>
        <v>8</v>
      </c>
      <c r="H764" s="433"/>
      <c r="I764" s="433"/>
    </row>
    <row r="765" customFormat="false" ht="16.5" hidden="false" customHeight="false" outlineLevel="0" collapsed="false">
      <c r="A765" s="59" t="n">
        <f aca="false">A764+1</f>
        <v>759</v>
      </c>
      <c r="C765" s="59" t="n">
        <v>31</v>
      </c>
      <c r="D765" s="59" t="s">
        <v>166</v>
      </c>
      <c r="E765" s="125" t="n">
        <f aca="false">E764+C764</f>
        <v>59596</v>
      </c>
      <c r="F765" s="425" t="n">
        <f aca="false">F717</f>
        <v>21</v>
      </c>
      <c r="G765" s="433" t="n">
        <f aca="false">C765-F765</f>
        <v>10</v>
      </c>
      <c r="H765" s="433"/>
      <c r="I765" s="433"/>
    </row>
    <row r="766" customFormat="false" ht="16.5" hidden="false" customHeight="false" outlineLevel="0" collapsed="false">
      <c r="A766" s="59" t="n">
        <f aca="false">A765+1</f>
        <v>760</v>
      </c>
      <c r="C766" s="59" t="n">
        <v>30</v>
      </c>
      <c r="D766" s="59" t="s">
        <v>167</v>
      </c>
      <c r="E766" s="125" t="n">
        <f aca="false">E765+C765</f>
        <v>59627</v>
      </c>
      <c r="F766" s="425" t="n">
        <f aca="false">F718</f>
        <v>22</v>
      </c>
      <c r="G766" s="433" t="n">
        <f aca="false">C766-F766</f>
        <v>8</v>
      </c>
      <c r="H766" s="433"/>
      <c r="I766" s="433"/>
    </row>
    <row r="767" customFormat="false" ht="16.5" hidden="false" customHeight="false" outlineLevel="0" collapsed="false">
      <c r="A767" s="59" t="n">
        <f aca="false">A766+1</f>
        <v>761</v>
      </c>
      <c r="C767" s="59" t="n">
        <v>31</v>
      </c>
      <c r="D767" s="59" t="s">
        <v>29</v>
      </c>
      <c r="E767" s="125" t="n">
        <f aca="false">E766+C766</f>
        <v>59657</v>
      </c>
      <c r="F767" s="425" t="n">
        <f aca="false">F719</f>
        <v>22</v>
      </c>
      <c r="G767" s="433" t="n">
        <f aca="false">C767-F767</f>
        <v>9</v>
      </c>
      <c r="H767" s="433"/>
      <c r="I767" s="433"/>
    </row>
    <row r="768" customFormat="false" ht="16.5" hidden="false" customHeight="false" outlineLevel="0" collapsed="false">
      <c r="A768" s="59" t="n">
        <f aca="false">A767+1</f>
        <v>762</v>
      </c>
      <c r="C768" s="59" t="n">
        <v>30</v>
      </c>
      <c r="D768" s="59" t="s">
        <v>168</v>
      </c>
      <c r="E768" s="125" t="n">
        <f aca="false">E767+C767</f>
        <v>59688</v>
      </c>
      <c r="F768" s="425" t="n">
        <f aca="false">F720</f>
        <v>21</v>
      </c>
      <c r="G768" s="433" t="n">
        <f aca="false">C768-F768</f>
        <v>9</v>
      </c>
      <c r="H768" s="433"/>
      <c r="I768" s="433"/>
    </row>
    <row r="769" customFormat="false" ht="16.5" hidden="false" customHeight="false" outlineLevel="0" collapsed="false">
      <c r="A769" s="59" t="n">
        <f aca="false">A768+1</f>
        <v>763</v>
      </c>
      <c r="C769" s="59" t="n">
        <v>31</v>
      </c>
      <c r="D769" s="59" t="s">
        <v>169</v>
      </c>
      <c r="E769" s="125" t="n">
        <f aca="false">E768+C768</f>
        <v>59718</v>
      </c>
      <c r="F769" s="425" t="n">
        <f aca="false">F721</f>
        <v>23</v>
      </c>
      <c r="G769" s="433" t="n">
        <f aca="false">C769-F769</f>
        <v>8</v>
      </c>
      <c r="H769" s="433"/>
      <c r="I769" s="433"/>
    </row>
    <row r="770" customFormat="false" ht="16.5" hidden="false" customHeight="false" outlineLevel="0" collapsed="false">
      <c r="A770" s="59" t="n">
        <f aca="false">A769+1</f>
        <v>764</v>
      </c>
      <c r="C770" s="59" t="n">
        <v>31</v>
      </c>
      <c r="D770" s="59" t="s">
        <v>170</v>
      </c>
      <c r="E770" s="125" t="n">
        <f aca="false">E769+C769</f>
        <v>59749</v>
      </c>
      <c r="F770" s="425" t="n">
        <f aca="false">F722</f>
        <v>21</v>
      </c>
      <c r="G770" s="433" t="n">
        <f aca="false">C770-F770</f>
        <v>10</v>
      </c>
      <c r="H770" s="433"/>
      <c r="I770" s="433"/>
    </row>
    <row r="771" customFormat="false" ht="16.5" hidden="false" customHeight="false" outlineLevel="0" collapsed="false">
      <c r="A771" s="59" t="n">
        <f aca="false">A770+1</f>
        <v>765</v>
      </c>
      <c r="C771" s="59" t="n">
        <v>30</v>
      </c>
      <c r="D771" s="59" t="s">
        <v>171</v>
      </c>
      <c r="E771" s="125" t="n">
        <f aca="false">E770+C770</f>
        <v>59780</v>
      </c>
      <c r="F771" s="425" t="n">
        <f aca="false">F723</f>
        <v>22</v>
      </c>
      <c r="G771" s="433" t="n">
        <f aca="false">C771-F771</f>
        <v>8</v>
      </c>
      <c r="H771" s="433"/>
      <c r="I771" s="433"/>
    </row>
    <row r="772" customFormat="false" ht="16.5" hidden="false" customHeight="false" outlineLevel="0" collapsed="false">
      <c r="A772" s="59" t="n">
        <f aca="false">A771+1</f>
        <v>766</v>
      </c>
      <c r="C772" s="59" t="n">
        <v>31</v>
      </c>
      <c r="D772" s="59" t="s">
        <v>172</v>
      </c>
      <c r="E772" s="125" t="n">
        <f aca="false">E771+C771</f>
        <v>59810</v>
      </c>
      <c r="F772" s="425" t="n">
        <f aca="false">F724</f>
        <v>23</v>
      </c>
      <c r="G772" s="433" t="n">
        <f aca="false">C772-F772</f>
        <v>8</v>
      </c>
      <c r="H772" s="433"/>
      <c r="I772" s="433"/>
    </row>
    <row r="773" customFormat="false" ht="16.5" hidden="false" customHeight="false" outlineLevel="0" collapsed="false">
      <c r="A773" s="59" t="n">
        <f aca="false">A772+1</f>
        <v>767</v>
      </c>
      <c r="C773" s="59" t="n">
        <v>30</v>
      </c>
      <c r="D773" s="59" t="s">
        <v>173</v>
      </c>
      <c r="E773" s="125" t="n">
        <f aca="false">E772+C772</f>
        <v>59841</v>
      </c>
      <c r="F773" s="425" t="n">
        <f aca="false">F725</f>
        <v>20</v>
      </c>
      <c r="G773" s="433" t="n">
        <f aca="false">C773-F773</f>
        <v>10</v>
      </c>
      <c r="H773" s="433"/>
      <c r="I773" s="433"/>
    </row>
    <row r="774" customFormat="false" ht="16.5" hidden="false" customHeight="false" outlineLevel="0" collapsed="false">
      <c r="A774" s="59" t="n">
        <f aca="false">A773+1</f>
        <v>768</v>
      </c>
      <c r="C774" s="59" t="n">
        <v>31</v>
      </c>
      <c r="D774" s="59" t="s">
        <v>174</v>
      </c>
      <c r="E774" s="125" t="n">
        <f aca="false">E773+C773</f>
        <v>59871</v>
      </c>
      <c r="F774" s="425" t="n">
        <f aca="false">F726</f>
        <v>23</v>
      </c>
      <c r="G774" s="433" t="n">
        <f aca="false">C774-F774</f>
        <v>8</v>
      </c>
      <c r="H774" s="433" t="n">
        <f aca="false">SUM(F763:G774)</f>
        <v>365</v>
      </c>
      <c r="I774" s="433"/>
    </row>
    <row r="775" customFormat="false" ht="16.5" hidden="false" customHeight="false" outlineLevel="0" collapsed="false">
      <c r="F775" s="425"/>
      <c r="I775" s="433"/>
    </row>
    <row r="776" customFormat="false" ht="16.5" hidden="false" customHeight="false" outlineLevel="0" collapsed="false">
      <c r="I776" s="433"/>
    </row>
    <row r="777" customFormat="false" ht="16.5" hidden="false" customHeight="false" outlineLevel="0" collapsed="false">
      <c r="I777" s="433"/>
    </row>
    <row r="778" customFormat="false" ht="16.5" hidden="false" customHeight="false" outlineLevel="0" collapsed="false">
      <c r="I778" s="433"/>
    </row>
  </sheetData>
  <mergeCells count="3">
    <mergeCell ref="AY2:BJ2"/>
    <mergeCell ref="BN2:BQ2"/>
    <mergeCell ref="L6:M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8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E28" activeCellId="0" sqref="E28"/>
    </sheetView>
  </sheetViews>
  <sheetFormatPr defaultColWidth="12.70703125" defaultRowHeight="12.75" customHeight="true" zeroHeight="false" outlineLevelRow="0" outlineLevelCol="0"/>
  <cols>
    <col collapsed="false" customWidth="true" hidden="false" outlineLevel="0" max="1" min="1" style="511" width="5.99"/>
    <col collapsed="false" customWidth="true" hidden="false" outlineLevel="0" max="2" min="2" style="179" width="32.14"/>
    <col collapsed="false" customWidth="false" hidden="false" outlineLevel="0" max="22" min="3" style="511" width="12.7"/>
    <col collapsed="false" customWidth="false" hidden="false" outlineLevel="0" max="23" min="23" style="512" width="12.7"/>
    <col collapsed="false" customWidth="false" hidden="false" outlineLevel="0" max="257" min="24" style="511" width="12.7"/>
  </cols>
  <sheetData>
    <row r="1" customFormat="false" ht="12.75" hidden="true" customHeight="false" outlineLevel="0" collapsed="false">
      <c r="C1" s="511" t="n">
        <v>12</v>
      </c>
      <c r="D1" s="513" t="n">
        <f aca="false">C2+1</f>
        <v>19</v>
      </c>
      <c r="E1" s="513" t="n">
        <f aca="false">D2+1</f>
        <v>31</v>
      </c>
      <c r="F1" s="513" t="n">
        <f aca="false">E2+1</f>
        <v>43</v>
      </c>
      <c r="G1" s="513" t="n">
        <f aca="false">F2+1</f>
        <v>55</v>
      </c>
      <c r="H1" s="513" t="n">
        <f aca="false">G2+1</f>
        <v>67</v>
      </c>
      <c r="I1" s="513" t="n">
        <f aca="false">H2+1</f>
        <v>79</v>
      </c>
      <c r="J1" s="513" t="n">
        <f aca="false">I2+1</f>
        <v>91</v>
      </c>
      <c r="K1" s="513" t="n">
        <f aca="false">J2+1</f>
        <v>103</v>
      </c>
      <c r="L1" s="513" t="n">
        <f aca="false">K2+1</f>
        <v>115</v>
      </c>
      <c r="M1" s="513" t="n">
        <f aca="false">L2+1</f>
        <v>127</v>
      </c>
      <c r="N1" s="513" t="n">
        <f aca="false">M2+1</f>
        <v>139</v>
      </c>
      <c r="O1" s="513" t="n">
        <f aca="false">N2+1</f>
        <v>151</v>
      </c>
      <c r="P1" s="513" t="n">
        <f aca="false">O2+1</f>
        <v>163</v>
      </c>
      <c r="Q1" s="513" t="n">
        <f aca="false">P2+1</f>
        <v>175</v>
      </c>
      <c r="R1" s="513" t="n">
        <f aca="false">Q2+1</f>
        <v>187</v>
      </c>
      <c r="S1" s="513" t="n">
        <f aca="false">R2+1</f>
        <v>199</v>
      </c>
      <c r="T1" s="513" t="n">
        <f aca="false">S2+1</f>
        <v>211</v>
      </c>
      <c r="U1" s="513" t="n">
        <f aca="false">T2+1</f>
        <v>223</v>
      </c>
      <c r="V1" s="513" t="n">
        <f aca="false">U2+1</f>
        <v>235</v>
      </c>
      <c r="W1" s="514" t="n">
        <f aca="false">V2+1</f>
        <v>247</v>
      </c>
    </row>
    <row r="2" customFormat="false" ht="12.75" hidden="true" customHeight="false" outlineLevel="0" collapsed="false">
      <c r="C2" s="515" t="n">
        <v>18</v>
      </c>
      <c r="D2" s="513" t="n">
        <f aca="false">D1+11</f>
        <v>30</v>
      </c>
      <c r="E2" s="513" t="n">
        <f aca="false">E1+11</f>
        <v>42</v>
      </c>
      <c r="F2" s="513" t="n">
        <f aca="false">F1+11</f>
        <v>54</v>
      </c>
      <c r="G2" s="513" t="n">
        <f aca="false">G1+11</f>
        <v>66</v>
      </c>
      <c r="H2" s="513" t="n">
        <f aca="false">H1+11</f>
        <v>78</v>
      </c>
      <c r="I2" s="513" t="n">
        <f aca="false">I1+11</f>
        <v>90</v>
      </c>
      <c r="J2" s="513" t="n">
        <f aca="false">J1+11</f>
        <v>102</v>
      </c>
      <c r="K2" s="513" t="n">
        <f aca="false">K1+11</f>
        <v>114</v>
      </c>
      <c r="L2" s="513" t="n">
        <f aca="false">L1+11</f>
        <v>126</v>
      </c>
      <c r="M2" s="513" t="n">
        <f aca="false">M1+11</f>
        <v>138</v>
      </c>
      <c r="N2" s="513" t="n">
        <f aca="false">N1+11</f>
        <v>150</v>
      </c>
      <c r="O2" s="513" t="n">
        <f aca="false">O1+11</f>
        <v>162</v>
      </c>
      <c r="P2" s="513" t="n">
        <f aca="false">P1+11</f>
        <v>174</v>
      </c>
      <c r="Q2" s="513" t="n">
        <f aca="false">Q1+11</f>
        <v>186</v>
      </c>
      <c r="R2" s="513" t="n">
        <f aca="false">R1+11</f>
        <v>198</v>
      </c>
      <c r="S2" s="513" t="n">
        <f aca="false">S1+11</f>
        <v>210</v>
      </c>
      <c r="T2" s="513" t="n">
        <f aca="false">T1+11</f>
        <v>222</v>
      </c>
      <c r="U2" s="513" t="n">
        <f aca="false">U1+11</f>
        <v>234</v>
      </c>
      <c r="V2" s="513" t="n">
        <f aca="false">V1+11</f>
        <v>246</v>
      </c>
      <c r="W2" s="514" t="n">
        <f aca="false">W1+11</f>
        <v>258</v>
      </c>
    </row>
    <row r="3" customFormat="false" ht="12.75" hidden="true" customHeight="false" outlineLevel="0" collapsed="false">
      <c r="V3" s="513"/>
    </row>
    <row r="6" customFormat="false" ht="8.25" hidden="false" customHeight="false" outlineLevel="0" collapsed="false">
      <c r="A6" s="516"/>
      <c r="B6" s="517"/>
      <c r="C6" s="516" t="n">
        <v>1</v>
      </c>
      <c r="D6" s="516" t="n">
        <f aca="false">C6+1</f>
        <v>2</v>
      </c>
      <c r="E6" s="516" t="n">
        <f aca="false">D6+1</f>
        <v>3</v>
      </c>
      <c r="F6" s="516" t="n">
        <f aca="false">E6+1</f>
        <v>4</v>
      </c>
      <c r="G6" s="516" t="n">
        <f aca="false">F6+1</f>
        <v>5</v>
      </c>
      <c r="H6" s="516" t="n">
        <f aca="false">G6+1</f>
        <v>6</v>
      </c>
      <c r="I6" s="516" t="n">
        <f aca="false">H6+1</f>
        <v>7</v>
      </c>
      <c r="J6" s="516" t="n">
        <f aca="false">I6+1</f>
        <v>8</v>
      </c>
      <c r="K6" s="516" t="n">
        <f aca="false">J6+1</f>
        <v>9</v>
      </c>
      <c r="L6" s="516" t="n">
        <f aca="false">K6+1</f>
        <v>10</v>
      </c>
      <c r="M6" s="516" t="n">
        <f aca="false">L6+1</f>
        <v>11</v>
      </c>
      <c r="N6" s="516" t="n">
        <f aca="false">M6+1</f>
        <v>12</v>
      </c>
      <c r="O6" s="516" t="n">
        <f aca="false">N6+1</f>
        <v>13</v>
      </c>
      <c r="P6" s="516" t="n">
        <f aca="false">O6+1</f>
        <v>14</v>
      </c>
      <c r="Q6" s="516" t="n">
        <f aca="false">P6+1</f>
        <v>15</v>
      </c>
      <c r="R6" s="516" t="n">
        <f aca="false">Q6+1</f>
        <v>16</v>
      </c>
      <c r="S6" s="516" t="n">
        <f aca="false">R6+1</f>
        <v>17</v>
      </c>
      <c r="T6" s="516" t="n">
        <f aca="false">S6+1</f>
        <v>18</v>
      </c>
      <c r="U6" s="516" t="n">
        <f aca="false">T6+1</f>
        <v>19</v>
      </c>
      <c r="V6" s="516" t="n">
        <f aca="false">U6+1</f>
        <v>20</v>
      </c>
      <c r="W6" s="518" t="n">
        <v>21</v>
      </c>
      <c r="X6" s="516"/>
      <c r="Y6" s="516"/>
      <c r="Z6" s="516"/>
      <c r="AA6" s="516"/>
      <c r="AB6" s="516"/>
      <c r="AC6" s="516"/>
      <c r="AD6" s="516"/>
      <c r="AE6" s="516"/>
      <c r="AF6" s="516"/>
      <c r="AG6" s="516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516"/>
      <c r="AU6" s="516"/>
      <c r="AV6" s="516"/>
      <c r="AW6" s="516"/>
      <c r="AX6" s="516"/>
      <c r="AY6" s="516"/>
      <c r="AZ6" s="516"/>
      <c r="BA6" s="516"/>
      <c r="BB6" s="516"/>
      <c r="BC6" s="516"/>
      <c r="BD6" s="516"/>
      <c r="BE6" s="516"/>
      <c r="BF6" s="516"/>
      <c r="BG6" s="516"/>
      <c r="BH6" s="516"/>
      <c r="BI6" s="516"/>
      <c r="BJ6" s="516"/>
      <c r="BK6" s="516"/>
      <c r="BL6" s="516"/>
      <c r="BM6" s="516"/>
      <c r="BN6" s="516"/>
      <c r="BO6" s="516"/>
      <c r="BP6" s="516"/>
      <c r="BQ6" s="516"/>
      <c r="BR6" s="516"/>
      <c r="BS6" s="516"/>
      <c r="BT6" s="516"/>
      <c r="BU6" s="516"/>
      <c r="BV6" s="516"/>
      <c r="BW6" s="516"/>
      <c r="BX6" s="516"/>
      <c r="BY6" s="516"/>
      <c r="BZ6" s="516"/>
      <c r="CA6" s="516"/>
      <c r="CB6" s="516"/>
      <c r="CC6" s="516"/>
      <c r="CD6" s="516"/>
      <c r="CE6" s="516"/>
      <c r="CF6" s="516"/>
      <c r="CG6" s="516"/>
      <c r="CH6" s="516"/>
      <c r="CI6" s="516"/>
      <c r="CJ6" s="516"/>
      <c r="CK6" s="516"/>
      <c r="CL6" s="516"/>
      <c r="CM6" s="516"/>
      <c r="CN6" s="516"/>
      <c r="CO6" s="516"/>
      <c r="CP6" s="516"/>
      <c r="CQ6" s="516"/>
      <c r="CR6" s="516"/>
      <c r="CS6" s="516"/>
      <c r="CT6" s="516"/>
      <c r="CU6" s="516"/>
      <c r="CV6" s="516"/>
      <c r="CW6" s="516"/>
      <c r="CX6" s="516"/>
      <c r="CY6" s="516"/>
      <c r="CZ6" s="516"/>
      <c r="DA6" s="516"/>
      <c r="DB6" s="516"/>
      <c r="DC6" s="516"/>
      <c r="DD6" s="516"/>
      <c r="DE6" s="516"/>
      <c r="DF6" s="516"/>
      <c r="DG6" s="516"/>
      <c r="DH6" s="516"/>
      <c r="DI6" s="516"/>
      <c r="DJ6" s="516"/>
      <c r="DK6" s="516"/>
      <c r="DL6" s="516"/>
      <c r="DM6" s="516"/>
      <c r="DN6" s="516"/>
      <c r="DO6" s="516"/>
      <c r="DP6" s="516"/>
      <c r="DQ6" s="516"/>
      <c r="DR6" s="516"/>
      <c r="DS6" s="516"/>
      <c r="DT6" s="516"/>
      <c r="DU6" s="516"/>
      <c r="DV6" s="516"/>
      <c r="DW6" s="516"/>
      <c r="DX6" s="516"/>
      <c r="DY6" s="516"/>
      <c r="DZ6" s="516"/>
      <c r="EA6" s="516"/>
      <c r="EB6" s="516"/>
      <c r="EC6" s="516"/>
      <c r="ED6" s="516"/>
      <c r="EE6" s="516"/>
      <c r="EF6" s="516"/>
      <c r="EG6" s="516"/>
      <c r="EH6" s="516"/>
      <c r="EI6" s="516"/>
      <c r="EJ6" s="516"/>
      <c r="EK6" s="516"/>
      <c r="EL6" s="516"/>
      <c r="EM6" s="516"/>
      <c r="EN6" s="516"/>
      <c r="EO6" s="516"/>
      <c r="EP6" s="516"/>
      <c r="EQ6" s="516"/>
      <c r="ER6" s="516"/>
      <c r="ES6" s="516"/>
      <c r="ET6" s="516"/>
      <c r="EU6" s="516"/>
      <c r="EV6" s="516"/>
      <c r="EW6" s="516"/>
      <c r="EX6" s="516"/>
      <c r="EY6" s="516"/>
      <c r="EZ6" s="516"/>
      <c r="FA6" s="516"/>
      <c r="FB6" s="516"/>
      <c r="FC6" s="516"/>
      <c r="FD6" s="516"/>
      <c r="FE6" s="516"/>
      <c r="FF6" s="516"/>
      <c r="FG6" s="516"/>
      <c r="FH6" s="516"/>
      <c r="FI6" s="516"/>
      <c r="FJ6" s="516"/>
      <c r="FK6" s="516"/>
      <c r="FL6" s="516"/>
      <c r="FM6" s="516"/>
      <c r="FN6" s="516"/>
      <c r="FO6" s="516"/>
      <c r="FP6" s="516"/>
      <c r="FQ6" s="516"/>
      <c r="FR6" s="516"/>
      <c r="FS6" s="516"/>
      <c r="FT6" s="516"/>
      <c r="FU6" s="516"/>
      <c r="FV6" s="516"/>
      <c r="FW6" s="516"/>
      <c r="FX6" s="516"/>
      <c r="FY6" s="516"/>
      <c r="FZ6" s="516"/>
      <c r="GA6" s="516"/>
      <c r="GB6" s="516"/>
      <c r="GC6" s="516"/>
      <c r="GD6" s="516"/>
      <c r="GE6" s="516"/>
      <c r="GF6" s="516"/>
      <c r="GG6" s="516"/>
      <c r="GH6" s="516"/>
      <c r="GI6" s="516"/>
      <c r="GJ6" s="516"/>
      <c r="GK6" s="516"/>
      <c r="GL6" s="516"/>
      <c r="GM6" s="516"/>
      <c r="GN6" s="516"/>
      <c r="GO6" s="516"/>
      <c r="GP6" s="516"/>
      <c r="GQ6" s="516"/>
      <c r="GR6" s="516"/>
      <c r="GS6" s="516"/>
      <c r="GT6" s="516"/>
      <c r="GU6" s="516"/>
      <c r="GV6" s="516"/>
      <c r="GW6" s="516"/>
      <c r="GX6" s="516"/>
      <c r="GY6" s="516"/>
      <c r="GZ6" s="516"/>
      <c r="HA6" s="516"/>
      <c r="HB6" s="516"/>
      <c r="HC6" s="516"/>
      <c r="HD6" s="516"/>
      <c r="HE6" s="516"/>
      <c r="HF6" s="516"/>
      <c r="HG6" s="516"/>
      <c r="HH6" s="516"/>
      <c r="HI6" s="516"/>
      <c r="HJ6" s="516"/>
      <c r="HK6" s="516"/>
      <c r="HL6" s="516"/>
      <c r="HM6" s="516"/>
      <c r="HN6" s="516"/>
      <c r="HO6" s="516"/>
      <c r="HP6" s="516"/>
      <c r="HQ6" s="516"/>
      <c r="HR6" s="516"/>
      <c r="HS6" s="516"/>
      <c r="HT6" s="516"/>
      <c r="HU6" s="516"/>
      <c r="HV6" s="516"/>
      <c r="HW6" s="516"/>
      <c r="HX6" s="516"/>
      <c r="HY6" s="516"/>
      <c r="HZ6" s="516"/>
      <c r="IA6" s="516"/>
      <c r="IB6" s="516"/>
      <c r="IC6" s="516"/>
      <c r="ID6" s="516"/>
      <c r="IE6" s="516"/>
      <c r="IF6" s="516"/>
      <c r="IG6" s="516"/>
      <c r="IH6" s="516"/>
      <c r="II6" s="516"/>
      <c r="IJ6" s="516"/>
      <c r="IK6" s="516"/>
      <c r="IL6" s="516"/>
      <c r="IM6" s="516"/>
      <c r="IN6" s="516"/>
      <c r="IO6" s="516"/>
      <c r="IP6" s="516"/>
      <c r="IQ6" s="516"/>
      <c r="IR6" s="516"/>
      <c r="IS6" s="516"/>
      <c r="IT6" s="516"/>
      <c r="IU6" s="516"/>
      <c r="IV6" s="516"/>
      <c r="IW6" s="516"/>
    </row>
    <row r="7" customFormat="false" ht="9" hidden="false" customHeight="false" outlineLevel="0" collapsed="false">
      <c r="A7" s="516"/>
      <c r="B7" s="517"/>
      <c r="C7" s="516"/>
      <c r="D7" s="516"/>
      <c r="E7" s="516"/>
      <c r="F7" s="516"/>
      <c r="G7" s="516"/>
      <c r="H7" s="516"/>
      <c r="I7" s="516"/>
      <c r="J7" s="516"/>
      <c r="K7" s="516"/>
      <c r="L7" s="516"/>
      <c r="M7" s="516"/>
      <c r="N7" s="516"/>
      <c r="O7" s="516"/>
      <c r="P7" s="516"/>
      <c r="Q7" s="516"/>
      <c r="R7" s="516"/>
      <c r="S7" s="516"/>
      <c r="T7" s="516"/>
      <c r="U7" s="516"/>
      <c r="V7" s="516"/>
      <c r="W7" s="518"/>
      <c r="X7" s="516"/>
      <c r="Y7" s="516"/>
      <c r="Z7" s="516"/>
      <c r="AA7" s="516"/>
      <c r="AB7" s="516"/>
      <c r="AC7" s="516"/>
      <c r="AD7" s="516"/>
      <c r="AE7" s="516"/>
      <c r="AF7" s="516"/>
      <c r="AG7" s="516"/>
      <c r="AH7" s="516"/>
      <c r="AI7" s="516"/>
      <c r="AJ7" s="516"/>
      <c r="AK7" s="516"/>
      <c r="AL7" s="516"/>
      <c r="AM7" s="516"/>
      <c r="AN7" s="516"/>
      <c r="AO7" s="516"/>
      <c r="AP7" s="516"/>
      <c r="AQ7" s="516"/>
      <c r="AR7" s="516"/>
      <c r="AS7" s="516"/>
      <c r="AT7" s="516"/>
      <c r="AU7" s="516"/>
      <c r="AV7" s="516"/>
      <c r="AW7" s="516"/>
      <c r="AX7" s="516"/>
      <c r="AY7" s="516"/>
      <c r="AZ7" s="516"/>
      <c r="BA7" s="516"/>
      <c r="BB7" s="516"/>
      <c r="BC7" s="516"/>
      <c r="BD7" s="516"/>
      <c r="BE7" s="516"/>
      <c r="BF7" s="516"/>
      <c r="BG7" s="516"/>
      <c r="BH7" s="516"/>
      <c r="BI7" s="516"/>
      <c r="BJ7" s="516"/>
      <c r="BK7" s="516"/>
      <c r="BL7" s="516"/>
      <c r="BM7" s="516"/>
      <c r="BN7" s="516"/>
      <c r="BO7" s="516"/>
      <c r="BP7" s="516"/>
      <c r="BQ7" s="516"/>
      <c r="BR7" s="516"/>
      <c r="BS7" s="516"/>
      <c r="BT7" s="516"/>
      <c r="BU7" s="516"/>
      <c r="BV7" s="516"/>
      <c r="BW7" s="516"/>
      <c r="BX7" s="516"/>
      <c r="BY7" s="516"/>
      <c r="BZ7" s="516"/>
      <c r="CA7" s="516"/>
      <c r="CB7" s="516"/>
      <c r="CC7" s="516"/>
      <c r="CD7" s="516"/>
      <c r="CE7" s="516"/>
      <c r="CF7" s="516"/>
      <c r="CG7" s="516"/>
      <c r="CH7" s="516"/>
      <c r="CI7" s="516"/>
      <c r="CJ7" s="516"/>
      <c r="CK7" s="516"/>
      <c r="CL7" s="516"/>
      <c r="CM7" s="516"/>
      <c r="CN7" s="516"/>
      <c r="CO7" s="516"/>
      <c r="CP7" s="516"/>
      <c r="CQ7" s="516"/>
      <c r="CR7" s="516"/>
      <c r="CS7" s="516"/>
      <c r="CT7" s="516"/>
      <c r="CU7" s="516"/>
      <c r="CV7" s="516"/>
      <c r="CW7" s="516"/>
      <c r="CX7" s="516"/>
      <c r="CY7" s="516"/>
      <c r="CZ7" s="516"/>
      <c r="DA7" s="516"/>
      <c r="DB7" s="516"/>
      <c r="DC7" s="516"/>
      <c r="DD7" s="516"/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516"/>
      <c r="DW7" s="516"/>
      <c r="DX7" s="516"/>
      <c r="DY7" s="516"/>
      <c r="DZ7" s="516"/>
      <c r="EA7" s="516"/>
      <c r="EB7" s="516"/>
      <c r="EC7" s="516"/>
      <c r="ED7" s="516"/>
      <c r="EE7" s="516"/>
      <c r="EF7" s="516"/>
      <c r="EG7" s="516"/>
      <c r="EH7" s="516"/>
      <c r="EI7" s="516"/>
      <c r="EJ7" s="516"/>
      <c r="EK7" s="516"/>
      <c r="EL7" s="516"/>
      <c r="EM7" s="516"/>
      <c r="EN7" s="516"/>
      <c r="EO7" s="516"/>
      <c r="EP7" s="516"/>
      <c r="EQ7" s="516"/>
      <c r="ER7" s="516"/>
      <c r="ES7" s="516"/>
      <c r="ET7" s="516"/>
      <c r="EU7" s="516"/>
      <c r="EV7" s="516"/>
      <c r="EW7" s="516"/>
      <c r="EX7" s="516"/>
      <c r="EY7" s="516"/>
      <c r="EZ7" s="516"/>
      <c r="FA7" s="516"/>
      <c r="FB7" s="516"/>
      <c r="FC7" s="516"/>
      <c r="FD7" s="516"/>
      <c r="FE7" s="516"/>
      <c r="FF7" s="516"/>
      <c r="FG7" s="516"/>
      <c r="FH7" s="516"/>
      <c r="FI7" s="516"/>
      <c r="FJ7" s="516"/>
      <c r="FK7" s="516"/>
      <c r="FL7" s="516"/>
      <c r="FM7" s="516"/>
      <c r="FN7" s="516"/>
      <c r="FO7" s="516"/>
      <c r="FP7" s="516"/>
      <c r="FQ7" s="516"/>
      <c r="FR7" s="516"/>
      <c r="FS7" s="516"/>
      <c r="FT7" s="516"/>
      <c r="FU7" s="516"/>
      <c r="FV7" s="516"/>
      <c r="FW7" s="516"/>
      <c r="FX7" s="516"/>
      <c r="FY7" s="516"/>
      <c r="FZ7" s="516"/>
      <c r="GA7" s="516"/>
      <c r="GB7" s="516"/>
      <c r="GC7" s="516"/>
      <c r="GD7" s="516"/>
      <c r="GE7" s="516"/>
      <c r="GF7" s="516"/>
      <c r="GG7" s="516"/>
      <c r="GH7" s="516"/>
      <c r="GI7" s="516"/>
      <c r="GJ7" s="516"/>
      <c r="GK7" s="516"/>
      <c r="GL7" s="516"/>
      <c r="GM7" s="516"/>
      <c r="GN7" s="516"/>
      <c r="GO7" s="516"/>
      <c r="GP7" s="516"/>
      <c r="GQ7" s="516"/>
      <c r="GR7" s="516"/>
      <c r="GS7" s="516"/>
      <c r="GT7" s="516"/>
      <c r="GU7" s="516"/>
      <c r="GV7" s="516"/>
      <c r="GW7" s="516"/>
      <c r="GX7" s="516"/>
      <c r="GY7" s="516"/>
      <c r="GZ7" s="516"/>
      <c r="HA7" s="516"/>
      <c r="HB7" s="516"/>
      <c r="HC7" s="516"/>
      <c r="HD7" s="516"/>
      <c r="HE7" s="516"/>
      <c r="HF7" s="516"/>
      <c r="HG7" s="516"/>
      <c r="HH7" s="516"/>
      <c r="HI7" s="516"/>
      <c r="HJ7" s="516"/>
      <c r="HK7" s="516"/>
      <c r="HL7" s="516"/>
      <c r="HM7" s="516"/>
      <c r="HN7" s="516"/>
      <c r="HO7" s="516"/>
      <c r="HP7" s="516"/>
      <c r="HQ7" s="516"/>
      <c r="HR7" s="516"/>
      <c r="HS7" s="516"/>
      <c r="HT7" s="516"/>
      <c r="HU7" s="516"/>
      <c r="HV7" s="516"/>
      <c r="HW7" s="516"/>
      <c r="HX7" s="516"/>
      <c r="HY7" s="516"/>
      <c r="HZ7" s="516"/>
      <c r="IA7" s="516"/>
      <c r="IB7" s="516"/>
      <c r="IC7" s="516"/>
      <c r="ID7" s="516"/>
      <c r="IE7" s="516"/>
      <c r="IF7" s="516"/>
      <c r="IG7" s="516"/>
      <c r="IH7" s="516"/>
      <c r="II7" s="516"/>
      <c r="IJ7" s="516"/>
      <c r="IK7" s="516"/>
      <c r="IL7" s="516"/>
      <c r="IM7" s="516"/>
      <c r="IN7" s="516"/>
      <c r="IO7" s="516"/>
      <c r="IP7" s="516"/>
      <c r="IQ7" s="516"/>
      <c r="IR7" s="516"/>
      <c r="IS7" s="516"/>
      <c r="IT7" s="516"/>
      <c r="IU7" s="516"/>
      <c r="IV7" s="516"/>
      <c r="IW7" s="516"/>
    </row>
    <row r="8" customFormat="false" ht="13.5" hidden="false" customHeight="false" outlineLevel="0" collapsed="false">
      <c r="B8" s="519" t="s">
        <v>241</v>
      </c>
      <c r="C8" s="520" t="n">
        <v>36891</v>
      </c>
      <c r="D8" s="520" t="n">
        <f aca="false">C8+365.25</f>
        <v>37256.25</v>
      </c>
      <c r="E8" s="520" t="n">
        <f aca="false">D8+365.25</f>
        <v>37621.5</v>
      </c>
      <c r="F8" s="520" t="n">
        <f aca="false">E8+365.25</f>
        <v>37986.75</v>
      </c>
      <c r="G8" s="520" t="n">
        <f aca="false">F8+365.25</f>
        <v>38352</v>
      </c>
      <c r="H8" s="520" t="n">
        <f aca="false">G8+365.25</f>
        <v>38717.25</v>
      </c>
      <c r="I8" s="520" t="n">
        <f aca="false">H8+365.25</f>
        <v>39082.5</v>
      </c>
      <c r="J8" s="520" t="n">
        <f aca="false">I8+365.25</f>
        <v>39447.75</v>
      </c>
      <c r="K8" s="520" t="n">
        <f aca="false">J8+365.25</f>
        <v>39813</v>
      </c>
      <c r="L8" s="520" t="n">
        <f aca="false">K8+365.25</f>
        <v>40178.25</v>
      </c>
      <c r="M8" s="520" t="n">
        <f aca="false">L8+365.25</f>
        <v>40543.5</v>
      </c>
      <c r="N8" s="520" t="n">
        <f aca="false">M8+365.25</f>
        <v>40908.75</v>
      </c>
      <c r="O8" s="520" t="n">
        <f aca="false">N8+365.25</f>
        <v>41274</v>
      </c>
      <c r="P8" s="520" t="n">
        <f aca="false">O8+365.25</f>
        <v>41639.25</v>
      </c>
      <c r="Q8" s="520" t="n">
        <f aca="false">P8+365.25</f>
        <v>42004.5</v>
      </c>
      <c r="R8" s="520" t="n">
        <f aca="false">Q8+365.25</f>
        <v>42369.75</v>
      </c>
      <c r="S8" s="520" t="n">
        <f aca="false">R8+365.25</f>
        <v>42735</v>
      </c>
      <c r="T8" s="520" t="n">
        <f aca="false">S8+365.25</f>
        <v>43100.25</v>
      </c>
      <c r="U8" s="520" t="n">
        <f aca="false">T8+365.25</f>
        <v>43465.5</v>
      </c>
      <c r="V8" s="520" t="n">
        <f aca="false">U8+365.25</f>
        <v>43830.75</v>
      </c>
      <c r="W8" s="521" t="n">
        <f aca="false">V8+365.25</f>
        <v>44196</v>
      </c>
    </row>
    <row r="9" customFormat="false" ht="12.75" hidden="false" customHeight="false" outlineLevel="0" collapsed="false">
      <c r="A9" s="515"/>
      <c r="B9" s="212" t="s">
        <v>242</v>
      </c>
      <c r="C9" s="515" t="n">
        <v>0</v>
      </c>
      <c r="D9" s="515" t="n">
        <v>0</v>
      </c>
      <c r="E9" s="515" t="n">
        <v>0</v>
      </c>
      <c r="F9" s="515" t="n">
        <v>0</v>
      </c>
      <c r="G9" s="515" t="n">
        <v>0</v>
      </c>
      <c r="H9" s="515" t="n">
        <v>0</v>
      </c>
      <c r="I9" s="515" t="n">
        <v>0</v>
      </c>
      <c r="J9" s="515" t="n">
        <v>0</v>
      </c>
      <c r="K9" s="515" t="n">
        <v>0</v>
      </c>
      <c r="L9" s="515" t="n">
        <v>0</v>
      </c>
      <c r="M9" s="515" t="n">
        <v>0</v>
      </c>
      <c r="N9" s="515" t="n">
        <v>0</v>
      </c>
      <c r="O9" s="515" t="n">
        <v>0</v>
      </c>
      <c r="P9" s="515" t="n">
        <v>0</v>
      </c>
      <c r="Q9" s="515" t="n">
        <v>0</v>
      </c>
      <c r="R9" s="515" t="n">
        <v>0</v>
      </c>
      <c r="S9" s="515" t="n">
        <v>0</v>
      </c>
      <c r="T9" s="515" t="n">
        <v>0</v>
      </c>
      <c r="U9" s="515" t="n">
        <v>0</v>
      </c>
      <c r="V9" s="515" t="n">
        <v>0</v>
      </c>
      <c r="W9" s="515" t="n">
        <v>0</v>
      </c>
      <c r="X9" s="515"/>
      <c r="Y9" s="515"/>
      <c r="Z9" s="515"/>
      <c r="AA9" s="515"/>
      <c r="AB9" s="515"/>
      <c r="AC9" s="515"/>
      <c r="AD9" s="515"/>
      <c r="AE9" s="515"/>
      <c r="AF9" s="515"/>
      <c r="AG9" s="515"/>
      <c r="AH9" s="515"/>
      <c r="AI9" s="515"/>
      <c r="AJ9" s="515"/>
      <c r="AK9" s="515"/>
      <c r="AL9" s="515"/>
      <c r="AM9" s="515"/>
      <c r="AN9" s="515"/>
      <c r="AO9" s="515"/>
      <c r="AP9" s="515"/>
      <c r="AQ9" s="515"/>
      <c r="AR9" s="515"/>
      <c r="AS9" s="515"/>
      <c r="AT9" s="515"/>
      <c r="AU9" s="515"/>
      <c r="AV9" s="515"/>
      <c r="AW9" s="515"/>
      <c r="AX9" s="515"/>
      <c r="AY9" s="515"/>
      <c r="AZ9" s="515"/>
      <c r="BA9" s="515"/>
      <c r="BB9" s="515"/>
      <c r="BC9" s="515"/>
      <c r="BD9" s="515"/>
      <c r="BE9" s="515"/>
      <c r="BF9" s="515"/>
      <c r="BG9" s="515"/>
      <c r="BH9" s="515"/>
      <c r="BI9" s="515"/>
      <c r="BJ9" s="515"/>
      <c r="BK9" s="515"/>
      <c r="BL9" s="515"/>
      <c r="BM9" s="515"/>
      <c r="BN9" s="515"/>
      <c r="BO9" s="515"/>
      <c r="BP9" s="515"/>
      <c r="BQ9" s="515"/>
      <c r="BR9" s="515"/>
      <c r="BS9" s="515"/>
      <c r="BT9" s="515"/>
      <c r="BU9" s="515"/>
      <c r="BV9" s="515"/>
      <c r="BW9" s="515"/>
      <c r="BX9" s="515"/>
      <c r="BY9" s="515"/>
      <c r="BZ9" s="515"/>
      <c r="CA9" s="515"/>
      <c r="CB9" s="515"/>
      <c r="CC9" s="515"/>
      <c r="CD9" s="515"/>
      <c r="CE9" s="515"/>
      <c r="CF9" s="515"/>
      <c r="CG9" s="515"/>
      <c r="CH9" s="515"/>
      <c r="CI9" s="515"/>
      <c r="CJ9" s="515"/>
      <c r="CK9" s="515"/>
      <c r="CL9" s="515"/>
      <c r="CM9" s="515"/>
      <c r="CN9" s="515"/>
      <c r="CO9" s="515"/>
      <c r="CP9" s="515"/>
      <c r="CQ9" s="515"/>
      <c r="CR9" s="515"/>
      <c r="CS9" s="515"/>
      <c r="CT9" s="515"/>
      <c r="CU9" s="515"/>
      <c r="CV9" s="515"/>
      <c r="CW9" s="515"/>
      <c r="CX9" s="515"/>
      <c r="CY9" s="515"/>
      <c r="CZ9" s="515"/>
      <c r="DA9" s="515"/>
      <c r="DB9" s="515"/>
      <c r="DC9" s="515"/>
      <c r="DD9" s="515"/>
      <c r="DE9" s="515"/>
      <c r="DF9" s="515"/>
      <c r="DG9" s="515"/>
      <c r="DH9" s="515"/>
      <c r="DI9" s="515"/>
      <c r="DJ9" s="515"/>
      <c r="DK9" s="515"/>
      <c r="DL9" s="515"/>
      <c r="DM9" s="515"/>
      <c r="DN9" s="515"/>
      <c r="DO9" s="515"/>
      <c r="DP9" s="515"/>
      <c r="DQ9" s="515"/>
      <c r="DR9" s="515"/>
      <c r="DS9" s="515"/>
      <c r="DT9" s="515"/>
      <c r="DU9" s="515"/>
      <c r="DV9" s="515"/>
      <c r="DW9" s="515"/>
      <c r="DX9" s="515"/>
      <c r="DY9" s="515"/>
      <c r="DZ9" s="515"/>
      <c r="EA9" s="515"/>
      <c r="EB9" s="515"/>
      <c r="EC9" s="515"/>
      <c r="ED9" s="515"/>
      <c r="EE9" s="515"/>
      <c r="EF9" s="515"/>
      <c r="EG9" s="515"/>
      <c r="EH9" s="515"/>
      <c r="EI9" s="515"/>
      <c r="EJ9" s="515"/>
      <c r="EK9" s="515"/>
      <c r="EL9" s="515"/>
      <c r="EM9" s="515"/>
      <c r="EN9" s="515"/>
      <c r="EO9" s="515"/>
      <c r="EP9" s="515"/>
      <c r="EQ9" s="515"/>
      <c r="ER9" s="515"/>
      <c r="ES9" s="515"/>
      <c r="ET9" s="515"/>
      <c r="EU9" s="515"/>
      <c r="EV9" s="515"/>
      <c r="EW9" s="515"/>
      <c r="EX9" s="515"/>
      <c r="EY9" s="515"/>
      <c r="EZ9" s="515"/>
      <c r="FA9" s="515"/>
      <c r="FB9" s="515"/>
      <c r="FC9" s="515"/>
      <c r="FD9" s="515"/>
      <c r="FE9" s="515"/>
      <c r="FF9" s="515"/>
      <c r="FG9" s="515"/>
      <c r="FH9" s="515"/>
      <c r="FI9" s="515"/>
      <c r="FJ9" s="515"/>
      <c r="FK9" s="515"/>
      <c r="FL9" s="515"/>
      <c r="FM9" s="515"/>
      <c r="FN9" s="515"/>
      <c r="FO9" s="515"/>
      <c r="FP9" s="515"/>
      <c r="FQ9" s="515"/>
      <c r="FR9" s="515"/>
      <c r="FS9" s="515"/>
      <c r="FT9" s="515"/>
      <c r="FU9" s="515"/>
      <c r="FV9" s="515"/>
      <c r="FW9" s="515"/>
      <c r="FX9" s="515"/>
      <c r="FY9" s="515"/>
      <c r="FZ9" s="515"/>
      <c r="GA9" s="515"/>
      <c r="GB9" s="515"/>
      <c r="GC9" s="515"/>
      <c r="GD9" s="515"/>
      <c r="GE9" s="515"/>
      <c r="GF9" s="515"/>
      <c r="GG9" s="515"/>
      <c r="GH9" s="515"/>
      <c r="GI9" s="515"/>
      <c r="GJ9" s="515"/>
      <c r="GK9" s="515"/>
      <c r="GL9" s="515"/>
      <c r="GM9" s="515"/>
      <c r="GN9" s="515"/>
      <c r="GO9" s="515"/>
      <c r="GP9" s="515"/>
      <c r="GQ9" s="515"/>
      <c r="GR9" s="515"/>
      <c r="GS9" s="515"/>
      <c r="GT9" s="515"/>
      <c r="GU9" s="515"/>
      <c r="GV9" s="515"/>
      <c r="GW9" s="515"/>
      <c r="GX9" s="515"/>
      <c r="GY9" s="515"/>
      <c r="GZ9" s="515"/>
      <c r="HA9" s="515"/>
      <c r="HB9" s="515"/>
      <c r="HC9" s="515"/>
      <c r="HD9" s="515"/>
      <c r="HE9" s="515"/>
      <c r="HF9" s="515"/>
      <c r="HG9" s="515"/>
      <c r="HH9" s="515"/>
      <c r="HI9" s="515"/>
      <c r="HJ9" s="515"/>
      <c r="HK9" s="515"/>
      <c r="HL9" s="515"/>
      <c r="HM9" s="515"/>
      <c r="HN9" s="515"/>
      <c r="HO9" s="515"/>
      <c r="HP9" s="515"/>
      <c r="HQ9" s="515"/>
      <c r="HR9" s="515"/>
      <c r="HS9" s="515"/>
      <c r="HT9" s="515"/>
      <c r="HU9" s="515"/>
      <c r="HV9" s="515"/>
      <c r="HW9" s="515"/>
      <c r="HX9" s="515"/>
      <c r="HY9" s="515"/>
      <c r="HZ9" s="515"/>
      <c r="IA9" s="515"/>
      <c r="IB9" s="515"/>
      <c r="IC9" s="515"/>
      <c r="ID9" s="515"/>
      <c r="IE9" s="515"/>
      <c r="IF9" s="515"/>
      <c r="IG9" s="515"/>
      <c r="IH9" s="515"/>
      <c r="II9" s="515"/>
      <c r="IJ9" s="515"/>
      <c r="IK9" s="515"/>
      <c r="IL9" s="515"/>
      <c r="IM9" s="515"/>
      <c r="IN9" s="515"/>
      <c r="IO9" s="515"/>
      <c r="IP9" s="515"/>
      <c r="IQ9" s="515"/>
      <c r="IR9" s="515"/>
      <c r="IS9" s="515"/>
      <c r="IT9" s="515"/>
      <c r="IU9" s="515"/>
      <c r="IV9" s="515"/>
      <c r="IW9" s="515"/>
    </row>
    <row r="10" customFormat="false" ht="12.75" hidden="false" customHeight="false" outlineLevel="0" collapsed="false">
      <c r="A10" s="515"/>
      <c r="B10" s="212" t="s">
        <v>243</v>
      </c>
      <c r="C10" s="515" t="n">
        <v>0</v>
      </c>
      <c r="D10" s="515" t="n">
        <v>0</v>
      </c>
      <c r="E10" s="515" t="n">
        <v>0</v>
      </c>
      <c r="F10" s="515" t="n">
        <v>0</v>
      </c>
      <c r="G10" s="515" t="n">
        <v>0</v>
      </c>
      <c r="H10" s="515" t="n">
        <v>0</v>
      </c>
      <c r="I10" s="515" t="n">
        <v>0</v>
      </c>
      <c r="J10" s="515" t="n">
        <v>0</v>
      </c>
      <c r="K10" s="515" t="n">
        <v>0</v>
      </c>
      <c r="L10" s="515" t="n">
        <v>0</v>
      </c>
      <c r="M10" s="515" t="n">
        <v>0</v>
      </c>
      <c r="N10" s="515" t="n">
        <v>0</v>
      </c>
      <c r="O10" s="515" t="n">
        <v>0</v>
      </c>
      <c r="P10" s="515" t="n">
        <v>0</v>
      </c>
      <c r="Q10" s="515" t="n">
        <v>0</v>
      </c>
      <c r="R10" s="515" t="n">
        <v>0</v>
      </c>
      <c r="S10" s="515" t="n">
        <v>0</v>
      </c>
      <c r="T10" s="515" t="n">
        <v>0</v>
      </c>
      <c r="U10" s="515" t="n">
        <v>0</v>
      </c>
      <c r="V10" s="515" t="n">
        <v>0</v>
      </c>
      <c r="W10" s="515" t="n">
        <v>0</v>
      </c>
      <c r="X10" s="515"/>
      <c r="Y10" s="515"/>
      <c r="Z10" s="515"/>
      <c r="AA10" s="515"/>
      <c r="AB10" s="515"/>
      <c r="AC10" s="515"/>
      <c r="AD10" s="515"/>
      <c r="AE10" s="515"/>
      <c r="AF10" s="515"/>
      <c r="AG10" s="515"/>
      <c r="AH10" s="515"/>
      <c r="AI10" s="515"/>
      <c r="AJ10" s="515"/>
      <c r="AK10" s="515"/>
      <c r="AL10" s="515"/>
      <c r="AM10" s="515"/>
      <c r="AN10" s="515"/>
      <c r="AO10" s="515"/>
      <c r="AP10" s="515"/>
      <c r="AQ10" s="515"/>
      <c r="AR10" s="515"/>
      <c r="AS10" s="515"/>
      <c r="AT10" s="515"/>
      <c r="AU10" s="515"/>
      <c r="AV10" s="515"/>
      <c r="AW10" s="515"/>
      <c r="AX10" s="515"/>
      <c r="AY10" s="515"/>
      <c r="AZ10" s="515"/>
      <c r="BA10" s="515"/>
      <c r="BB10" s="515"/>
      <c r="BC10" s="515"/>
      <c r="BD10" s="515"/>
      <c r="BE10" s="515"/>
      <c r="BF10" s="515"/>
      <c r="BG10" s="515"/>
      <c r="BH10" s="515"/>
      <c r="BI10" s="515"/>
      <c r="BJ10" s="515"/>
      <c r="BK10" s="515"/>
      <c r="BL10" s="515"/>
      <c r="BM10" s="515"/>
      <c r="BN10" s="515"/>
      <c r="BO10" s="515"/>
      <c r="BP10" s="515"/>
      <c r="BQ10" s="515"/>
      <c r="BR10" s="515"/>
      <c r="BS10" s="515"/>
      <c r="BT10" s="515"/>
      <c r="BU10" s="515"/>
      <c r="BV10" s="515"/>
      <c r="BW10" s="515"/>
      <c r="BX10" s="515"/>
      <c r="BY10" s="515"/>
      <c r="BZ10" s="515"/>
      <c r="CA10" s="515"/>
      <c r="CB10" s="515"/>
      <c r="CC10" s="515"/>
      <c r="CD10" s="515"/>
      <c r="CE10" s="515"/>
      <c r="CF10" s="515"/>
      <c r="CG10" s="515"/>
      <c r="CH10" s="515"/>
      <c r="CI10" s="515"/>
      <c r="CJ10" s="515"/>
      <c r="CK10" s="515"/>
      <c r="CL10" s="515"/>
      <c r="CM10" s="515"/>
      <c r="CN10" s="515"/>
      <c r="CO10" s="515"/>
      <c r="CP10" s="515"/>
      <c r="CQ10" s="515"/>
      <c r="CR10" s="515"/>
      <c r="CS10" s="515"/>
      <c r="CT10" s="515"/>
      <c r="CU10" s="515"/>
      <c r="CV10" s="515"/>
      <c r="CW10" s="515"/>
      <c r="CX10" s="515"/>
      <c r="CY10" s="515"/>
      <c r="CZ10" s="515"/>
      <c r="DA10" s="515"/>
      <c r="DB10" s="515"/>
      <c r="DC10" s="515"/>
      <c r="DD10" s="515"/>
      <c r="DE10" s="515"/>
      <c r="DF10" s="515"/>
      <c r="DG10" s="515"/>
      <c r="DH10" s="515"/>
      <c r="DI10" s="515"/>
      <c r="DJ10" s="515"/>
      <c r="DK10" s="515"/>
      <c r="DL10" s="515"/>
      <c r="DM10" s="515"/>
      <c r="DN10" s="515"/>
      <c r="DO10" s="515"/>
      <c r="DP10" s="515"/>
      <c r="DQ10" s="515"/>
      <c r="DR10" s="515"/>
      <c r="DS10" s="515"/>
      <c r="DT10" s="515"/>
      <c r="DU10" s="515"/>
      <c r="DV10" s="515"/>
      <c r="DW10" s="515"/>
      <c r="DX10" s="515"/>
      <c r="DY10" s="515"/>
      <c r="DZ10" s="515"/>
      <c r="EA10" s="515"/>
      <c r="EB10" s="515"/>
      <c r="EC10" s="515"/>
      <c r="ED10" s="515"/>
      <c r="EE10" s="515"/>
      <c r="EF10" s="515"/>
      <c r="EG10" s="515"/>
      <c r="EH10" s="515"/>
      <c r="EI10" s="515"/>
      <c r="EJ10" s="515"/>
      <c r="EK10" s="515"/>
      <c r="EL10" s="515"/>
      <c r="EM10" s="515"/>
      <c r="EN10" s="515"/>
      <c r="EO10" s="515"/>
      <c r="EP10" s="515"/>
      <c r="EQ10" s="515"/>
      <c r="ER10" s="515"/>
      <c r="ES10" s="515"/>
      <c r="ET10" s="515"/>
      <c r="EU10" s="515"/>
      <c r="EV10" s="515"/>
      <c r="EW10" s="515"/>
      <c r="EX10" s="515"/>
      <c r="EY10" s="515"/>
      <c r="EZ10" s="515"/>
      <c r="FA10" s="515"/>
      <c r="FB10" s="515"/>
      <c r="FC10" s="515"/>
      <c r="FD10" s="515"/>
      <c r="FE10" s="515"/>
      <c r="FF10" s="515"/>
      <c r="FG10" s="515"/>
      <c r="FH10" s="515"/>
      <c r="FI10" s="515"/>
      <c r="FJ10" s="515"/>
      <c r="FK10" s="515"/>
      <c r="FL10" s="515"/>
      <c r="FM10" s="515"/>
      <c r="FN10" s="515"/>
      <c r="FO10" s="515"/>
      <c r="FP10" s="515"/>
      <c r="FQ10" s="515"/>
      <c r="FR10" s="515"/>
      <c r="FS10" s="515"/>
      <c r="FT10" s="515"/>
      <c r="FU10" s="515"/>
      <c r="FV10" s="515"/>
      <c r="FW10" s="515"/>
      <c r="FX10" s="515"/>
      <c r="FY10" s="515"/>
      <c r="FZ10" s="515"/>
      <c r="GA10" s="515"/>
      <c r="GB10" s="515"/>
      <c r="GC10" s="515"/>
      <c r="GD10" s="515"/>
      <c r="GE10" s="515"/>
      <c r="GF10" s="515"/>
      <c r="GG10" s="515"/>
      <c r="GH10" s="515"/>
      <c r="GI10" s="515"/>
      <c r="GJ10" s="515"/>
      <c r="GK10" s="515"/>
      <c r="GL10" s="515"/>
      <c r="GM10" s="515"/>
      <c r="GN10" s="515"/>
      <c r="GO10" s="515"/>
      <c r="GP10" s="515"/>
      <c r="GQ10" s="515"/>
      <c r="GR10" s="515"/>
      <c r="GS10" s="515"/>
      <c r="GT10" s="515"/>
      <c r="GU10" s="515"/>
      <c r="GV10" s="515"/>
      <c r="GW10" s="515"/>
      <c r="GX10" s="515"/>
      <c r="GY10" s="515"/>
      <c r="GZ10" s="515"/>
      <c r="HA10" s="515"/>
      <c r="HB10" s="515"/>
      <c r="HC10" s="515"/>
      <c r="HD10" s="515"/>
      <c r="HE10" s="515"/>
      <c r="HF10" s="515"/>
      <c r="HG10" s="515"/>
      <c r="HH10" s="515"/>
      <c r="HI10" s="515"/>
      <c r="HJ10" s="515"/>
      <c r="HK10" s="515"/>
      <c r="HL10" s="515"/>
      <c r="HM10" s="515"/>
      <c r="HN10" s="515"/>
      <c r="HO10" s="515"/>
      <c r="HP10" s="515"/>
      <c r="HQ10" s="515"/>
      <c r="HR10" s="515"/>
      <c r="HS10" s="515"/>
      <c r="HT10" s="515"/>
      <c r="HU10" s="515"/>
      <c r="HV10" s="515"/>
      <c r="HW10" s="515"/>
      <c r="HX10" s="515"/>
      <c r="HY10" s="515"/>
      <c r="HZ10" s="515"/>
      <c r="IA10" s="515"/>
      <c r="IB10" s="515"/>
      <c r="IC10" s="515"/>
      <c r="ID10" s="515"/>
      <c r="IE10" s="515"/>
      <c r="IF10" s="515"/>
      <c r="IG10" s="515"/>
      <c r="IH10" s="515"/>
      <c r="II10" s="515"/>
      <c r="IJ10" s="515"/>
      <c r="IK10" s="515"/>
      <c r="IL10" s="515"/>
      <c r="IM10" s="515"/>
      <c r="IN10" s="515"/>
      <c r="IO10" s="515"/>
      <c r="IP10" s="515"/>
      <c r="IQ10" s="515"/>
      <c r="IR10" s="515"/>
      <c r="IS10" s="515"/>
      <c r="IT10" s="515"/>
      <c r="IU10" s="515"/>
      <c r="IV10" s="515"/>
      <c r="IW10" s="515"/>
    </row>
    <row r="11" customFormat="false" ht="12.75" hidden="false" customHeight="false" outlineLevel="0" collapsed="false">
      <c r="A11" s="515"/>
      <c r="B11" s="212" t="s">
        <v>244</v>
      </c>
      <c r="C11" s="522" t="n">
        <f aca="false">SUM('Revenues &amp; Expenses'!$AH$12:$AH$18)</f>
        <v>27939996.0845947</v>
      </c>
      <c r="D11" s="522" t="n">
        <f aca="false">SUM('Revenues &amp; Expenses'!$AH$19:$AH$30)</f>
        <v>26282843.1463623</v>
      </c>
      <c r="E11" s="522" t="n">
        <f aca="false">SUM('Revenues &amp; Expenses'!$AH$31:$AH$42)</f>
        <v>25565399.1540527</v>
      </c>
      <c r="F11" s="522" t="n">
        <f aca="false">SUM('Revenues &amp; Expenses'!$AH$43:$AH$54)</f>
        <v>25345655.1617432</v>
      </c>
      <c r="G11" s="522" t="n">
        <f aca="false">SUM('Revenues &amp; Expenses'!$AH$55:$AH$66)</f>
        <v>25668719.1540527</v>
      </c>
      <c r="H11" s="522" t="n">
        <f aca="false">SUM('Revenues &amp; Expenses'!$AH$67:$AH$78)</f>
        <v>26161883.1463623</v>
      </c>
      <c r="I11" s="522" t="n">
        <f aca="false">SUM('Revenues &amp; Expenses'!$AH$79:$AH$90)</f>
        <v>26554499.1540527</v>
      </c>
      <c r="J11" s="522" t="n">
        <f aca="false">SUM('Revenues &amp; Expenses'!$AH$91:$AH$102)</f>
        <v>27046655.1617432</v>
      </c>
      <c r="K11" s="522" t="n">
        <f aca="false">SUM('Revenues &amp; Expenses'!$AH$103:$AH$114)</f>
        <v>27914039.1540527</v>
      </c>
      <c r="L11" s="522" t="n">
        <f aca="false">SUM('Revenues &amp; Expenses'!$AH$115:$AH$126)</f>
        <v>28705823.1463623</v>
      </c>
      <c r="M11" s="522" t="n">
        <f aca="false">SUM('Revenues &amp; Expenses'!$AH$127:$AH$138)</f>
        <v>29099699.1540527</v>
      </c>
      <c r="N11" s="522" t="n">
        <f aca="false">SUM('Revenues &amp; Expenses'!$AH$139:$AH$150)</f>
        <v>29518775.1617432</v>
      </c>
      <c r="O11" s="522" t="n">
        <f aca="false">SUM('Revenues &amp; Expenses'!$AH$151:$AH$162)</f>
        <v>30353399.1540527</v>
      </c>
      <c r="P11" s="522" t="n">
        <f aca="false">SUM('Revenues &amp; Expenses'!$AH$163:$AH$174)</f>
        <v>31117463.1463623</v>
      </c>
      <c r="Q11" s="522" t="n">
        <f aca="false">SUM('Revenues &amp; Expenses'!$AH$175:$AH$186)</f>
        <v>31443299.1540527</v>
      </c>
      <c r="R11" s="522" t="n">
        <f aca="false">SUM('Revenues &amp; Expenses'!$AH$187:$AH$198)</f>
        <v>31832135.1617432</v>
      </c>
      <c r="S11" s="522" t="n">
        <f aca="false">SUM('Revenues &amp; Expenses'!$AH$199:$AH$210)</f>
        <v>32681879.1540527</v>
      </c>
      <c r="T11" s="522" t="n">
        <f aca="false">SUM('Revenues &amp; Expenses'!$AH$211:$AH$222)</f>
        <v>33476183.1463623</v>
      </c>
      <c r="U11" s="522" t="n">
        <f aca="false">SUM('Revenues &amp; Expenses'!$AH$223:$AH$234)</f>
        <v>33786899.1540527</v>
      </c>
      <c r="V11" s="522" t="n">
        <f aca="false">SUM('Revenues &amp; Expenses'!$AH$235:$AH$246)</f>
        <v>33567155.1617432</v>
      </c>
      <c r="W11" s="522" t="n">
        <f aca="false">SUM('Revenues &amp; Expenses'!$AH$247:$AH$258)</f>
        <v>33846119.1540527</v>
      </c>
      <c r="X11" s="515"/>
      <c r="Y11" s="515"/>
      <c r="Z11" s="515"/>
      <c r="AA11" s="515"/>
      <c r="AB11" s="515"/>
      <c r="AC11" s="515"/>
      <c r="AD11" s="515"/>
      <c r="AE11" s="515"/>
      <c r="AF11" s="515"/>
      <c r="AG11" s="515"/>
      <c r="AH11" s="515"/>
      <c r="AI11" s="515"/>
      <c r="AJ11" s="515"/>
      <c r="AK11" s="515"/>
      <c r="AL11" s="515"/>
      <c r="AM11" s="515"/>
      <c r="AN11" s="515"/>
      <c r="AO11" s="515"/>
      <c r="AP11" s="515"/>
      <c r="AQ11" s="515"/>
      <c r="AR11" s="515"/>
      <c r="AS11" s="515"/>
      <c r="AT11" s="515"/>
      <c r="AU11" s="515"/>
      <c r="AV11" s="515"/>
      <c r="AW11" s="515"/>
      <c r="AX11" s="515"/>
      <c r="AY11" s="515"/>
      <c r="AZ11" s="515"/>
      <c r="BA11" s="515"/>
      <c r="BB11" s="515"/>
      <c r="BC11" s="515"/>
      <c r="BD11" s="515"/>
      <c r="BE11" s="515"/>
      <c r="BF11" s="515"/>
      <c r="BG11" s="515"/>
      <c r="BH11" s="515"/>
      <c r="BI11" s="515"/>
      <c r="BJ11" s="515"/>
      <c r="BK11" s="515"/>
      <c r="BL11" s="515"/>
      <c r="BM11" s="515"/>
      <c r="BN11" s="515"/>
      <c r="BO11" s="515"/>
      <c r="BP11" s="515"/>
      <c r="BQ11" s="515"/>
      <c r="BR11" s="515"/>
      <c r="BS11" s="515"/>
      <c r="BT11" s="515"/>
      <c r="BU11" s="515"/>
      <c r="BV11" s="515"/>
      <c r="BW11" s="515"/>
      <c r="BX11" s="515"/>
      <c r="BY11" s="515"/>
      <c r="BZ11" s="515"/>
      <c r="CA11" s="515"/>
      <c r="CB11" s="515"/>
      <c r="CC11" s="515"/>
      <c r="CD11" s="515"/>
      <c r="CE11" s="515"/>
      <c r="CF11" s="515"/>
      <c r="CG11" s="515"/>
      <c r="CH11" s="515"/>
      <c r="CI11" s="515"/>
      <c r="CJ11" s="515"/>
      <c r="CK11" s="515"/>
      <c r="CL11" s="515"/>
      <c r="CM11" s="515"/>
      <c r="CN11" s="515"/>
      <c r="CO11" s="515"/>
      <c r="CP11" s="515"/>
      <c r="CQ11" s="515"/>
      <c r="CR11" s="515"/>
      <c r="CS11" s="515"/>
      <c r="CT11" s="515"/>
      <c r="CU11" s="515"/>
      <c r="CV11" s="515"/>
      <c r="CW11" s="515"/>
      <c r="CX11" s="515"/>
      <c r="CY11" s="515"/>
      <c r="CZ11" s="515"/>
      <c r="DA11" s="515"/>
      <c r="DB11" s="515"/>
      <c r="DC11" s="515"/>
      <c r="DD11" s="515"/>
      <c r="DE11" s="515"/>
      <c r="DF11" s="515"/>
      <c r="DG11" s="515"/>
      <c r="DH11" s="515"/>
      <c r="DI11" s="515"/>
      <c r="DJ11" s="515"/>
      <c r="DK11" s="515"/>
      <c r="DL11" s="515"/>
      <c r="DM11" s="515"/>
      <c r="DN11" s="515"/>
      <c r="DO11" s="515"/>
      <c r="DP11" s="515"/>
      <c r="DQ11" s="515"/>
      <c r="DR11" s="515"/>
      <c r="DS11" s="515"/>
      <c r="DT11" s="515"/>
      <c r="DU11" s="515"/>
      <c r="DV11" s="515"/>
      <c r="DW11" s="515"/>
      <c r="DX11" s="515"/>
      <c r="DY11" s="515"/>
      <c r="DZ11" s="515"/>
      <c r="EA11" s="515"/>
      <c r="EB11" s="515"/>
      <c r="EC11" s="515"/>
      <c r="ED11" s="515"/>
      <c r="EE11" s="515"/>
      <c r="EF11" s="515"/>
      <c r="EG11" s="515"/>
      <c r="EH11" s="515"/>
      <c r="EI11" s="515"/>
      <c r="EJ11" s="515"/>
      <c r="EK11" s="515"/>
      <c r="EL11" s="515"/>
      <c r="EM11" s="515"/>
      <c r="EN11" s="515"/>
      <c r="EO11" s="515"/>
      <c r="EP11" s="515"/>
      <c r="EQ11" s="515"/>
      <c r="ER11" s="515"/>
      <c r="ES11" s="515"/>
      <c r="ET11" s="515"/>
      <c r="EU11" s="515"/>
      <c r="EV11" s="515"/>
      <c r="EW11" s="515"/>
      <c r="EX11" s="515"/>
      <c r="EY11" s="515"/>
      <c r="EZ11" s="515"/>
      <c r="FA11" s="515"/>
      <c r="FB11" s="515"/>
      <c r="FC11" s="515"/>
      <c r="FD11" s="515"/>
      <c r="FE11" s="515"/>
      <c r="FF11" s="515"/>
      <c r="FG11" s="515"/>
      <c r="FH11" s="515"/>
      <c r="FI11" s="515"/>
      <c r="FJ11" s="515"/>
      <c r="FK11" s="515"/>
      <c r="FL11" s="515"/>
      <c r="FM11" s="515"/>
      <c r="FN11" s="515"/>
      <c r="FO11" s="515"/>
      <c r="FP11" s="515"/>
      <c r="FQ11" s="515"/>
      <c r="FR11" s="515"/>
      <c r="FS11" s="515"/>
      <c r="FT11" s="515"/>
      <c r="FU11" s="515"/>
      <c r="FV11" s="515"/>
      <c r="FW11" s="515"/>
      <c r="FX11" s="515"/>
      <c r="FY11" s="515"/>
      <c r="FZ11" s="515"/>
      <c r="GA11" s="515"/>
      <c r="GB11" s="515"/>
      <c r="GC11" s="515"/>
      <c r="GD11" s="515"/>
      <c r="GE11" s="515"/>
      <c r="GF11" s="515"/>
      <c r="GG11" s="515"/>
      <c r="GH11" s="515"/>
      <c r="GI11" s="515"/>
      <c r="GJ11" s="515"/>
      <c r="GK11" s="515"/>
      <c r="GL11" s="515"/>
      <c r="GM11" s="515"/>
      <c r="GN11" s="515"/>
      <c r="GO11" s="515"/>
      <c r="GP11" s="515"/>
      <c r="GQ11" s="515"/>
      <c r="GR11" s="515"/>
      <c r="GS11" s="515"/>
      <c r="GT11" s="515"/>
      <c r="GU11" s="515"/>
      <c r="GV11" s="515"/>
      <c r="GW11" s="515"/>
      <c r="GX11" s="515"/>
      <c r="GY11" s="515"/>
      <c r="GZ11" s="515"/>
      <c r="HA11" s="515"/>
      <c r="HB11" s="515"/>
      <c r="HC11" s="515"/>
      <c r="HD11" s="515"/>
      <c r="HE11" s="515"/>
      <c r="HF11" s="515"/>
      <c r="HG11" s="515"/>
      <c r="HH11" s="515"/>
      <c r="HI11" s="515"/>
      <c r="HJ11" s="515"/>
      <c r="HK11" s="515"/>
      <c r="HL11" s="515"/>
      <c r="HM11" s="515"/>
      <c r="HN11" s="515"/>
      <c r="HO11" s="515"/>
      <c r="HP11" s="515"/>
      <c r="HQ11" s="515"/>
      <c r="HR11" s="515"/>
      <c r="HS11" s="515"/>
      <c r="HT11" s="515"/>
      <c r="HU11" s="515"/>
      <c r="HV11" s="515"/>
      <c r="HW11" s="515"/>
      <c r="HX11" s="515"/>
      <c r="HY11" s="515"/>
      <c r="HZ11" s="515"/>
      <c r="IA11" s="515"/>
      <c r="IB11" s="515"/>
      <c r="IC11" s="515"/>
      <c r="ID11" s="515"/>
      <c r="IE11" s="515"/>
      <c r="IF11" s="515"/>
      <c r="IG11" s="515"/>
      <c r="IH11" s="515"/>
      <c r="II11" s="515"/>
      <c r="IJ11" s="515"/>
      <c r="IK11" s="515"/>
      <c r="IL11" s="515"/>
      <c r="IM11" s="515"/>
      <c r="IN11" s="515"/>
      <c r="IO11" s="515"/>
      <c r="IP11" s="515"/>
      <c r="IQ11" s="515"/>
      <c r="IR11" s="515"/>
      <c r="IS11" s="515"/>
      <c r="IT11" s="515"/>
      <c r="IU11" s="515"/>
      <c r="IV11" s="515"/>
      <c r="IW11" s="515"/>
    </row>
    <row r="12" customFormat="false" ht="12.75" hidden="false" customHeight="false" outlineLevel="0" collapsed="false">
      <c r="A12" s="515"/>
      <c r="B12" s="523" t="s">
        <v>245</v>
      </c>
      <c r="C12" s="515" t="n">
        <f aca="false">SUM(C9:C11)</f>
        <v>27939996.0845947</v>
      </c>
      <c r="D12" s="515" t="n">
        <f aca="false">SUM(D9:D11)</f>
        <v>26282843.1463623</v>
      </c>
      <c r="E12" s="515" t="n">
        <f aca="false">SUM(E9:E11)</f>
        <v>25565399.1540527</v>
      </c>
      <c r="F12" s="515" t="n">
        <f aca="false">SUM(F9:F11)</f>
        <v>25345655.1617432</v>
      </c>
      <c r="G12" s="515" t="n">
        <f aca="false">SUM(G9:G11)</f>
        <v>25668719.1540527</v>
      </c>
      <c r="H12" s="515" t="n">
        <f aca="false">SUM(H9:H11)</f>
        <v>26161883.1463623</v>
      </c>
      <c r="I12" s="515" t="n">
        <f aca="false">SUM(I9:I11)</f>
        <v>26554499.1540527</v>
      </c>
      <c r="J12" s="515" t="n">
        <f aca="false">SUM(J9:J11)</f>
        <v>27046655.1617432</v>
      </c>
      <c r="K12" s="515" t="n">
        <f aca="false">SUM(K9:K11)</f>
        <v>27914039.1540527</v>
      </c>
      <c r="L12" s="515" t="n">
        <f aca="false">SUM(L9:L11)</f>
        <v>28705823.1463623</v>
      </c>
      <c r="M12" s="515" t="n">
        <f aca="false">SUM(M9:M11)</f>
        <v>29099699.1540527</v>
      </c>
      <c r="N12" s="515" t="n">
        <f aca="false">SUM(N9:N11)</f>
        <v>29518775.1617432</v>
      </c>
      <c r="O12" s="515" t="n">
        <f aca="false">SUM(O9:O11)</f>
        <v>30353399.1540527</v>
      </c>
      <c r="P12" s="515" t="n">
        <f aca="false">SUM(P9:P11)</f>
        <v>31117463.1463623</v>
      </c>
      <c r="Q12" s="515" t="n">
        <f aca="false">SUM(Q9:Q11)</f>
        <v>31443299.1540527</v>
      </c>
      <c r="R12" s="515" t="n">
        <f aca="false">SUM(R9:R11)</f>
        <v>31832135.1617432</v>
      </c>
      <c r="S12" s="515" t="n">
        <f aca="false">SUM(S9:S11)</f>
        <v>32681879.1540527</v>
      </c>
      <c r="T12" s="515" t="n">
        <f aca="false">SUM(T9:T11)</f>
        <v>33476183.1463623</v>
      </c>
      <c r="U12" s="515" t="n">
        <f aca="false">SUM(U9:U11)</f>
        <v>33786899.1540527</v>
      </c>
      <c r="V12" s="515" t="n">
        <f aca="false">SUM(V9:V11)</f>
        <v>33567155.1617432</v>
      </c>
      <c r="W12" s="515" t="n">
        <f aca="false">SUM(W9:W11)</f>
        <v>33846119.1540527</v>
      </c>
      <c r="X12" s="515"/>
      <c r="Y12" s="515"/>
      <c r="Z12" s="515"/>
      <c r="AA12" s="515"/>
      <c r="AB12" s="515"/>
      <c r="AC12" s="515"/>
      <c r="AD12" s="515"/>
      <c r="AE12" s="515"/>
      <c r="AF12" s="515"/>
      <c r="AG12" s="515"/>
      <c r="AH12" s="515"/>
      <c r="AI12" s="515"/>
      <c r="AJ12" s="515"/>
      <c r="AK12" s="515"/>
      <c r="AL12" s="515"/>
      <c r="AM12" s="515"/>
      <c r="AN12" s="515"/>
      <c r="AO12" s="515"/>
      <c r="AP12" s="515"/>
      <c r="AQ12" s="515"/>
      <c r="AR12" s="515"/>
      <c r="AS12" s="515"/>
      <c r="AT12" s="515"/>
      <c r="AU12" s="515"/>
      <c r="AV12" s="515"/>
      <c r="AW12" s="515"/>
      <c r="AX12" s="515"/>
      <c r="AY12" s="515"/>
      <c r="AZ12" s="515"/>
      <c r="BA12" s="515"/>
      <c r="BB12" s="515"/>
      <c r="BC12" s="515"/>
      <c r="BD12" s="515"/>
      <c r="BE12" s="515"/>
      <c r="BF12" s="515"/>
      <c r="BG12" s="515"/>
      <c r="BH12" s="515"/>
      <c r="BI12" s="515"/>
      <c r="BJ12" s="515"/>
      <c r="BK12" s="515"/>
      <c r="BL12" s="515"/>
      <c r="BM12" s="515"/>
      <c r="BN12" s="515"/>
      <c r="BO12" s="515"/>
      <c r="BP12" s="515"/>
      <c r="BQ12" s="515"/>
      <c r="BR12" s="515"/>
      <c r="BS12" s="515"/>
      <c r="BT12" s="515"/>
      <c r="BU12" s="515"/>
      <c r="BV12" s="515"/>
      <c r="BW12" s="515"/>
      <c r="BX12" s="515"/>
      <c r="BY12" s="515"/>
      <c r="BZ12" s="515"/>
      <c r="CA12" s="515"/>
      <c r="CB12" s="515"/>
      <c r="CC12" s="515"/>
      <c r="CD12" s="515"/>
      <c r="CE12" s="515"/>
      <c r="CF12" s="515"/>
      <c r="CG12" s="515"/>
      <c r="CH12" s="515"/>
      <c r="CI12" s="515"/>
      <c r="CJ12" s="515"/>
      <c r="CK12" s="515"/>
      <c r="CL12" s="515"/>
      <c r="CM12" s="515"/>
      <c r="CN12" s="515"/>
      <c r="CO12" s="515"/>
      <c r="CP12" s="515"/>
      <c r="CQ12" s="515"/>
      <c r="CR12" s="515"/>
      <c r="CS12" s="515"/>
      <c r="CT12" s="515"/>
      <c r="CU12" s="515"/>
      <c r="CV12" s="515"/>
      <c r="CW12" s="515"/>
      <c r="CX12" s="515"/>
      <c r="CY12" s="515"/>
      <c r="CZ12" s="515"/>
      <c r="DA12" s="515"/>
      <c r="DB12" s="515"/>
      <c r="DC12" s="515"/>
      <c r="DD12" s="515"/>
      <c r="DE12" s="515"/>
      <c r="DF12" s="515"/>
      <c r="DG12" s="515"/>
      <c r="DH12" s="515"/>
      <c r="DI12" s="515"/>
      <c r="DJ12" s="515"/>
      <c r="DK12" s="515"/>
      <c r="DL12" s="515"/>
      <c r="DM12" s="515"/>
      <c r="DN12" s="515"/>
      <c r="DO12" s="515"/>
      <c r="DP12" s="515"/>
      <c r="DQ12" s="515"/>
      <c r="DR12" s="515"/>
      <c r="DS12" s="515"/>
      <c r="DT12" s="515"/>
      <c r="DU12" s="515"/>
      <c r="DV12" s="515"/>
      <c r="DW12" s="515"/>
      <c r="DX12" s="515"/>
      <c r="DY12" s="515"/>
      <c r="DZ12" s="515"/>
      <c r="EA12" s="515"/>
      <c r="EB12" s="515"/>
      <c r="EC12" s="515"/>
      <c r="ED12" s="515"/>
      <c r="EE12" s="515"/>
      <c r="EF12" s="515"/>
      <c r="EG12" s="515"/>
      <c r="EH12" s="515"/>
      <c r="EI12" s="515"/>
      <c r="EJ12" s="515"/>
      <c r="EK12" s="515"/>
      <c r="EL12" s="515"/>
      <c r="EM12" s="515"/>
      <c r="EN12" s="515"/>
      <c r="EO12" s="515"/>
      <c r="EP12" s="515"/>
      <c r="EQ12" s="515"/>
      <c r="ER12" s="515"/>
      <c r="ES12" s="515"/>
      <c r="ET12" s="515"/>
      <c r="EU12" s="515"/>
      <c r="EV12" s="515"/>
      <c r="EW12" s="515"/>
      <c r="EX12" s="515"/>
      <c r="EY12" s="515"/>
      <c r="EZ12" s="515"/>
      <c r="FA12" s="515"/>
      <c r="FB12" s="515"/>
      <c r="FC12" s="515"/>
      <c r="FD12" s="515"/>
      <c r="FE12" s="515"/>
      <c r="FF12" s="515"/>
      <c r="FG12" s="515"/>
      <c r="FH12" s="515"/>
      <c r="FI12" s="515"/>
      <c r="FJ12" s="515"/>
      <c r="FK12" s="515"/>
      <c r="FL12" s="515"/>
      <c r="FM12" s="515"/>
      <c r="FN12" s="515"/>
      <c r="FO12" s="515"/>
      <c r="FP12" s="515"/>
      <c r="FQ12" s="515"/>
      <c r="FR12" s="515"/>
      <c r="FS12" s="515"/>
      <c r="FT12" s="515"/>
      <c r="FU12" s="515"/>
      <c r="FV12" s="515"/>
      <c r="FW12" s="515"/>
      <c r="FX12" s="515"/>
      <c r="FY12" s="515"/>
      <c r="FZ12" s="515"/>
      <c r="GA12" s="515"/>
      <c r="GB12" s="515"/>
      <c r="GC12" s="515"/>
      <c r="GD12" s="515"/>
      <c r="GE12" s="515"/>
      <c r="GF12" s="515"/>
      <c r="GG12" s="515"/>
      <c r="GH12" s="515"/>
      <c r="GI12" s="515"/>
      <c r="GJ12" s="515"/>
      <c r="GK12" s="515"/>
      <c r="GL12" s="515"/>
      <c r="GM12" s="515"/>
      <c r="GN12" s="515"/>
      <c r="GO12" s="515"/>
      <c r="GP12" s="515"/>
      <c r="GQ12" s="515"/>
      <c r="GR12" s="515"/>
      <c r="GS12" s="515"/>
      <c r="GT12" s="515"/>
      <c r="GU12" s="515"/>
      <c r="GV12" s="515"/>
      <c r="GW12" s="515"/>
      <c r="GX12" s="515"/>
      <c r="GY12" s="515"/>
      <c r="GZ12" s="515"/>
      <c r="HA12" s="515"/>
      <c r="HB12" s="515"/>
      <c r="HC12" s="515"/>
      <c r="HD12" s="515"/>
      <c r="HE12" s="515"/>
      <c r="HF12" s="515"/>
      <c r="HG12" s="515"/>
      <c r="HH12" s="515"/>
      <c r="HI12" s="515"/>
      <c r="HJ12" s="515"/>
      <c r="HK12" s="515"/>
      <c r="HL12" s="515"/>
      <c r="HM12" s="515"/>
      <c r="HN12" s="515"/>
      <c r="HO12" s="515"/>
      <c r="HP12" s="515"/>
      <c r="HQ12" s="515"/>
      <c r="HR12" s="515"/>
      <c r="HS12" s="515"/>
      <c r="HT12" s="515"/>
      <c r="HU12" s="515"/>
      <c r="HV12" s="515"/>
      <c r="HW12" s="515"/>
      <c r="HX12" s="515"/>
      <c r="HY12" s="515"/>
      <c r="HZ12" s="515"/>
      <c r="IA12" s="515"/>
      <c r="IB12" s="515"/>
      <c r="IC12" s="515"/>
      <c r="ID12" s="515"/>
      <c r="IE12" s="515"/>
      <c r="IF12" s="515"/>
      <c r="IG12" s="515"/>
      <c r="IH12" s="515"/>
      <c r="II12" s="515"/>
      <c r="IJ12" s="515"/>
      <c r="IK12" s="515"/>
      <c r="IL12" s="515"/>
      <c r="IM12" s="515"/>
      <c r="IN12" s="515"/>
      <c r="IO12" s="515"/>
      <c r="IP12" s="515"/>
      <c r="IQ12" s="515"/>
      <c r="IR12" s="515"/>
      <c r="IS12" s="515"/>
      <c r="IT12" s="515"/>
      <c r="IU12" s="515"/>
      <c r="IV12" s="515"/>
      <c r="IW12" s="515"/>
    </row>
    <row r="14" customFormat="false" ht="12.75" hidden="false" customHeight="false" outlineLevel="0" collapsed="false">
      <c r="B14" s="179" t="s">
        <v>246</v>
      </c>
      <c r="C14" s="515" t="n">
        <f aca="false">SUM('Revenues &amp; Expenses'!$AJ12:$AJ$18)</f>
        <v>17242395.0152276</v>
      </c>
      <c r="D14" s="515" t="n">
        <f aca="false">SUM('Revenues &amp; Expenses'!$AJ$19:$AJ$30)</f>
        <v>15167349.7555035</v>
      </c>
      <c r="E14" s="515" t="n">
        <f aca="false">SUM('Revenues &amp; Expenses'!$AJ$31:$AJ$42)</f>
        <v>14388814.4825793</v>
      </c>
      <c r="F14" s="515" t="n">
        <f aca="false">SUM('Revenues &amp; Expenses'!$AJ$43:$AJ$54)</f>
        <v>14031040.0216966</v>
      </c>
      <c r="G14" s="515" t="n">
        <f aca="false">SUM('Revenues &amp; Expenses'!$AJ$55:$AJ$66)</f>
        <v>14092494.7898483</v>
      </c>
      <c r="H14" s="515" t="n">
        <f aca="false">SUM('Revenues &amp; Expenses'!$AJ$67:$AJ$78)</f>
        <v>14053089.8227034</v>
      </c>
      <c r="I14" s="515" t="n">
        <f aca="false">SUM('Revenues &amp; Expenses'!$AJ$79:$AJ$90)</f>
        <v>13868226.0890069</v>
      </c>
      <c r="J14" s="515" t="n">
        <f aca="false">SUM('Revenues &amp; Expenses'!$AJ$91:$AJ$102)</f>
        <v>13961402.9378069</v>
      </c>
      <c r="K14" s="515" t="n">
        <f aca="false">SUM('Revenues &amp; Expenses'!$AJ$103:$AJ$114)</f>
        <v>14301988.7089655</v>
      </c>
      <c r="L14" s="515" t="n">
        <f aca="false">SUM('Revenues &amp; Expenses'!$AJ$115:$AJ$126)</f>
        <v>14309122.2232966</v>
      </c>
      <c r="M14" s="515" t="n">
        <f aca="false">SUM('Revenues &amp; Expenses'!$AJ$127:$AJ$138)</f>
        <v>14091354.4264138</v>
      </c>
      <c r="N14" s="515" t="n">
        <f aca="false">SUM('Revenues &amp; Expenses'!$AJ$139:$AJ$150)</f>
        <v>14084220.9120828</v>
      </c>
      <c r="O14" s="515" t="n">
        <f aca="false">SUM('Revenues &amp; Expenses'!$AJ$151:$AJ$162)</f>
        <v>14301988.7089655</v>
      </c>
      <c r="P14" s="515" t="n">
        <f aca="false">SUM('Revenues &amp; Expenses'!$AJ$163:$AJ$174)</f>
        <v>14309122.2232966</v>
      </c>
      <c r="Q14" s="515" t="n">
        <f aca="false">SUM('Revenues &amp; Expenses'!$AJ$175:$AJ$186)</f>
        <v>14091354.4264138</v>
      </c>
      <c r="R14" s="515" t="n">
        <f aca="false">SUM('Revenues &amp; Expenses'!$AJ$187:$AJ$198)</f>
        <v>14084220.9120828</v>
      </c>
      <c r="S14" s="515" t="n">
        <f aca="false">SUM('Revenues &amp; Expenses'!$AJ$199:$AJ$210)</f>
        <v>14301988.7089655</v>
      </c>
      <c r="T14" s="515" t="n">
        <f aca="false">SUM('Revenues &amp; Expenses'!$AJ$211:$AJ$222)</f>
        <v>14309122.2232966</v>
      </c>
      <c r="U14" s="515" t="n">
        <f aca="false">SUM('Revenues &amp; Expenses'!$AJ$223:$AJ$234)</f>
        <v>14091354.4264138</v>
      </c>
      <c r="V14" s="515" t="n">
        <f aca="false">SUM('Revenues &amp; Expenses'!$AJ$235:$AJ$246)</f>
        <v>14084220.9120828</v>
      </c>
      <c r="W14" s="515" t="n">
        <f aca="false">SUM('Revenues &amp; Expenses'!$AJ$247:$AJ$258)</f>
        <v>14301988.7089655</v>
      </c>
      <c r="X14" s="515"/>
    </row>
    <row r="15" customFormat="false" ht="12.75" hidden="false" customHeight="false" outlineLevel="0" collapsed="false">
      <c r="B15" s="179" t="s">
        <v>247</v>
      </c>
      <c r="C15" s="522" t="n">
        <f aca="false">SUM('Revenues &amp; Expenses'!$AU$12:$AU$18)-C14</f>
        <v>3523432.54333136</v>
      </c>
      <c r="D15" s="522" t="n">
        <f aca="false">SUM('Revenues &amp; Expenses'!$AU$19:$AU$30)-D14</f>
        <v>6147102.88279276</v>
      </c>
      <c r="E15" s="522" t="n">
        <f aca="false">SUM('Revenues &amp; Expenses'!$AU$31:$AU$42)-E14</f>
        <v>6266050.43731335</v>
      </c>
      <c r="F15" s="522" t="n">
        <f aca="false">SUM('Revenues &amp; Expenses'!$AU$43:$AU$54)-F14</f>
        <v>6154027.30974764</v>
      </c>
      <c r="G15" s="522" t="n">
        <f aca="false">SUM('Revenues &amp; Expenses'!$AU$55:$AU$66)-G14</f>
        <v>6308855.16189325</v>
      </c>
      <c r="H15" s="522" t="n">
        <f aca="false">SUM('Revenues &amp; Expenses'!$AU$67:$AU$78)-H14</f>
        <v>6457779.62754099</v>
      </c>
      <c r="I15" s="522" t="n">
        <f aca="false">SUM('Revenues &amp; Expenses'!$AU$79:$AU$90)-I14</f>
        <v>6598022.88851367</v>
      </c>
      <c r="J15" s="522" t="n">
        <f aca="false">SUM('Revenues &amp; Expenses'!$AU$91:$AU$102)-J14</f>
        <v>6754807.02070644</v>
      </c>
      <c r="K15" s="522" t="n">
        <f aca="false">SUM('Revenues &amp; Expenses'!$AU$103:$AU$114)-K14</f>
        <v>6931490.73355969</v>
      </c>
      <c r="L15" s="522" t="n">
        <f aca="false">SUM('Revenues &amp; Expenses'!$AU$115:$AU$126)-L14</f>
        <v>7099934.66105949</v>
      </c>
      <c r="M15" s="522" t="n">
        <f aca="false">SUM('Revenues &amp; Expenses'!$AU$127:$AU$138)-M14</f>
        <v>7256490.17672184</v>
      </c>
      <c r="N15" s="522" t="n">
        <f aca="false">SUM('Revenues &amp; Expenses'!$AU$139:$AU$150)-N14</f>
        <v>7430854.73809899</v>
      </c>
      <c r="O15" s="522" t="n">
        <f aca="false">SUM('Revenues &amp; Expenses'!$AU$151:$AU$162)-O14</f>
        <v>7627679.22069467</v>
      </c>
      <c r="P15" s="522" t="n">
        <f aca="false">SUM('Revenues &amp; Expenses'!$AU$163:$AU$174)-P14</f>
        <v>7815381.48874486</v>
      </c>
      <c r="Q15" s="522" t="n">
        <f aca="false">SUM('Revenues &amp; Expenses'!$AU$175:$AU$186)-Q14</f>
        <v>7989501.93717619</v>
      </c>
      <c r="R15" s="522" t="n">
        <f aca="false">SUM('Revenues &amp; Expenses'!$AU$187:$AU$198)-R14</f>
        <v>8183758.62761653</v>
      </c>
      <c r="S15" s="522" t="n">
        <f aca="false">SUM('Revenues &amp; Expenses'!$AU$199:$AU$210)-S14</f>
        <v>8403426.38605052</v>
      </c>
      <c r="T15" s="522" t="n">
        <f aca="false">SUM('Revenues &amp; Expenses'!$AU$211:$AU$222)-T14</f>
        <v>8613114.66675779</v>
      </c>
      <c r="U15" s="522" t="n">
        <f aca="false">SUM('Revenues &amp; Expenses'!$AU$223:$AU$234)-U14</f>
        <v>8807276.87659717</v>
      </c>
      <c r="V15" s="522" t="n">
        <f aca="false">SUM('Revenues &amp; Expenses'!$AU$235:$AU$246)-V14</f>
        <v>9017844.17100406</v>
      </c>
      <c r="W15" s="522" t="n">
        <f aca="false">SUM('Revenues &amp; Expenses'!$AU$247:$AU$258)-W14</f>
        <v>8698751.92611106</v>
      </c>
      <c r="X15" s="513"/>
      <c r="Y15" s="513"/>
    </row>
    <row r="16" customFormat="false" ht="12.75" hidden="false" customHeight="false" outlineLevel="0" collapsed="false">
      <c r="B16" s="179" t="s">
        <v>248</v>
      </c>
      <c r="C16" s="513" t="n">
        <f aca="false">C14+C15</f>
        <v>20765827.558559</v>
      </c>
      <c r="D16" s="513" t="n">
        <f aca="false">D14+D15</f>
        <v>21314452.6382962</v>
      </c>
      <c r="E16" s="513" t="n">
        <f aca="false">E14+E15</f>
        <v>20654864.9198927</v>
      </c>
      <c r="F16" s="513" t="n">
        <f aca="false">F14+F15</f>
        <v>20185067.3314442</v>
      </c>
      <c r="G16" s="513" t="n">
        <f aca="false">G14+G15</f>
        <v>20401349.9517415</v>
      </c>
      <c r="H16" s="513" t="n">
        <f aca="false">H14+H15</f>
        <v>20510869.4502444</v>
      </c>
      <c r="I16" s="513" t="n">
        <f aca="false">I14+I15</f>
        <v>20466248.9775206</v>
      </c>
      <c r="J16" s="513" t="n">
        <f aca="false">J14+J15</f>
        <v>20716209.9585133</v>
      </c>
      <c r="K16" s="513" t="n">
        <f aca="false">K14+K15</f>
        <v>21233479.4425252</v>
      </c>
      <c r="L16" s="513" t="n">
        <f aca="false">L14+L15</f>
        <v>21409056.884356</v>
      </c>
      <c r="M16" s="513" t="n">
        <f aca="false">M14+M15</f>
        <v>21347844.6031356</v>
      </c>
      <c r="N16" s="513" t="n">
        <f aca="false">N14+N15</f>
        <v>21515075.6501818</v>
      </c>
      <c r="O16" s="513" t="n">
        <f aca="false">O14+O15</f>
        <v>21929667.9296602</v>
      </c>
      <c r="P16" s="513" t="n">
        <f aca="false">P14+P15</f>
        <v>22124503.7120414</v>
      </c>
      <c r="Q16" s="513" t="n">
        <f aca="false">Q14+Q15</f>
        <v>22080856.36359</v>
      </c>
      <c r="R16" s="513" t="n">
        <f aca="false">R14+R15</f>
        <v>22267979.5396993</v>
      </c>
      <c r="S16" s="513" t="n">
        <f aca="false">S14+S15</f>
        <v>22705415.095016</v>
      </c>
      <c r="T16" s="513" t="n">
        <f aca="false">T14+T15</f>
        <v>22922236.8900543</v>
      </c>
      <c r="U16" s="513" t="n">
        <f aca="false">U14+U15</f>
        <v>22898631.303011</v>
      </c>
      <c r="V16" s="513" t="n">
        <f aca="false">V14+V15</f>
        <v>23102065.0830868</v>
      </c>
      <c r="W16" s="514" t="n">
        <f aca="false">W14+W15</f>
        <v>23000740.6350766</v>
      </c>
      <c r="X16" s="515"/>
    </row>
    <row r="17" customFormat="false" ht="12.75" hidden="false" customHeight="false" outlineLevel="0" collapsed="false">
      <c r="C17" s="513"/>
      <c r="D17" s="513"/>
      <c r="E17" s="513"/>
      <c r="F17" s="513"/>
      <c r="G17" s="513"/>
      <c r="H17" s="513"/>
      <c r="I17" s="513"/>
      <c r="J17" s="513"/>
      <c r="K17" s="513"/>
      <c r="L17" s="513"/>
      <c r="M17" s="513"/>
      <c r="N17" s="513"/>
      <c r="O17" s="513"/>
      <c r="P17" s="513"/>
      <c r="Q17" s="513"/>
      <c r="R17" s="513"/>
      <c r="S17" s="513"/>
      <c r="T17" s="513"/>
      <c r="U17" s="513"/>
      <c r="V17" s="513"/>
      <c r="W17" s="514"/>
      <c r="X17" s="515"/>
    </row>
    <row r="18" customFormat="false" ht="12.75" hidden="false" customHeight="false" outlineLevel="0" collapsed="false">
      <c r="B18" s="179" t="s">
        <v>234</v>
      </c>
      <c r="C18" s="513" t="n">
        <f aca="false">C12-C16</f>
        <v>7174168.52603578</v>
      </c>
      <c r="D18" s="513" t="n">
        <f aca="false">D12-D16</f>
        <v>4968390.50806609</v>
      </c>
      <c r="E18" s="513" t="n">
        <f aca="false">E12-E16</f>
        <v>4910534.23416007</v>
      </c>
      <c r="F18" s="513" t="n">
        <f aca="false">F12-F16</f>
        <v>5160587.83029897</v>
      </c>
      <c r="G18" s="513" t="n">
        <f aca="false">G12-G16</f>
        <v>5267369.20231121</v>
      </c>
      <c r="H18" s="513" t="n">
        <f aca="false">H12-H16</f>
        <v>5651013.69611786</v>
      </c>
      <c r="I18" s="513" t="n">
        <f aca="false">I12-I16</f>
        <v>6088250.17653216</v>
      </c>
      <c r="J18" s="513" t="n">
        <f aca="false">J12-J16</f>
        <v>6330445.20322982</v>
      </c>
      <c r="K18" s="513" t="n">
        <f aca="false">K12-K16</f>
        <v>6680559.71152753</v>
      </c>
      <c r="L18" s="513" t="n">
        <f aca="false">L12-L16</f>
        <v>7296766.26200626</v>
      </c>
      <c r="M18" s="513" t="n">
        <f aca="false">M12-M16</f>
        <v>7751854.5509171</v>
      </c>
      <c r="N18" s="513" t="n">
        <f aca="false">N12-N16</f>
        <v>8003699.51156141</v>
      </c>
      <c r="O18" s="513" t="n">
        <f aca="false">O12-O16</f>
        <v>8423731.22439255</v>
      </c>
      <c r="P18" s="513" t="n">
        <f aca="false">P12-P16</f>
        <v>8992959.4343209</v>
      </c>
      <c r="Q18" s="513" t="n">
        <f aca="false">Q12-Q16</f>
        <v>9362442.79046275</v>
      </c>
      <c r="R18" s="513" t="n">
        <f aca="false">R12-R16</f>
        <v>9564155.62204387</v>
      </c>
      <c r="S18" s="513" t="n">
        <f aca="false">S12-S16</f>
        <v>9976464.05903669</v>
      </c>
      <c r="T18" s="513" t="n">
        <f aca="false">T12-T16</f>
        <v>10553946.256308</v>
      </c>
      <c r="U18" s="513" t="n">
        <f aca="false">U12-U16</f>
        <v>10888267.8510418</v>
      </c>
      <c r="V18" s="513" t="n">
        <f aca="false">V12-V16</f>
        <v>10465090.0786563</v>
      </c>
      <c r="W18" s="514" t="n">
        <f aca="false">W12-W16</f>
        <v>10845378.5189762</v>
      </c>
      <c r="X18" s="515"/>
      <c r="Y18" s="524" t="n">
        <f aca="false">SUM(C18:W18)</f>
        <v>164356075.248003</v>
      </c>
      <c r="Z18" s="525" t="n">
        <f aca="false">Z32</f>
        <v>164356075.248003</v>
      </c>
      <c r="AA18" s="526" t="n">
        <f aca="false">Y18-Z18</f>
        <v>0</v>
      </c>
    </row>
    <row r="19" customFormat="false" ht="12.75" hidden="false" customHeight="false" outlineLevel="0" collapsed="false">
      <c r="Y19" s="527"/>
      <c r="Z19" s="528"/>
      <c r="AA19" s="24"/>
    </row>
    <row r="20" customFormat="false" ht="12.75" hidden="false" customHeight="false" outlineLevel="0" collapsed="false">
      <c r="B20" s="179" t="s">
        <v>249</v>
      </c>
      <c r="Y20" s="527"/>
      <c r="Z20" s="528"/>
      <c r="AA20" s="24"/>
    </row>
    <row r="21" customFormat="false" ht="12.75" hidden="false" customHeight="false" outlineLevel="0" collapsed="false">
      <c r="B21" s="529" t="s">
        <v>250</v>
      </c>
      <c r="C21" s="515" t="n">
        <f aca="false">'Debt Amortization'!H13</f>
        <v>0</v>
      </c>
      <c r="D21" s="515" t="n">
        <f aca="false">'Debt Amortization'!I13</f>
        <v>10334933.1557002</v>
      </c>
      <c r="E21" s="515" t="n">
        <f aca="false">'Debt Amortization'!J13</f>
        <v>10127163.0605305</v>
      </c>
      <c r="F21" s="515" t="n">
        <f aca="false">'Debt Amortization'!K13</f>
        <v>9901214.84857488</v>
      </c>
      <c r="G21" s="515" t="n">
        <f aca="false">'Debt Amortization'!L13</f>
        <v>9655498.08917202</v>
      </c>
      <c r="H21" s="515" t="n">
        <f aca="false">'Debt Amortization'!M13</f>
        <v>9388283.20250004</v>
      </c>
      <c r="I21" s="515" t="n">
        <f aca="false">'Debt Amortization'!N13</f>
        <v>9097689.28520826</v>
      </c>
      <c r="J21" s="515" t="n">
        <f aca="false">'Debt Amortization'!O13</f>
        <v>8781670.870895</v>
      </c>
      <c r="K21" s="515" t="n">
        <f aca="false">'Debt Amortization'!P13</f>
        <v>8438003.53223975</v>
      </c>
      <c r="L21" s="515" t="n">
        <f aca="false">'Debt Amortization'!Q13</f>
        <v>8064268.22344439</v>
      </c>
      <c r="M21" s="515" t="n">
        <f aca="false">'Debt Amortization'!R13</f>
        <v>7657834.25277115</v>
      </c>
      <c r="N21" s="515" t="n">
        <f aca="false">'Debt Amortization'!S13</f>
        <v>7215840.76532235</v>
      </c>
      <c r="O21" s="515" t="n">
        <f aca="false">'Debt Amortization'!T13</f>
        <v>6735176.60572084</v>
      </c>
      <c r="P21" s="515" t="n">
        <f aca="false">'Debt Amortization'!U13</f>
        <v>6212458.41894623</v>
      </c>
      <c r="Q21" s="515" t="n">
        <f aca="false">'Debt Amortization'!V13</f>
        <v>5644006.83518043</v>
      </c>
      <c r="R21" s="515" t="n">
        <f aca="false">'Debt Amortization'!W13</f>
        <v>5025820.57102969</v>
      </c>
      <c r="S21" s="515" t="n">
        <f aca="false">'Debt Amortization'!X13</f>
        <v>4353548.26482375</v>
      </c>
      <c r="T21" s="515" t="n">
        <f aca="false">'Debt Amortization'!Y13</f>
        <v>3622457.84774317</v>
      </c>
      <c r="U21" s="515" t="n">
        <f aca="false">'Debt Amortization'!Z13</f>
        <v>2827403.23518069</v>
      </c>
      <c r="V21" s="515" t="n">
        <f aca="false">'Debt Amortization'!AA13</f>
        <v>1962788.10387987</v>
      </c>
      <c r="W21" s="515" t="n">
        <f aca="false">'Debt Amortization'!AB13</f>
        <v>1022526.49988149</v>
      </c>
      <c r="Y21" s="527"/>
      <c r="Z21" s="528"/>
      <c r="AA21" s="24"/>
    </row>
    <row r="22" customFormat="false" ht="12.75" hidden="false" customHeight="false" outlineLevel="0" collapsed="false">
      <c r="B22" s="529" t="s">
        <v>251</v>
      </c>
      <c r="C22" s="515" t="n">
        <f aca="false">'Debt Amortization'!H21</f>
        <v>0</v>
      </c>
      <c r="D22" s="515" t="n">
        <f aca="false">'Debt Amortization'!I21</f>
        <v>101677.434267498</v>
      </c>
      <c r="E22" s="515" t="n">
        <f aca="false">'Debt Amortization'!J21</f>
        <v>101677.434267498</v>
      </c>
      <c r="F22" s="515" t="n">
        <f aca="false">'Debt Amortization'!K21</f>
        <v>101677.434267498</v>
      </c>
      <c r="G22" s="515" t="n">
        <f aca="false">'Debt Amortization'!L21</f>
        <v>101677.434267498</v>
      </c>
      <c r="H22" s="515" t="n">
        <f aca="false">'Debt Amortization'!M21</f>
        <v>101677.434267498</v>
      </c>
      <c r="I22" s="515" t="n">
        <f aca="false">'Debt Amortization'!N21</f>
        <v>101677.434267498</v>
      </c>
      <c r="J22" s="515" t="n">
        <f aca="false">'Debt Amortization'!O21</f>
        <v>101677.434267498</v>
      </c>
      <c r="K22" s="515" t="n">
        <f aca="false">'Debt Amortization'!P21</f>
        <v>101677.434267498</v>
      </c>
      <c r="L22" s="515" t="n">
        <f aca="false">'Debt Amortization'!Q21</f>
        <v>101677.434267498</v>
      </c>
      <c r="M22" s="515" t="n">
        <f aca="false">'Debt Amortization'!R21</f>
        <v>101677.434267498</v>
      </c>
      <c r="N22" s="515" t="n">
        <f aca="false">'Debt Amortization'!S21</f>
        <v>101677.434267498</v>
      </c>
      <c r="O22" s="515" t="n">
        <f aca="false">'Debt Amortization'!T21</f>
        <v>101677.434267498</v>
      </c>
      <c r="P22" s="515" t="n">
        <f aca="false">'Debt Amortization'!U21</f>
        <v>101677.434267498</v>
      </c>
      <c r="Q22" s="515" t="n">
        <f aca="false">'Debt Amortization'!V21</f>
        <v>101677.434267498</v>
      </c>
      <c r="R22" s="515" t="n">
        <f aca="false">'Debt Amortization'!W21</f>
        <v>101677.434267498</v>
      </c>
      <c r="S22" s="515" t="n">
        <f aca="false">'Debt Amortization'!X21</f>
        <v>101677.434267498</v>
      </c>
      <c r="T22" s="515" t="n">
        <f aca="false">'Debt Amortization'!Y21</f>
        <v>76340.5637006235</v>
      </c>
      <c r="U22" s="515" t="n">
        <f aca="false">'Debt Amortization'!Z21</f>
        <v>67894.940178332</v>
      </c>
      <c r="V22" s="515" t="n">
        <f aca="false">'Debt Amortization'!AA21</f>
        <v>34002.4631329611</v>
      </c>
      <c r="W22" s="515" t="n">
        <f aca="false">'Debt Amortization'!AB21</f>
        <v>0</v>
      </c>
      <c r="Y22" s="527"/>
      <c r="Z22" s="528"/>
      <c r="AA22" s="24"/>
    </row>
    <row r="23" customFormat="false" ht="12.75" hidden="false" customHeight="false" outlineLevel="0" collapsed="false">
      <c r="B23" s="179" t="s">
        <v>252</v>
      </c>
      <c r="C23" s="522" t="n">
        <v>0</v>
      </c>
      <c r="D23" s="530" t="n">
        <v>0</v>
      </c>
      <c r="E23" s="530" t="n">
        <v>0</v>
      </c>
      <c r="F23" s="530" t="n">
        <v>0</v>
      </c>
      <c r="G23" s="530" t="n">
        <v>0</v>
      </c>
      <c r="H23" s="530" t="n">
        <v>0</v>
      </c>
      <c r="I23" s="530" t="n">
        <v>0</v>
      </c>
      <c r="J23" s="530" t="n">
        <v>0</v>
      </c>
      <c r="K23" s="530" t="n">
        <v>0</v>
      </c>
      <c r="L23" s="530" t="n">
        <v>0</v>
      </c>
      <c r="M23" s="530" t="n">
        <v>0</v>
      </c>
      <c r="N23" s="530" t="n">
        <v>0</v>
      </c>
      <c r="O23" s="530" t="n">
        <v>0</v>
      </c>
      <c r="P23" s="530" t="n">
        <v>0</v>
      </c>
      <c r="Q23" s="530" t="n">
        <v>0</v>
      </c>
      <c r="R23" s="530" t="n">
        <v>0</v>
      </c>
      <c r="S23" s="530" t="n">
        <v>0</v>
      </c>
      <c r="T23" s="530" t="n">
        <v>0</v>
      </c>
      <c r="U23" s="530" t="n">
        <v>0</v>
      </c>
      <c r="V23" s="530" t="n">
        <v>0</v>
      </c>
      <c r="W23" s="531" t="n">
        <v>0</v>
      </c>
      <c r="Y23" s="527"/>
      <c r="Z23" s="528"/>
      <c r="AA23" s="24"/>
    </row>
    <row r="24" customFormat="false" ht="12.75" hidden="false" customHeight="false" outlineLevel="0" collapsed="false">
      <c r="C24" s="513" t="n">
        <f aca="false">SUM(C21:C23)</f>
        <v>0</v>
      </c>
      <c r="D24" s="513" t="n">
        <f aca="false">SUM(D21:D23)</f>
        <v>10436610.5899677</v>
      </c>
      <c r="E24" s="513" t="n">
        <f aca="false">SUM(E21:E23)</f>
        <v>10228840.494798</v>
      </c>
      <c r="F24" s="513" t="n">
        <f aca="false">SUM(F21:F23)</f>
        <v>10002892.2828424</v>
      </c>
      <c r="G24" s="513" t="n">
        <f aca="false">SUM(G21:G23)</f>
        <v>9757175.52343952</v>
      </c>
      <c r="H24" s="513" t="n">
        <f aca="false">SUM(H21:H23)</f>
        <v>9489960.63676754</v>
      </c>
      <c r="I24" s="513" t="n">
        <f aca="false">SUM(I21:I23)</f>
        <v>9199366.71947576</v>
      </c>
      <c r="J24" s="513" t="n">
        <f aca="false">SUM(J21:J23)</f>
        <v>8883348.3051625</v>
      </c>
      <c r="K24" s="513" t="n">
        <f aca="false">SUM(K21:K23)</f>
        <v>8539680.96650725</v>
      </c>
      <c r="L24" s="513" t="n">
        <f aca="false">SUM(L21:L23)</f>
        <v>8165945.65771189</v>
      </c>
      <c r="M24" s="513" t="n">
        <f aca="false">SUM(M21:M23)</f>
        <v>7759511.68703865</v>
      </c>
      <c r="N24" s="513" t="n">
        <f aca="false">SUM(N21:N23)</f>
        <v>7317518.19958985</v>
      </c>
      <c r="O24" s="513" t="n">
        <f aca="false">SUM(O21:O23)</f>
        <v>6836854.03998834</v>
      </c>
      <c r="P24" s="513" t="n">
        <f aca="false">SUM(P21:P23)</f>
        <v>6314135.85321373</v>
      </c>
      <c r="Q24" s="513" t="n">
        <f aca="false">SUM(Q21:Q23)</f>
        <v>5745684.26944793</v>
      </c>
      <c r="R24" s="513" t="n">
        <f aca="false">SUM(R21:R23)</f>
        <v>5127498.00529719</v>
      </c>
      <c r="S24" s="513" t="n">
        <f aca="false">SUM(S21:S23)</f>
        <v>4455225.69909125</v>
      </c>
      <c r="T24" s="513" t="n">
        <f aca="false">SUM(T21:T23)</f>
        <v>3698798.4114438</v>
      </c>
      <c r="U24" s="513" t="n">
        <f aca="false">SUM(U21:U23)</f>
        <v>2895298.17535902</v>
      </c>
      <c r="V24" s="513" t="n">
        <f aca="false">SUM(V21:V23)</f>
        <v>1996790.56701284</v>
      </c>
      <c r="W24" s="514" t="n">
        <f aca="false">SUM(W21:W23)</f>
        <v>1022526.49988149</v>
      </c>
      <c r="Y24" s="527" t="n">
        <f aca="false">SUM(C24:W24)</f>
        <v>137873662.584037</v>
      </c>
      <c r="Z24" s="532" t="n">
        <f aca="false">Z33</f>
        <v>137873662.584037</v>
      </c>
      <c r="AA24" s="533" t="n">
        <f aca="false">Y24-Z24</f>
        <v>0</v>
      </c>
    </row>
    <row r="25" customFormat="false" ht="12.75" hidden="false" customHeight="false" outlineLevel="0" collapsed="false">
      <c r="Y25" s="527"/>
      <c r="Z25" s="528"/>
      <c r="AA25" s="24"/>
    </row>
    <row r="26" customFormat="false" ht="12.75" hidden="false" customHeight="false" outlineLevel="0" collapsed="false">
      <c r="B26" s="179" t="s">
        <v>253</v>
      </c>
      <c r="C26" s="515" t="n">
        <v>3333003.50266742</v>
      </c>
      <c r="D26" s="515" t="n">
        <v>5713720.29028701</v>
      </c>
      <c r="E26" s="515" t="n">
        <v>5713720.29028701</v>
      </c>
      <c r="F26" s="515" t="n">
        <v>5713720.29028701</v>
      </c>
      <c r="G26" s="515" t="n">
        <v>5713720.29028701</v>
      </c>
      <c r="H26" s="515" t="n">
        <v>5713720.29028701</v>
      </c>
      <c r="I26" s="515" t="n">
        <v>5713720.29028701</v>
      </c>
      <c r="J26" s="515" t="n">
        <v>5713720.29028701</v>
      </c>
      <c r="K26" s="515" t="n">
        <v>5713720.29028701</v>
      </c>
      <c r="L26" s="515" t="n">
        <v>5713720.29028701</v>
      </c>
      <c r="M26" s="515" t="n">
        <v>5713720.29028701</v>
      </c>
      <c r="N26" s="515" t="n">
        <v>5713720.29028701</v>
      </c>
      <c r="O26" s="515" t="n">
        <v>5713720.29028701</v>
      </c>
      <c r="P26" s="515" t="n">
        <v>5713720.29028701</v>
      </c>
      <c r="Q26" s="515" t="n">
        <v>5713720.29028701</v>
      </c>
      <c r="R26" s="515" t="n">
        <v>5713720.29028701</v>
      </c>
      <c r="S26" s="515" t="n">
        <v>5713720.29028701</v>
      </c>
      <c r="T26" s="515" t="n">
        <v>5713720.29028701</v>
      </c>
      <c r="U26" s="515" t="n">
        <v>5713720.29028701</v>
      </c>
      <c r="V26" s="515" t="n">
        <v>5713720.29028701</v>
      </c>
      <c r="W26" s="515" t="n">
        <v>5713720.29028701</v>
      </c>
      <c r="Y26" s="527"/>
      <c r="Z26" s="528"/>
      <c r="AA26" s="24"/>
    </row>
    <row r="27" customFormat="false" ht="12.75" hidden="false" customHeight="false" outlineLevel="0" collapsed="false">
      <c r="C27" s="515"/>
      <c r="D27" s="515"/>
      <c r="E27" s="515"/>
      <c r="F27" s="515"/>
      <c r="G27" s="515"/>
      <c r="H27" s="515"/>
      <c r="I27" s="515"/>
      <c r="J27" s="515"/>
      <c r="K27" s="515"/>
      <c r="L27" s="515"/>
      <c r="M27" s="515"/>
      <c r="N27" s="515"/>
      <c r="O27" s="515"/>
      <c r="P27" s="515"/>
      <c r="Q27" s="515"/>
      <c r="R27" s="515"/>
      <c r="S27" s="515"/>
      <c r="T27" s="515"/>
      <c r="U27" s="515"/>
      <c r="V27" s="515"/>
      <c r="W27" s="515"/>
      <c r="Y27" s="527"/>
      <c r="Z27" s="528"/>
      <c r="AA27" s="24"/>
    </row>
    <row r="28" customFormat="false" ht="13.5" hidden="false" customHeight="false" outlineLevel="0" collapsed="false">
      <c r="B28" s="179" t="s">
        <v>254</v>
      </c>
      <c r="C28" s="534" t="n">
        <f aca="false">C18-C24-C26</f>
        <v>3841165.02336836</v>
      </c>
      <c r="D28" s="534" t="n">
        <f aca="false">D18-D24-D26</f>
        <v>-11181940.3721886</v>
      </c>
      <c r="E28" s="534" t="n">
        <f aca="false">E18-E24-E26</f>
        <v>-11032026.5509249</v>
      </c>
      <c r="F28" s="534" t="n">
        <f aca="false">F18-F24-F26</f>
        <v>-10556024.7428304</v>
      </c>
      <c r="G28" s="534" t="n">
        <f aca="false">G18-G24-G26</f>
        <v>-10203526.6114153</v>
      </c>
      <c r="H28" s="534" t="n">
        <f aca="false">H18-H24-H26</f>
        <v>-9552667.23093668</v>
      </c>
      <c r="I28" s="534" t="n">
        <f aca="false">I18-I24-I26</f>
        <v>-8824836.8332306</v>
      </c>
      <c r="J28" s="534" t="n">
        <f aca="false">J18-J24-J26</f>
        <v>-8266623.39221969</v>
      </c>
      <c r="K28" s="534" t="n">
        <f aca="false">K18-K24-K26</f>
        <v>-7572841.54526673</v>
      </c>
      <c r="L28" s="534" t="n">
        <f aca="false">L18-L24-L26</f>
        <v>-6582899.68599263</v>
      </c>
      <c r="M28" s="534" t="n">
        <f aca="false">M18-M24-M26</f>
        <v>-5721377.42640856</v>
      </c>
      <c r="N28" s="534" t="n">
        <f aca="false">N18-N24-N26</f>
        <v>-5027538.97831544</v>
      </c>
      <c r="O28" s="534" t="n">
        <f aca="false">O18-O24-O26</f>
        <v>-4126843.10588279</v>
      </c>
      <c r="P28" s="534" t="n">
        <f aca="false">P18-P24-P26</f>
        <v>-3034896.70917984</v>
      </c>
      <c r="Q28" s="534" t="n">
        <f aca="false">Q18-Q24-Q26</f>
        <v>-2096961.76927219</v>
      </c>
      <c r="R28" s="534" t="n">
        <f aca="false">R18-R24-R26</f>
        <v>-1277062.67354032</v>
      </c>
      <c r="S28" s="534" t="n">
        <f aca="false">S18-S24-S26</f>
        <v>-192481.930341562</v>
      </c>
      <c r="T28" s="534" t="n">
        <f aca="false">T18-T24-T26</f>
        <v>1141427.55457717</v>
      </c>
      <c r="U28" s="534" t="n">
        <f aca="false">U18-U24-U26</f>
        <v>2279249.38539574</v>
      </c>
      <c r="V28" s="534" t="n">
        <f aca="false">V18-V24-V26</f>
        <v>2754579.2213565</v>
      </c>
      <c r="W28" s="535" t="n">
        <f aca="false">W18-W24-W26</f>
        <v>4109131.72880766</v>
      </c>
      <c r="X28" s="513"/>
      <c r="Y28" s="527"/>
      <c r="Z28" s="528"/>
      <c r="AA28" s="24"/>
    </row>
    <row r="29" customFormat="false" ht="13.5" hidden="false" customHeight="false" outlineLevel="0" collapsed="false">
      <c r="Y29" s="22"/>
      <c r="Z29" s="528"/>
      <c r="AA29" s="24"/>
    </row>
    <row r="30" customFormat="false" ht="13.5" hidden="false" customHeight="false" outlineLevel="0" collapsed="false">
      <c r="C30" s="536"/>
      <c r="D30" s="536"/>
      <c r="Y30" s="22"/>
      <c r="Z30" s="528"/>
      <c r="AA30" s="24"/>
    </row>
    <row r="31" customFormat="false" ht="13.5" hidden="false" customHeight="false" outlineLevel="0" collapsed="false">
      <c r="B31" s="519" t="s">
        <v>255</v>
      </c>
      <c r="C31" s="520" t="n">
        <v>36891</v>
      </c>
      <c r="D31" s="520" t="n">
        <f aca="false">C31+365.25</f>
        <v>37256.25</v>
      </c>
      <c r="E31" s="520" t="n">
        <f aca="false">D31+365.25</f>
        <v>37621.5</v>
      </c>
      <c r="F31" s="520" t="n">
        <f aca="false">E31+365.25</f>
        <v>37986.75</v>
      </c>
      <c r="G31" s="520" t="n">
        <f aca="false">F31+365.25</f>
        <v>38352</v>
      </c>
      <c r="H31" s="520" t="n">
        <f aca="false">G31+365.25</f>
        <v>38717.25</v>
      </c>
      <c r="I31" s="520" t="n">
        <f aca="false">H31+365.25</f>
        <v>39082.5</v>
      </c>
      <c r="J31" s="520" t="n">
        <f aca="false">I31+365.25</f>
        <v>39447.75</v>
      </c>
      <c r="K31" s="520" t="n">
        <f aca="false">J31+365.25</f>
        <v>39813</v>
      </c>
      <c r="L31" s="520" t="n">
        <f aca="false">K31+365.25</f>
        <v>40178.25</v>
      </c>
      <c r="M31" s="520" t="n">
        <f aca="false">L31+365.25</f>
        <v>40543.5</v>
      </c>
      <c r="N31" s="520" t="n">
        <f aca="false">M31+365.25</f>
        <v>40908.75</v>
      </c>
      <c r="O31" s="520" t="n">
        <f aca="false">N31+365.25</f>
        <v>41274</v>
      </c>
      <c r="P31" s="520" t="n">
        <f aca="false">O31+365.25</f>
        <v>41639.25</v>
      </c>
      <c r="Q31" s="520" t="n">
        <f aca="false">P31+365.25</f>
        <v>42004.5</v>
      </c>
      <c r="R31" s="520" t="n">
        <f aca="false">Q31+365.25</f>
        <v>42369.75</v>
      </c>
      <c r="S31" s="520" t="n">
        <f aca="false">R31+365.25</f>
        <v>42735</v>
      </c>
      <c r="T31" s="520" t="n">
        <f aca="false">S31+365.25</f>
        <v>43100.25</v>
      </c>
      <c r="U31" s="520" t="n">
        <f aca="false">T31+365.25</f>
        <v>43465.5</v>
      </c>
      <c r="V31" s="520" t="n">
        <f aca="false">U31+365.25</f>
        <v>43830.75</v>
      </c>
      <c r="W31" s="521" t="n">
        <f aca="false">V31+365.25</f>
        <v>44196</v>
      </c>
      <c r="Y31" s="22"/>
      <c r="Z31" s="528"/>
      <c r="AA31" s="24"/>
    </row>
    <row r="32" customFormat="false" ht="12.75" hidden="false" customHeight="false" outlineLevel="0" collapsed="false">
      <c r="A32" s="515"/>
      <c r="B32" s="212" t="s">
        <v>234</v>
      </c>
      <c r="C32" s="515" t="n">
        <f aca="false">C18</f>
        <v>7174168.52603578</v>
      </c>
      <c r="D32" s="515" t="n">
        <f aca="false">D18</f>
        <v>4968390.50806609</v>
      </c>
      <c r="E32" s="515" t="n">
        <f aca="false">E18</f>
        <v>4910534.23416007</v>
      </c>
      <c r="F32" s="515" t="n">
        <f aca="false">F18</f>
        <v>5160587.83029897</v>
      </c>
      <c r="G32" s="515" t="n">
        <f aca="false">G18</f>
        <v>5267369.20231121</v>
      </c>
      <c r="H32" s="515" t="n">
        <f aca="false">H18</f>
        <v>5651013.69611786</v>
      </c>
      <c r="I32" s="515" t="n">
        <f aca="false">I18</f>
        <v>6088250.17653216</v>
      </c>
      <c r="J32" s="515" t="n">
        <f aca="false">J18</f>
        <v>6330445.20322982</v>
      </c>
      <c r="K32" s="515" t="n">
        <f aca="false">K18</f>
        <v>6680559.71152753</v>
      </c>
      <c r="L32" s="515" t="n">
        <f aca="false">L18</f>
        <v>7296766.26200626</v>
      </c>
      <c r="M32" s="515" t="n">
        <f aca="false">M18</f>
        <v>7751854.5509171</v>
      </c>
      <c r="N32" s="515" t="n">
        <f aca="false">N18</f>
        <v>8003699.51156141</v>
      </c>
      <c r="O32" s="515" t="n">
        <f aca="false">O18</f>
        <v>8423731.22439255</v>
      </c>
      <c r="P32" s="515" t="n">
        <f aca="false">P18</f>
        <v>8992959.4343209</v>
      </c>
      <c r="Q32" s="515" t="n">
        <f aca="false">Q18</f>
        <v>9362442.79046275</v>
      </c>
      <c r="R32" s="515" t="n">
        <f aca="false">R18</f>
        <v>9564155.62204387</v>
      </c>
      <c r="S32" s="515" t="n">
        <f aca="false">S18</f>
        <v>9976464.05903669</v>
      </c>
      <c r="T32" s="515" t="n">
        <f aca="false">T18</f>
        <v>10553946.256308</v>
      </c>
      <c r="U32" s="515" t="n">
        <f aca="false">U18</f>
        <v>10888267.8510418</v>
      </c>
      <c r="V32" s="515" t="n">
        <f aca="false">V18</f>
        <v>10465090.0786563</v>
      </c>
      <c r="W32" s="515" t="n">
        <f aca="false">W18</f>
        <v>10845378.5189762</v>
      </c>
      <c r="X32" s="515"/>
      <c r="Y32" s="527" t="n">
        <f aca="false">SUM(C32:W32)</f>
        <v>164356075.248003</v>
      </c>
      <c r="Z32" s="537" t="n">
        <f aca="false">SUM('Revenues &amp; Expenses'!AV12:AV258)</f>
        <v>164356075.248003</v>
      </c>
      <c r="AA32" s="538" t="n">
        <f aca="false">Y32-Z32</f>
        <v>0</v>
      </c>
      <c r="AB32" s="515"/>
      <c r="AC32" s="515"/>
      <c r="AD32" s="515"/>
      <c r="AE32" s="515"/>
      <c r="AF32" s="515"/>
      <c r="AG32" s="515"/>
      <c r="AH32" s="515"/>
      <c r="AI32" s="515"/>
      <c r="AJ32" s="515"/>
      <c r="AK32" s="515"/>
      <c r="AL32" s="515"/>
      <c r="AM32" s="515"/>
      <c r="AN32" s="515"/>
      <c r="AO32" s="515"/>
      <c r="AP32" s="515"/>
      <c r="AQ32" s="515"/>
      <c r="AR32" s="515"/>
      <c r="AS32" s="515"/>
      <c r="AT32" s="515"/>
      <c r="AU32" s="515"/>
      <c r="AV32" s="515"/>
      <c r="AW32" s="515"/>
      <c r="AX32" s="515"/>
      <c r="AY32" s="515"/>
      <c r="AZ32" s="515"/>
      <c r="BA32" s="515"/>
      <c r="BB32" s="515"/>
      <c r="BC32" s="515"/>
      <c r="BD32" s="515"/>
      <c r="BE32" s="515"/>
      <c r="BF32" s="515"/>
      <c r="BG32" s="515"/>
      <c r="BH32" s="515"/>
      <c r="BI32" s="515"/>
      <c r="BJ32" s="515"/>
      <c r="BK32" s="515"/>
      <c r="BL32" s="515"/>
      <c r="BM32" s="515"/>
      <c r="BN32" s="515"/>
      <c r="BO32" s="515"/>
      <c r="BP32" s="515"/>
      <c r="BQ32" s="515"/>
      <c r="BR32" s="515"/>
      <c r="BS32" s="515"/>
      <c r="BT32" s="515"/>
      <c r="BU32" s="515"/>
      <c r="BV32" s="515"/>
      <c r="BW32" s="515"/>
      <c r="BX32" s="515"/>
      <c r="BY32" s="515"/>
      <c r="BZ32" s="515"/>
      <c r="CA32" s="515"/>
      <c r="CB32" s="515"/>
      <c r="CC32" s="515"/>
      <c r="CD32" s="515"/>
      <c r="CE32" s="515"/>
      <c r="CF32" s="515"/>
      <c r="CG32" s="515"/>
      <c r="CH32" s="515"/>
      <c r="CI32" s="515"/>
      <c r="CJ32" s="515"/>
      <c r="CK32" s="515"/>
      <c r="CL32" s="515"/>
      <c r="CM32" s="515"/>
      <c r="CN32" s="515"/>
      <c r="CO32" s="515"/>
      <c r="CP32" s="515"/>
      <c r="CQ32" s="515"/>
      <c r="CR32" s="515"/>
      <c r="CS32" s="515"/>
      <c r="CT32" s="515"/>
      <c r="CU32" s="515"/>
      <c r="CV32" s="515"/>
      <c r="CW32" s="515"/>
      <c r="CX32" s="515"/>
      <c r="CY32" s="515"/>
      <c r="CZ32" s="515"/>
      <c r="DA32" s="515"/>
      <c r="DB32" s="515"/>
      <c r="DC32" s="515"/>
      <c r="DD32" s="515"/>
      <c r="DE32" s="515"/>
      <c r="DF32" s="515"/>
      <c r="DG32" s="515"/>
      <c r="DH32" s="515"/>
      <c r="DI32" s="515"/>
      <c r="DJ32" s="515"/>
      <c r="DK32" s="515"/>
      <c r="DL32" s="515"/>
      <c r="DM32" s="515"/>
      <c r="DN32" s="515"/>
      <c r="DO32" s="515"/>
      <c r="DP32" s="515"/>
      <c r="DQ32" s="515"/>
      <c r="DR32" s="515"/>
      <c r="DS32" s="515"/>
      <c r="DT32" s="515"/>
      <c r="DU32" s="515"/>
      <c r="DV32" s="515"/>
      <c r="DW32" s="515"/>
      <c r="DX32" s="515"/>
      <c r="DY32" s="515"/>
      <c r="DZ32" s="515"/>
      <c r="EA32" s="515"/>
      <c r="EB32" s="515"/>
      <c r="EC32" s="515"/>
      <c r="ED32" s="515"/>
      <c r="EE32" s="515"/>
      <c r="EF32" s="515"/>
      <c r="EG32" s="515"/>
      <c r="EH32" s="515"/>
      <c r="EI32" s="515"/>
      <c r="EJ32" s="515"/>
      <c r="EK32" s="515"/>
      <c r="EL32" s="515"/>
      <c r="EM32" s="515"/>
      <c r="EN32" s="515"/>
      <c r="EO32" s="515"/>
      <c r="EP32" s="515"/>
      <c r="EQ32" s="515"/>
      <c r="ER32" s="515"/>
      <c r="ES32" s="515"/>
      <c r="ET32" s="515"/>
      <c r="EU32" s="515"/>
      <c r="EV32" s="515"/>
      <c r="EW32" s="515"/>
      <c r="EX32" s="515"/>
      <c r="EY32" s="515"/>
      <c r="EZ32" s="515"/>
      <c r="FA32" s="515"/>
      <c r="FB32" s="515"/>
      <c r="FC32" s="515"/>
      <c r="FD32" s="515"/>
      <c r="FE32" s="515"/>
      <c r="FF32" s="515"/>
      <c r="FG32" s="515"/>
      <c r="FH32" s="515"/>
      <c r="FI32" s="515"/>
      <c r="FJ32" s="515"/>
      <c r="FK32" s="515"/>
      <c r="FL32" s="515"/>
      <c r="FM32" s="515"/>
      <c r="FN32" s="515"/>
      <c r="FO32" s="515"/>
      <c r="FP32" s="515"/>
      <c r="FQ32" s="515"/>
      <c r="FR32" s="515"/>
      <c r="FS32" s="515"/>
      <c r="FT32" s="515"/>
      <c r="FU32" s="515"/>
      <c r="FV32" s="515"/>
      <c r="FW32" s="515"/>
      <c r="FX32" s="515"/>
      <c r="FY32" s="515"/>
      <c r="FZ32" s="515"/>
      <c r="GA32" s="515"/>
      <c r="GB32" s="515"/>
      <c r="GC32" s="515"/>
      <c r="GD32" s="515"/>
      <c r="GE32" s="515"/>
      <c r="GF32" s="515"/>
      <c r="GG32" s="515"/>
      <c r="GH32" s="515"/>
      <c r="GI32" s="515"/>
      <c r="GJ32" s="515"/>
      <c r="GK32" s="515"/>
      <c r="GL32" s="515"/>
      <c r="GM32" s="515"/>
      <c r="GN32" s="515"/>
      <c r="GO32" s="515"/>
      <c r="GP32" s="515"/>
      <c r="GQ32" s="515"/>
      <c r="GR32" s="515"/>
      <c r="GS32" s="515"/>
      <c r="GT32" s="515"/>
      <c r="GU32" s="515"/>
      <c r="GV32" s="515"/>
      <c r="GW32" s="515"/>
      <c r="GX32" s="515"/>
      <c r="GY32" s="515"/>
      <c r="GZ32" s="515"/>
      <c r="HA32" s="515"/>
      <c r="HB32" s="515"/>
      <c r="HC32" s="515"/>
      <c r="HD32" s="515"/>
      <c r="HE32" s="515"/>
      <c r="HF32" s="515"/>
      <c r="HG32" s="515"/>
      <c r="HH32" s="515"/>
      <c r="HI32" s="515"/>
      <c r="HJ32" s="515"/>
      <c r="HK32" s="515"/>
      <c r="HL32" s="515"/>
      <c r="HM32" s="515"/>
      <c r="HN32" s="515"/>
      <c r="HO32" s="515"/>
      <c r="HP32" s="515"/>
      <c r="HQ32" s="515"/>
      <c r="HR32" s="515"/>
      <c r="HS32" s="515"/>
      <c r="HT32" s="515"/>
      <c r="HU32" s="515"/>
      <c r="HV32" s="515"/>
      <c r="HW32" s="515"/>
      <c r="HX32" s="515"/>
      <c r="HY32" s="515"/>
      <c r="HZ32" s="515"/>
      <c r="IA32" s="515"/>
      <c r="IB32" s="515"/>
      <c r="IC32" s="515"/>
      <c r="ID32" s="515"/>
      <c r="IE32" s="515"/>
      <c r="IF32" s="515"/>
      <c r="IG32" s="515"/>
      <c r="IH32" s="515"/>
      <c r="II32" s="515"/>
      <c r="IJ32" s="515"/>
      <c r="IK32" s="515"/>
      <c r="IL32" s="515"/>
      <c r="IM32" s="515"/>
      <c r="IN32" s="515"/>
      <c r="IO32" s="515"/>
      <c r="IP32" s="515"/>
      <c r="IQ32" s="515"/>
      <c r="IR32" s="515"/>
      <c r="IS32" s="515"/>
      <c r="IT32" s="515"/>
      <c r="IU32" s="515"/>
      <c r="IV32" s="515"/>
      <c r="IW32" s="515"/>
    </row>
    <row r="33" customFormat="false" ht="12.75" hidden="false" customHeight="false" outlineLevel="0" collapsed="false">
      <c r="B33" s="179" t="s">
        <v>256</v>
      </c>
      <c r="C33" s="539" t="n">
        <f aca="false">C24</f>
        <v>0</v>
      </c>
      <c r="D33" s="539" t="n">
        <f aca="false">D24</f>
        <v>10436610.5899677</v>
      </c>
      <c r="E33" s="539" t="n">
        <f aca="false">E24</f>
        <v>10228840.494798</v>
      </c>
      <c r="F33" s="539" t="n">
        <f aca="false">F24</f>
        <v>10002892.2828424</v>
      </c>
      <c r="G33" s="539" t="n">
        <f aca="false">G24</f>
        <v>9757175.52343952</v>
      </c>
      <c r="H33" s="539" t="n">
        <f aca="false">H24</f>
        <v>9489960.63676754</v>
      </c>
      <c r="I33" s="539" t="n">
        <f aca="false">I24</f>
        <v>9199366.71947576</v>
      </c>
      <c r="J33" s="539" t="n">
        <f aca="false">J24</f>
        <v>8883348.3051625</v>
      </c>
      <c r="K33" s="539" t="n">
        <f aca="false">K24</f>
        <v>8539680.96650725</v>
      </c>
      <c r="L33" s="539" t="n">
        <f aca="false">L24</f>
        <v>8165945.65771189</v>
      </c>
      <c r="M33" s="539" t="n">
        <f aca="false">M24</f>
        <v>7759511.68703865</v>
      </c>
      <c r="N33" s="539" t="n">
        <f aca="false">N24</f>
        <v>7317518.19958985</v>
      </c>
      <c r="O33" s="539" t="n">
        <f aca="false">O24</f>
        <v>6836854.03998834</v>
      </c>
      <c r="P33" s="539" t="n">
        <f aca="false">P24</f>
        <v>6314135.85321373</v>
      </c>
      <c r="Q33" s="539" t="n">
        <f aca="false">Q24</f>
        <v>5745684.26944793</v>
      </c>
      <c r="R33" s="539" t="n">
        <f aca="false">R24</f>
        <v>5127498.00529719</v>
      </c>
      <c r="S33" s="539" t="n">
        <f aca="false">S24</f>
        <v>4455225.69909125</v>
      </c>
      <c r="T33" s="539" t="n">
        <f aca="false">T24</f>
        <v>3698798.4114438</v>
      </c>
      <c r="U33" s="539" t="n">
        <f aca="false">U24</f>
        <v>2895298.17535902</v>
      </c>
      <c r="V33" s="539" t="n">
        <f aca="false">V24</f>
        <v>1996790.56701284</v>
      </c>
      <c r="W33" s="539" t="n">
        <f aca="false">W24</f>
        <v>1022526.49988149</v>
      </c>
      <c r="Y33" s="527" t="n">
        <f aca="false">SUM(C33:W33)</f>
        <v>137873662.584037</v>
      </c>
      <c r="Z33" s="537" t="n">
        <f aca="false">SUM('Debt Amortization'!H13:AB13)+SUM('Debt Amortization'!H21:AA21)</f>
        <v>137873662.584037</v>
      </c>
      <c r="AA33" s="538" t="n">
        <f aca="false">Y33-Z33</f>
        <v>0</v>
      </c>
    </row>
    <row r="34" customFormat="false" ht="12.75" hidden="false" customHeight="false" outlineLevel="0" collapsed="false">
      <c r="B34" s="179" t="s">
        <v>257</v>
      </c>
      <c r="C34" s="540" t="n">
        <f aca="false">'Debt Amortization'!H8</f>
        <v>0</v>
      </c>
      <c r="D34" s="540" t="n">
        <f aca="false">'Debt Amortization'!I8</f>
        <v>2374746.12773708</v>
      </c>
      <c r="E34" s="540" t="n">
        <f aca="false">'Debt Amortization'!J8</f>
        <v>2582516.22290678</v>
      </c>
      <c r="F34" s="540" t="n">
        <f aca="false">'Debt Amortization'!K8</f>
        <v>2808464.43486236</v>
      </c>
      <c r="G34" s="540" t="n">
        <f aca="false">'Debt Amortization'!L8</f>
        <v>3054181.19426523</v>
      </c>
      <c r="H34" s="540" t="n">
        <f aca="false">'Debt Amortization'!M8</f>
        <v>3321396.08093721</v>
      </c>
      <c r="I34" s="540" t="n">
        <f aca="false">'Debt Amortization'!N8</f>
        <v>3611989.99822898</v>
      </c>
      <c r="J34" s="540" t="n">
        <f aca="false">'Debt Amortization'!O8</f>
        <v>3928008.41254224</v>
      </c>
      <c r="K34" s="540" t="n">
        <f aca="false">'Debt Amortization'!P8</f>
        <v>4271675.7511975</v>
      </c>
      <c r="L34" s="540" t="n">
        <f aca="false">'Debt Amortization'!Q8</f>
        <v>4645411.05999285</v>
      </c>
      <c r="M34" s="540" t="n">
        <f aca="false">'Debt Amortization'!R8</f>
        <v>5051845.03066609</v>
      </c>
      <c r="N34" s="540" t="n">
        <f aca="false">'Debt Amortization'!S8</f>
        <v>5493838.5181149</v>
      </c>
      <c r="O34" s="540" t="n">
        <f aca="false">'Debt Amortization'!T8</f>
        <v>5974502.67771641</v>
      </c>
      <c r="P34" s="540" t="n">
        <f aca="false">'Debt Amortization'!U8</f>
        <v>6497220.86449102</v>
      </c>
      <c r="Q34" s="540" t="n">
        <f aca="false">'Debt Amortization'!V8</f>
        <v>7065672.44825681</v>
      </c>
      <c r="R34" s="540" t="n">
        <f aca="false">'Debt Amortization'!W8</f>
        <v>7683858.71240756</v>
      </c>
      <c r="S34" s="540" t="n">
        <f aca="false">'Debt Amortization'!X8</f>
        <v>8356131.0186135</v>
      </c>
      <c r="T34" s="540" t="n">
        <f aca="false">'Debt Amortization'!Y8</f>
        <v>9087221.43569407</v>
      </c>
      <c r="U34" s="540" t="n">
        <f aca="false">'Debt Amortization'!Z8</f>
        <v>9882276.04825656</v>
      </c>
      <c r="V34" s="540" t="n">
        <f aca="false">'Debt Amortization'!AA8</f>
        <v>10746891.1795574</v>
      </c>
      <c r="W34" s="541" t="n">
        <f aca="false">'Debt Amortization'!AB8</f>
        <v>11687152.7835558</v>
      </c>
      <c r="Y34" s="542" t="n">
        <f aca="false">SUM(C34:W34)</f>
        <v>118125000</v>
      </c>
      <c r="Z34" s="543" t="n">
        <f aca="false">'Debt Amortization'!H7</f>
        <v>118125000</v>
      </c>
      <c r="AA34" s="544" t="n">
        <f aca="false">Y34-Z34</f>
        <v>0</v>
      </c>
    </row>
    <row r="35" customFormat="false" ht="12.75" hidden="false" customHeight="false" outlineLevel="0" collapsed="false">
      <c r="B35" s="179" t="s">
        <v>258</v>
      </c>
      <c r="C35" s="513" t="n">
        <f aca="false">C32-C33-C34</f>
        <v>7174168.52603578</v>
      </c>
      <c r="D35" s="513" t="n">
        <f aca="false">D32-D33-D34</f>
        <v>-7842966.20963865</v>
      </c>
      <c r="E35" s="513" t="n">
        <f aca="false">E32-E33-E34</f>
        <v>-7900822.48354467</v>
      </c>
      <c r="F35" s="513" t="n">
        <f aca="false">F32-F33-F34</f>
        <v>-7650768.88740577</v>
      </c>
      <c r="G35" s="513" t="n">
        <f aca="false">G32-G33-G34</f>
        <v>-7543987.51539354</v>
      </c>
      <c r="H35" s="513" t="n">
        <f aca="false">H32-H33-H34</f>
        <v>-7160343.02158688</v>
      </c>
      <c r="I35" s="513" t="n">
        <f aca="false">I32-I33-I34</f>
        <v>-6723106.54117258</v>
      </c>
      <c r="J35" s="513" t="n">
        <f aca="false">J32-J33-J34</f>
        <v>-6480911.51447492</v>
      </c>
      <c r="K35" s="513" t="n">
        <f aca="false">K32-K33-K34</f>
        <v>-6130797.00617722</v>
      </c>
      <c r="L35" s="513" t="n">
        <f aca="false">L32-L33-L34</f>
        <v>-5514590.45569848</v>
      </c>
      <c r="M35" s="513" t="n">
        <f aca="false">M32-M33-M34</f>
        <v>-5059502.16678764</v>
      </c>
      <c r="N35" s="513" t="n">
        <f aca="false">N32-N33-N34</f>
        <v>-4807657.20614333</v>
      </c>
      <c r="O35" s="513" t="n">
        <f aca="false">O32-O33-O34</f>
        <v>-4387625.49331219</v>
      </c>
      <c r="P35" s="513" t="n">
        <f aca="false">P32-P33-P34</f>
        <v>-3818397.28338385</v>
      </c>
      <c r="Q35" s="513" t="n">
        <f aca="false">Q32-Q33-Q34</f>
        <v>-3448913.927242</v>
      </c>
      <c r="R35" s="513" t="n">
        <f aca="false">R32-R33-R34</f>
        <v>-3247201.09566087</v>
      </c>
      <c r="S35" s="513" t="n">
        <f aca="false">S32-S33-S34</f>
        <v>-2834892.65866805</v>
      </c>
      <c r="T35" s="513" t="n">
        <f aca="false">T32-T33-T34</f>
        <v>-2232073.5908299</v>
      </c>
      <c r="U35" s="513" t="n">
        <f aca="false">U32-U33-U34</f>
        <v>-1889306.37257381</v>
      </c>
      <c r="V35" s="513" t="n">
        <f aca="false">V32-V33-V34</f>
        <v>-2278591.66791386</v>
      </c>
      <c r="W35" s="514" t="n">
        <f aca="false">SUM(W32:W34)</f>
        <v>23555057.8024134</v>
      </c>
    </row>
    <row r="36" customFormat="false" ht="12.75" hidden="false" customHeight="false" outlineLevel="0" collapsed="false">
      <c r="C36" s="513"/>
      <c r="D36" s="513"/>
      <c r="E36" s="513"/>
      <c r="F36" s="513"/>
      <c r="G36" s="513"/>
      <c r="H36" s="513"/>
      <c r="I36" s="513"/>
      <c r="J36" s="513"/>
      <c r="K36" s="513"/>
      <c r="L36" s="513"/>
      <c r="M36" s="513"/>
      <c r="N36" s="513"/>
      <c r="O36" s="513"/>
      <c r="P36" s="513"/>
      <c r="Q36" s="513"/>
      <c r="R36" s="513"/>
      <c r="S36" s="513"/>
      <c r="T36" s="513"/>
      <c r="U36" s="513"/>
      <c r="V36" s="513"/>
      <c r="W36" s="514"/>
    </row>
    <row r="37" customFormat="false" ht="12.75" hidden="false" customHeight="false" outlineLevel="0" collapsed="false">
      <c r="B37" s="179" t="s">
        <v>259</v>
      </c>
      <c r="C37" s="540" t="n">
        <v>0</v>
      </c>
      <c r="D37" s="540" t="n">
        <v>0</v>
      </c>
      <c r="E37" s="540" t="n">
        <f aca="false">E68</f>
        <v>-86148.2837671968</v>
      </c>
      <c r="F37" s="540" t="n">
        <f aca="false">F68</f>
        <v>-53280.0672599468</v>
      </c>
      <c r="G37" s="540" t="n">
        <f aca="false">G68</f>
        <v>20288.2960470803</v>
      </c>
      <c r="H37" s="540" t="n">
        <f aca="false">H68</f>
        <v>7377.16755075939</v>
      </c>
      <c r="I37" s="540" t="n">
        <f aca="false">I68</f>
        <v>-11256.8656732771</v>
      </c>
      <c r="J37" s="540" t="n">
        <f aca="false">J68</f>
        <v>24357.2406893452</v>
      </c>
      <c r="K37" s="540" t="n">
        <f aca="false">K68</f>
        <v>56473.2952436279</v>
      </c>
      <c r="L37" s="540" t="n">
        <f aca="false">L68</f>
        <v>14714.1025869697</v>
      </c>
      <c r="M37" s="540" t="n">
        <f aca="false">M68</f>
        <v>-13970.9387812559</v>
      </c>
      <c r="N37" s="540" t="n">
        <f aca="false">N68</f>
        <v>13442.6521462509</v>
      </c>
      <c r="O37" s="540" t="n">
        <f aca="false">O68</f>
        <v>42995.9899728796</v>
      </c>
      <c r="P37" s="540" t="n">
        <f aca="false">P68</f>
        <v>16295.8964720112</v>
      </c>
      <c r="Q37" s="540" t="n">
        <f aca="false">Q68</f>
        <v>-12528.2338310303</v>
      </c>
      <c r="R37" s="540" t="n">
        <f aca="false">R68</f>
        <v>15076.5025826516</v>
      </c>
      <c r="S37" s="540" t="n">
        <f aca="false">S68</f>
        <v>44872.2343949182</v>
      </c>
      <c r="T37" s="540" t="n">
        <f aca="false">T68</f>
        <v>18101.7291337838</v>
      </c>
      <c r="U37" s="540" t="n">
        <f aca="false">U68</f>
        <v>-10882.0932636345</v>
      </c>
      <c r="V37" s="540" t="n">
        <f aca="false">V68</f>
        <v>16416.1825799043</v>
      </c>
      <c r="W37" s="541" t="n">
        <f aca="false">W68</f>
        <v>620.899419395253</v>
      </c>
    </row>
    <row r="38" customFormat="false" ht="12.75" hidden="false" customHeight="false" outlineLevel="0" collapsed="false">
      <c r="B38" s="179" t="s">
        <v>260</v>
      </c>
      <c r="C38" s="545" t="n">
        <f aca="false">C35+C37</f>
        <v>7174168.52603578</v>
      </c>
      <c r="D38" s="545" t="n">
        <f aca="false">D35+D37</f>
        <v>-7842966.20963865</v>
      </c>
      <c r="E38" s="545" t="n">
        <f aca="false">E35+E37</f>
        <v>-7986970.76731187</v>
      </c>
      <c r="F38" s="545" t="n">
        <f aca="false">F35+F37</f>
        <v>-7704048.95466572</v>
      </c>
      <c r="G38" s="545" t="n">
        <f aca="false">G35+G37</f>
        <v>-7523699.21934646</v>
      </c>
      <c r="H38" s="545" t="n">
        <f aca="false">H35+H37</f>
        <v>-7152965.85403612</v>
      </c>
      <c r="I38" s="545" t="n">
        <f aca="false">I35+I37</f>
        <v>-6734363.40684586</v>
      </c>
      <c r="J38" s="545" t="n">
        <f aca="false">J35+J37</f>
        <v>-6456554.27378558</v>
      </c>
      <c r="K38" s="545" t="n">
        <f aca="false">K35+K37</f>
        <v>-6074323.71093359</v>
      </c>
      <c r="L38" s="545" t="n">
        <f aca="false">L35+L37</f>
        <v>-5499876.35311151</v>
      </c>
      <c r="M38" s="545" t="n">
        <f aca="false">M35+M37</f>
        <v>-5073473.1055689</v>
      </c>
      <c r="N38" s="545" t="n">
        <f aca="false">N35+N37</f>
        <v>-4794214.55399708</v>
      </c>
      <c r="O38" s="545" t="n">
        <f aca="false">O35+O37</f>
        <v>-4344629.50333932</v>
      </c>
      <c r="P38" s="545" t="n">
        <f aca="false">P35+P37</f>
        <v>-3802101.38691183</v>
      </c>
      <c r="Q38" s="545" t="n">
        <f aca="false">Q35+Q37</f>
        <v>-3461442.16107303</v>
      </c>
      <c r="R38" s="545" t="n">
        <f aca="false">R35+R37</f>
        <v>-3232124.59307822</v>
      </c>
      <c r="S38" s="545" t="n">
        <f aca="false">S35+S37</f>
        <v>-2790020.42427313</v>
      </c>
      <c r="T38" s="545" t="n">
        <f aca="false">T35+T37</f>
        <v>-2213971.86169612</v>
      </c>
      <c r="U38" s="545" t="n">
        <f aca="false">U35+U37</f>
        <v>-1900188.46583745</v>
      </c>
      <c r="V38" s="545" t="n">
        <f aca="false">V35+V37</f>
        <v>-2262175.48533396</v>
      </c>
      <c r="W38" s="546" t="n">
        <f aca="false">W35+W37</f>
        <v>23555678.7018328</v>
      </c>
      <c r="X38" s="515"/>
    </row>
    <row r="40" customFormat="false" ht="12.75" hidden="false" customHeight="false" outlineLevel="0" collapsed="false">
      <c r="B40" s="179" t="s">
        <v>261</v>
      </c>
      <c r="C40" s="511" t="n">
        <v>0</v>
      </c>
      <c r="D40" s="513" t="n">
        <f aca="false">C41</f>
        <v>7174168.52603578</v>
      </c>
      <c r="E40" s="513" t="n">
        <f aca="false">D41</f>
        <v>-668797.683602873</v>
      </c>
      <c r="F40" s="513" t="n">
        <f aca="false">E41</f>
        <v>-8655768.45091474</v>
      </c>
      <c r="G40" s="513" t="n">
        <f aca="false">F41</f>
        <v>-16359817.4055805</v>
      </c>
      <c r="H40" s="513" t="n">
        <f aca="false">G41</f>
        <v>-23883516.6249269</v>
      </c>
      <c r="I40" s="513" t="n">
        <f aca="false">H41</f>
        <v>-31036482.478963</v>
      </c>
      <c r="J40" s="513" t="n">
        <f aca="false">I41</f>
        <v>-37770845.8858089</v>
      </c>
      <c r="K40" s="513" t="n">
        <f aca="false">J41</f>
        <v>-44227400.1595945</v>
      </c>
      <c r="L40" s="513" t="n">
        <f aca="false">K41</f>
        <v>-50301723.8705281</v>
      </c>
      <c r="M40" s="513" t="n">
        <f aca="false">L41</f>
        <v>-55801600.2236396</v>
      </c>
      <c r="N40" s="513" t="n">
        <f aca="false">M41</f>
        <v>-60875073.3292085</v>
      </c>
      <c r="O40" s="513" t="n">
        <f aca="false">N41</f>
        <v>-65669287.8832056</v>
      </c>
      <c r="P40" s="513" t="n">
        <f aca="false">O41</f>
        <v>-70013917.3865449</v>
      </c>
      <c r="Q40" s="513" t="n">
        <f aca="false">P41</f>
        <v>-73816018.7734567</v>
      </c>
      <c r="R40" s="513" t="n">
        <f aca="false">Q41</f>
        <v>-77277460.9345297</v>
      </c>
      <c r="S40" s="513" t="n">
        <f aca="false">R41</f>
        <v>-80509585.527608</v>
      </c>
      <c r="T40" s="513" t="n">
        <f aca="false">S41</f>
        <v>-83299605.9518811</v>
      </c>
      <c r="U40" s="513" t="n">
        <f aca="false">T41</f>
        <v>-85513577.8135772</v>
      </c>
      <c r="V40" s="513" t="n">
        <f aca="false">U41</f>
        <v>-87413766.2794147</v>
      </c>
      <c r="W40" s="514" t="n">
        <f aca="false">V41</f>
        <v>-89675941.7647486</v>
      </c>
    </row>
    <row r="41" customFormat="false" ht="12.75" hidden="false" customHeight="false" outlineLevel="0" collapsed="false">
      <c r="B41" s="179" t="s">
        <v>262</v>
      </c>
      <c r="C41" s="513" t="n">
        <f aca="false">C38</f>
        <v>7174168.52603578</v>
      </c>
      <c r="D41" s="513" t="n">
        <f aca="false">D40+D38</f>
        <v>-668797.683602873</v>
      </c>
      <c r="E41" s="513" t="n">
        <f aca="false">E40+E38</f>
        <v>-8655768.45091474</v>
      </c>
      <c r="F41" s="513" t="n">
        <f aca="false">F40+F38</f>
        <v>-16359817.4055805</v>
      </c>
      <c r="G41" s="513" t="n">
        <f aca="false">G40+G38</f>
        <v>-23883516.6249269</v>
      </c>
      <c r="H41" s="513" t="n">
        <f aca="false">H40+H38</f>
        <v>-31036482.478963</v>
      </c>
      <c r="I41" s="513" t="n">
        <f aca="false">I40+I38</f>
        <v>-37770845.8858089</v>
      </c>
      <c r="J41" s="513" t="n">
        <f aca="false">J40+J38</f>
        <v>-44227400.1595945</v>
      </c>
      <c r="K41" s="513" t="n">
        <f aca="false">K40+K38</f>
        <v>-50301723.8705281</v>
      </c>
      <c r="L41" s="513" t="n">
        <f aca="false">L40+L38</f>
        <v>-55801600.2236396</v>
      </c>
      <c r="M41" s="513" t="n">
        <f aca="false">M40+M38</f>
        <v>-60875073.3292085</v>
      </c>
      <c r="N41" s="513" t="n">
        <f aca="false">N40+N38</f>
        <v>-65669287.8832056</v>
      </c>
      <c r="O41" s="513" t="n">
        <f aca="false">O40+O38</f>
        <v>-70013917.3865449</v>
      </c>
      <c r="P41" s="513" t="n">
        <f aca="false">P40+P38</f>
        <v>-73816018.7734567</v>
      </c>
      <c r="Q41" s="513" t="n">
        <f aca="false">Q40+Q38</f>
        <v>-77277460.9345297</v>
      </c>
      <c r="R41" s="513" t="n">
        <f aca="false">R40+R38</f>
        <v>-80509585.527608</v>
      </c>
      <c r="S41" s="513" t="n">
        <f aca="false">S40+S38</f>
        <v>-83299605.9518811</v>
      </c>
      <c r="T41" s="513" t="n">
        <f aca="false">T40+T38</f>
        <v>-85513577.8135772</v>
      </c>
      <c r="U41" s="513" t="n">
        <f aca="false">U40+U38</f>
        <v>-87413766.2794147</v>
      </c>
      <c r="V41" s="513" t="n">
        <f aca="false">V40+V38</f>
        <v>-89675941.7647486</v>
      </c>
      <c r="W41" s="514" t="n">
        <f aca="false">W40+W38</f>
        <v>-66120263.0629158</v>
      </c>
      <c r="Y41" s="514" t="n">
        <v>-66120263.0629158</v>
      </c>
    </row>
    <row r="43" customFormat="false" ht="12.75" hidden="false" customHeight="false" outlineLevel="0" collapsed="false">
      <c r="B43" s="213" t="s">
        <v>106</v>
      </c>
      <c r="C43" s="547" t="str">
        <f aca="false">IF(C33+C34&gt;0,C32/(C33+C34),"n/a")</f>
        <v>n/a</v>
      </c>
      <c r="D43" s="548" t="n">
        <f aca="false">IF(D33+D34&gt;0,D32/(D33+D34),"n/a")</f>
        <v>0.387811425248974</v>
      </c>
      <c r="E43" s="548" t="n">
        <f aca="false">IF(E33+E34&gt;0,E32/(E33+E34),"n/a")</f>
        <v>0.38329541065498</v>
      </c>
      <c r="F43" s="548" t="n">
        <f aca="false">IF(F33+F34&gt;0,F32/(F33+F34),"n/a")</f>
        <v>0.402813530526963</v>
      </c>
      <c r="G43" s="548" t="n">
        <f aca="false">IF(G33+G34&gt;0,G32/(G33+G34),"n/a")</f>
        <v>0.411148430129334</v>
      </c>
      <c r="H43" s="548" t="n">
        <f aca="false">IF(H33+H34&gt;0,H32/(H33+H34),"n/a")</f>
        <v>0.441094087116348</v>
      </c>
      <c r="I43" s="548" t="n">
        <f aca="false">IF(I33+I34&gt;0,I32/(I33+I34),"n/a")</f>
        <v>0.475222906573077</v>
      </c>
      <c r="J43" s="548" t="n">
        <f aca="false">IF(J33+J34&gt;0,J32/(J33+J34),"n/a")</f>
        <v>0.494127619948434</v>
      </c>
      <c r="K43" s="548" t="n">
        <f aca="false">IF(K33+K34&gt;0,K32/(K33+K34),"n/a")</f>
        <v>0.521456068918546</v>
      </c>
      <c r="L43" s="548" t="n">
        <f aca="false">IF(L33+L34&gt;0,L32/(L33+L34),"n/a")</f>
        <v>0.56955453062379</v>
      </c>
      <c r="M43" s="548" t="n">
        <f aca="false">IF(M33+M34&gt;0,M32/(M33+M34),"n/a")</f>
        <v>0.605076786301983</v>
      </c>
      <c r="N43" s="548" t="n">
        <f aca="false">IF(N33+N34&gt;0,N32/(N33+N34),"n/a")</f>
        <v>0.624734732465973</v>
      </c>
      <c r="O43" s="548" t="n">
        <f aca="false">IF(O33+O34&gt;0,O32/(O33+O34),"n/a")</f>
        <v>0.657520620962128</v>
      </c>
      <c r="P43" s="548" t="n">
        <f aca="false">IF(P33+P34&gt;0,P32/(P33+P34),"n/a")</f>
        <v>0.701952153271403</v>
      </c>
      <c r="Q43" s="548" t="n">
        <f aca="false">IF(Q33+Q34&gt;0,Q32/(Q33+Q34),"n/a")</f>
        <v>0.730792452100272</v>
      </c>
      <c r="R43" s="548" t="n">
        <f aca="false">IF(R33+R34&gt;0,R32/(R33+R34),"n/a")</f>
        <v>0.746537297554647</v>
      </c>
      <c r="S43" s="548" t="n">
        <f aca="false">IF(S33+S34&gt;0,S32/(S33+S34),"n/a")</f>
        <v>0.778720339997219</v>
      </c>
      <c r="T43" s="548" t="n">
        <f aca="false">IF(T33+T34&gt;0,T32/(T33+T34),"n/a")</f>
        <v>0.825428583913113</v>
      </c>
      <c r="U43" s="548" t="n">
        <f aca="false">IF(U33+U34&gt;0,U32/(U33+U34),"n/a")</f>
        <v>0.85213888493154</v>
      </c>
      <c r="V43" s="548" t="n">
        <f aca="false">IF(V33+V34&gt;0,V32/(V33+V34),"n/a")</f>
        <v>0.821198322962898</v>
      </c>
      <c r="W43" s="548" t="n">
        <f aca="false">IF(W33+W34&gt;0,W32/(W33+W34),"n/a")</f>
        <v>0.853316458827519</v>
      </c>
    </row>
    <row r="44" customFormat="false" ht="12.75" hidden="false" customHeight="false" outlineLevel="0" collapsed="false">
      <c r="A44" s="549"/>
      <c r="B44" s="550" t="s">
        <v>263</v>
      </c>
      <c r="C44" s="551" t="n">
        <f aca="false">IF(C43&lt;1,1,0)</f>
        <v>0</v>
      </c>
      <c r="D44" s="551" t="n">
        <f aca="false">IF(D43&lt;1,1,0)</f>
        <v>1</v>
      </c>
      <c r="E44" s="551" t="n">
        <f aca="false">IF(E43&lt;1,1,0)</f>
        <v>1</v>
      </c>
      <c r="F44" s="551" t="n">
        <f aca="false">IF(F43&lt;1,1,0)</f>
        <v>1</v>
      </c>
      <c r="G44" s="551" t="n">
        <f aca="false">IF(G43&lt;1,1,0)</f>
        <v>1</v>
      </c>
      <c r="H44" s="551" t="n">
        <f aca="false">IF(H43&lt;1,1,0)</f>
        <v>1</v>
      </c>
      <c r="I44" s="551" t="n">
        <f aca="false">IF(I43&lt;1,1,0)</f>
        <v>1</v>
      </c>
      <c r="J44" s="551" t="n">
        <f aca="false">IF(J43&lt;1,1,0)</f>
        <v>1</v>
      </c>
      <c r="K44" s="551" t="n">
        <f aca="false">IF(K43&lt;1,1,0)</f>
        <v>1</v>
      </c>
      <c r="L44" s="551" t="n">
        <f aca="false">IF(L43&lt;1,1,0)</f>
        <v>1</v>
      </c>
      <c r="M44" s="551" t="n">
        <f aca="false">IF(M43&lt;1,1,0)</f>
        <v>1</v>
      </c>
      <c r="N44" s="551" t="n">
        <f aca="false">IF(N43&lt;1,1,0)</f>
        <v>1</v>
      </c>
      <c r="O44" s="551" t="n">
        <f aca="false">IF(O43&lt;1,1,0)</f>
        <v>1</v>
      </c>
      <c r="P44" s="551" t="n">
        <f aca="false">IF(P43&lt;1,1,0)</f>
        <v>1</v>
      </c>
      <c r="Q44" s="551" t="n">
        <f aca="false">IF(Q43&lt;1,1,0)</f>
        <v>1</v>
      </c>
      <c r="R44" s="551" t="n">
        <f aca="false">IF(R43&lt;1,1,0)</f>
        <v>1</v>
      </c>
      <c r="S44" s="551" t="n">
        <f aca="false">IF(S43&lt;1,1,0)</f>
        <v>1</v>
      </c>
      <c r="T44" s="551" t="n">
        <f aca="false">IF(T43&lt;1,1,0)</f>
        <v>1</v>
      </c>
      <c r="U44" s="551" t="n">
        <f aca="false">IF(U43&lt;1,1,0)</f>
        <v>1</v>
      </c>
      <c r="V44" s="551" t="n">
        <f aca="false">IF(V43&lt;1,1,0)</f>
        <v>1</v>
      </c>
      <c r="W44" s="551" t="n">
        <f aca="false">IF(W43&lt;1,1,0)</f>
        <v>1</v>
      </c>
      <c r="X44" s="549"/>
      <c r="Z44" s="549"/>
      <c r="AA44" s="549"/>
      <c r="AB44" s="549"/>
      <c r="AC44" s="549"/>
      <c r="AD44" s="549"/>
      <c r="AE44" s="549"/>
      <c r="AF44" s="549"/>
      <c r="AG44" s="549"/>
      <c r="AH44" s="549"/>
      <c r="AI44" s="549"/>
      <c r="AJ44" s="549"/>
      <c r="AK44" s="549"/>
      <c r="AL44" s="549"/>
      <c r="AM44" s="549"/>
      <c r="AN44" s="549"/>
      <c r="AO44" s="549"/>
      <c r="AP44" s="549"/>
      <c r="AQ44" s="549"/>
      <c r="AR44" s="549"/>
      <c r="AS44" s="549"/>
      <c r="AT44" s="549"/>
      <c r="AU44" s="549"/>
      <c r="AV44" s="549"/>
      <c r="AW44" s="549"/>
      <c r="AX44" s="549"/>
      <c r="AY44" s="549"/>
      <c r="AZ44" s="549"/>
      <c r="BA44" s="549"/>
      <c r="BB44" s="549"/>
      <c r="BC44" s="549"/>
      <c r="BD44" s="549"/>
      <c r="BE44" s="549"/>
      <c r="BF44" s="549"/>
      <c r="BG44" s="549"/>
      <c r="BH44" s="549"/>
      <c r="BI44" s="549"/>
      <c r="BJ44" s="549"/>
      <c r="BK44" s="549"/>
      <c r="BL44" s="549"/>
      <c r="BM44" s="549"/>
      <c r="BN44" s="549"/>
      <c r="BO44" s="549"/>
      <c r="BP44" s="549"/>
      <c r="BQ44" s="549"/>
      <c r="BR44" s="549"/>
      <c r="BS44" s="549"/>
      <c r="BT44" s="549"/>
      <c r="BU44" s="549"/>
      <c r="BV44" s="549"/>
      <c r="BW44" s="549"/>
      <c r="BX44" s="549"/>
      <c r="BY44" s="549"/>
      <c r="BZ44" s="549"/>
      <c r="CA44" s="549"/>
      <c r="CB44" s="549"/>
      <c r="CC44" s="549"/>
      <c r="CD44" s="549"/>
      <c r="CE44" s="549"/>
      <c r="CF44" s="549"/>
      <c r="CG44" s="549"/>
      <c r="CH44" s="549"/>
      <c r="CI44" s="549"/>
      <c r="CJ44" s="549"/>
      <c r="CK44" s="549"/>
      <c r="CL44" s="549"/>
      <c r="CM44" s="549"/>
      <c r="CN44" s="549"/>
      <c r="CO44" s="549"/>
      <c r="CP44" s="549"/>
      <c r="CQ44" s="549"/>
      <c r="CR44" s="549"/>
      <c r="CS44" s="549"/>
      <c r="CT44" s="549"/>
      <c r="CU44" s="549"/>
      <c r="CV44" s="549"/>
      <c r="CW44" s="549"/>
      <c r="CX44" s="549"/>
      <c r="CY44" s="549"/>
      <c r="CZ44" s="549"/>
      <c r="DA44" s="549"/>
      <c r="DB44" s="549"/>
      <c r="DC44" s="549"/>
      <c r="DD44" s="549"/>
      <c r="DE44" s="549"/>
      <c r="DF44" s="549"/>
      <c r="DG44" s="549"/>
      <c r="DH44" s="549"/>
      <c r="DI44" s="549"/>
      <c r="DJ44" s="549"/>
      <c r="DK44" s="549"/>
      <c r="DL44" s="549"/>
      <c r="DM44" s="549"/>
      <c r="DN44" s="549"/>
      <c r="DO44" s="549"/>
      <c r="DP44" s="549"/>
      <c r="DQ44" s="549"/>
      <c r="DR44" s="549"/>
      <c r="DS44" s="549"/>
      <c r="DT44" s="549"/>
      <c r="DU44" s="549"/>
      <c r="DV44" s="549"/>
      <c r="DW44" s="549"/>
      <c r="DX44" s="549"/>
      <c r="DY44" s="549"/>
      <c r="DZ44" s="549"/>
      <c r="EA44" s="549"/>
      <c r="EB44" s="549"/>
      <c r="EC44" s="549"/>
      <c r="ED44" s="549"/>
      <c r="EE44" s="549"/>
      <c r="EF44" s="549"/>
      <c r="EG44" s="549"/>
      <c r="EH44" s="549"/>
      <c r="EI44" s="549"/>
      <c r="EJ44" s="549"/>
      <c r="EK44" s="549"/>
      <c r="EL44" s="549"/>
      <c r="EM44" s="549"/>
      <c r="EN44" s="549"/>
      <c r="EO44" s="549"/>
      <c r="EP44" s="549"/>
      <c r="EQ44" s="549"/>
      <c r="ER44" s="549"/>
      <c r="ES44" s="549"/>
      <c r="ET44" s="549"/>
      <c r="EU44" s="549"/>
      <c r="EV44" s="549"/>
      <c r="EW44" s="549"/>
      <c r="EX44" s="549"/>
      <c r="EY44" s="549"/>
      <c r="EZ44" s="549"/>
      <c r="FA44" s="549"/>
      <c r="FB44" s="549"/>
      <c r="FC44" s="549"/>
      <c r="FD44" s="549"/>
      <c r="FE44" s="549"/>
      <c r="FF44" s="549"/>
      <c r="FG44" s="549"/>
      <c r="FH44" s="549"/>
      <c r="FI44" s="549"/>
      <c r="FJ44" s="549"/>
      <c r="FK44" s="549"/>
      <c r="FL44" s="549"/>
      <c r="FM44" s="549"/>
      <c r="FN44" s="549"/>
      <c r="FO44" s="549"/>
      <c r="FP44" s="549"/>
      <c r="FQ44" s="549"/>
      <c r="FR44" s="549"/>
      <c r="FS44" s="549"/>
      <c r="FT44" s="549"/>
      <c r="FU44" s="549"/>
      <c r="FV44" s="549"/>
      <c r="FW44" s="549"/>
      <c r="FX44" s="549"/>
      <c r="FY44" s="549"/>
      <c r="FZ44" s="549"/>
      <c r="GA44" s="549"/>
      <c r="GB44" s="549"/>
      <c r="GC44" s="549"/>
      <c r="GD44" s="549"/>
      <c r="GE44" s="549"/>
      <c r="GF44" s="549"/>
      <c r="GG44" s="549"/>
      <c r="GH44" s="549"/>
      <c r="GI44" s="549"/>
      <c r="GJ44" s="549"/>
      <c r="GK44" s="549"/>
      <c r="GL44" s="549"/>
      <c r="GM44" s="549"/>
      <c r="GN44" s="549"/>
      <c r="GO44" s="549"/>
      <c r="GP44" s="549"/>
      <c r="GQ44" s="549"/>
      <c r="GR44" s="549"/>
      <c r="GS44" s="549"/>
      <c r="GT44" s="549"/>
      <c r="GU44" s="549"/>
      <c r="GV44" s="549"/>
      <c r="GW44" s="549"/>
      <c r="GX44" s="549"/>
      <c r="GY44" s="549"/>
      <c r="GZ44" s="549"/>
      <c r="HA44" s="549"/>
      <c r="HB44" s="549"/>
      <c r="HC44" s="549"/>
      <c r="HD44" s="549"/>
      <c r="HE44" s="549"/>
      <c r="HF44" s="549"/>
      <c r="HG44" s="549"/>
      <c r="HH44" s="549"/>
      <c r="HI44" s="549"/>
      <c r="HJ44" s="549"/>
      <c r="HK44" s="549"/>
      <c r="HL44" s="549"/>
      <c r="HM44" s="549"/>
      <c r="HN44" s="549"/>
      <c r="HO44" s="549"/>
      <c r="HP44" s="549"/>
      <c r="HQ44" s="549"/>
      <c r="HR44" s="549"/>
      <c r="HS44" s="549"/>
      <c r="HT44" s="549"/>
      <c r="HU44" s="549"/>
      <c r="HV44" s="549"/>
      <c r="HW44" s="549"/>
      <c r="HX44" s="549"/>
      <c r="HY44" s="549"/>
      <c r="HZ44" s="549"/>
      <c r="IA44" s="549"/>
      <c r="IB44" s="549"/>
      <c r="IC44" s="549"/>
      <c r="ID44" s="549"/>
      <c r="IE44" s="549"/>
      <c r="IF44" s="549"/>
      <c r="IG44" s="549"/>
      <c r="IH44" s="549"/>
      <c r="II44" s="549"/>
      <c r="IJ44" s="549"/>
      <c r="IK44" s="549"/>
      <c r="IL44" s="549"/>
      <c r="IM44" s="549"/>
      <c r="IN44" s="549"/>
      <c r="IO44" s="549"/>
      <c r="IP44" s="549"/>
      <c r="IQ44" s="549"/>
      <c r="IR44" s="549"/>
      <c r="IS44" s="549"/>
      <c r="IT44" s="549"/>
      <c r="IU44" s="549"/>
      <c r="IV44" s="549"/>
      <c r="IW44" s="549"/>
    </row>
    <row r="46" customFormat="false" ht="12.75" hidden="false" customHeight="false" outlineLevel="0" collapsed="false">
      <c r="B46" s="552" t="s">
        <v>264</v>
      </c>
    </row>
    <row r="47" customFormat="false" ht="12.75" hidden="false" customHeight="false" outlineLevel="0" collapsed="false">
      <c r="B47" s="179" t="s">
        <v>265</v>
      </c>
      <c r="C47" s="513" t="n">
        <f aca="false">C28+C26</f>
        <v>7174168.52603578</v>
      </c>
      <c r="D47" s="513" t="n">
        <f aca="false">D28+D26</f>
        <v>-5468220.08190157</v>
      </c>
      <c r="E47" s="513" t="n">
        <f aca="false">E28+E26</f>
        <v>-5318306.26063789</v>
      </c>
      <c r="F47" s="513" t="n">
        <f aca="false">F28+F26</f>
        <v>-4842304.45254341</v>
      </c>
      <c r="G47" s="513" t="n">
        <f aca="false">G28+G26</f>
        <v>-4489806.32112831</v>
      </c>
      <c r="H47" s="513" t="n">
        <f aca="false">H28+H26</f>
        <v>-3838946.94064967</v>
      </c>
      <c r="I47" s="513" t="n">
        <f aca="false">I28+I26</f>
        <v>-3111116.5429436</v>
      </c>
      <c r="J47" s="513" t="n">
        <f aca="false">J28+J26</f>
        <v>-2552903.10193268</v>
      </c>
      <c r="K47" s="513" t="n">
        <f aca="false">K28+K26</f>
        <v>-1859121.25497972</v>
      </c>
      <c r="L47" s="513" t="n">
        <f aca="false">L28+L26</f>
        <v>-869179.395705625</v>
      </c>
      <c r="M47" s="513" t="n">
        <f aca="false">M28+M26</f>
        <v>-7657.13612155058</v>
      </c>
      <c r="N47" s="513" t="n">
        <f aca="false">N28+N26</f>
        <v>686181.311971567</v>
      </c>
      <c r="O47" s="513" t="n">
        <f aca="false">O28+O26</f>
        <v>1586877.18440421</v>
      </c>
      <c r="P47" s="513" t="n">
        <f aca="false">P28+P26</f>
        <v>2678823.58110717</v>
      </c>
      <c r="Q47" s="513" t="n">
        <f aca="false">Q28+Q26</f>
        <v>3616758.52101482</v>
      </c>
      <c r="R47" s="513" t="n">
        <f aca="false">R28+R26</f>
        <v>4436657.61674669</v>
      </c>
      <c r="S47" s="513" t="n">
        <f aca="false">S28+S26</f>
        <v>5521238.35994544</v>
      </c>
      <c r="T47" s="513" t="n">
        <f aca="false">T28+T26</f>
        <v>6855147.84486417</v>
      </c>
      <c r="U47" s="513" t="n">
        <f aca="false">U28+U26</f>
        <v>7992969.67568275</v>
      </c>
      <c r="V47" s="513" t="n">
        <f aca="false">V28+V26</f>
        <v>8468299.51164351</v>
      </c>
      <c r="W47" s="514" t="n">
        <f aca="false">W28+W26</f>
        <v>9822852.01909466</v>
      </c>
    </row>
    <row r="48" customFormat="false" ht="12.75" hidden="false" customHeight="false" outlineLevel="0" collapsed="false">
      <c r="B48" s="179" t="s">
        <v>266</v>
      </c>
      <c r="C48" s="522" t="n">
        <v>9828257.24088467</v>
      </c>
      <c r="D48" s="522" t="n">
        <v>16650241.7650101</v>
      </c>
      <c r="E48" s="522" t="n">
        <v>15210045.0321391</v>
      </c>
      <c r="F48" s="522" t="n">
        <v>13921447.9553599</v>
      </c>
      <c r="G48" s="522" t="n">
        <v>12754130.603454</v>
      </c>
      <c r="H48" s="522" t="n">
        <v>9444658.57451137</v>
      </c>
      <c r="I48" s="522" t="n">
        <v>8944379.70940883</v>
      </c>
      <c r="J48" s="522" t="n">
        <v>8944379.70940883</v>
      </c>
      <c r="K48" s="522" t="n">
        <v>8959539.675018</v>
      </c>
      <c r="L48" s="522" t="n">
        <v>8944379.70940883</v>
      </c>
      <c r="M48" s="522" t="n">
        <v>8959539.675018</v>
      </c>
      <c r="N48" s="522" t="n">
        <v>8944379.70940883</v>
      </c>
      <c r="O48" s="522" t="n">
        <v>8959539.675018</v>
      </c>
      <c r="P48" s="522" t="n">
        <v>8944379.70940883</v>
      </c>
      <c r="Q48" s="522" t="n">
        <v>8959539.675018</v>
      </c>
      <c r="R48" s="522" t="n">
        <v>4472189.85470442</v>
      </c>
      <c r="S48" s="530" t="n">
        <v>0</v>
      </c>
      <c r="T48" s="530" t="n">
        <v>0</v>
      </c>
      <c r="U48" s="530" t="n">
        <v>0</v>
      </c>
      <c r="V48" s="530" t="n">
        <v>0</v>
      </c>
      <c r="W48" s="531" t="n">
        <v>0</v>
      </c>
    </row>
    <row r="49" customFormat="false" ht="12.75" hidden="false" customHeight="false" outlineLevel="0" collapsed="false">
      <c r="B49" s="179" t="s">
        <v>267</v>
      </c>
      <c r="C49" s="513" t="n">
        <f aca="false">C47-C48</f>
        <v>-2654088.71484889</v>
      </c>
      <c r="D49" s="513" t="n">
        <f aca="false">D47-D48</f>
        <v>-22118461.8469116</v>
      </c>
      <c r="E49" s="513" t="n">
        <f aca="false">E47-E48</f>
        <v>-20528351.292777</v>
      </c>
      <c r="F49" s="513" t="n">
        <f aca="false">F47-F48</f>
        <v>-18763752.4079033</v>
      </c>
      <c r="G49" s="513" t="n">
        <f aca="false">G47-G48</f>
        <v>-17243936.9245823</v>
      </c>
      <c r="H49" s="513" t="n">
        <f aca="false">H47-H48</f>
        <v>-13283605.515161</v>
      </c>
      <c r="I49" s="513" t="n">
        <f aca="false">I47-I48</f>
        <v>-12055496.2523524</v>
      </c>
      <c r="J49" s="513" t="n">
        <f aca="false">J47-J48</f>
        <v>-11497282.8113415</v>
      </c>
      <c r="K49" s="513" t="n">
        <f aca="false">K47-K48</f>
        <v>-10818660.9299977</v>
      </c>
      <c r="L49" s="513" t="n">
        <f aca="false">L47-L48</f>
        <v>-9813559.10511446</v>
      </c>
      <c r="M49" s="513" t="n">
        <f aca="false">M47-M48</f>
        <v>-8967196.81113955</v>
      </c>
      <c r="N49" s="513" t="n">
        <f aca="false">N47-N48</f>
        <v>-8258198.39743727</v>
      </c>
      <c r="O49" s="513" t="n">
        <f aca="false">O47-O48</f>
        <v>-7372662.49061379</v>
      </c>
      <c r="P49" s="513" t="n">
        <f aca="false">P47-P48</f>
        <v>-6265556.12830166</v>
      </c>
      <c r="Q49" s="513" t="n">
        <f aca="false">Q47-Q48</f>
        <v>-5342781.15400318</v>
      </c>
      <c r="R49" s="513" t="n">
        <f aca="false">R47-R48</f>
        <v>-35532.2379577281</v>
      </c>
      <c r="S49" s="513" t="n">
        <f aca="false">S47-S48</f>
        <v>5521238.35994544</v>
      </c>
      <c r="T49" s="513" t="n">
        <f aca="false">T47-T48</f>
        <v>6855147.84486417</v>
      </c>
      <c r="U49" s="513" t="n">
        <f aca="false">U47-U48</f>
        <v>7992969.67568275</v>
      </c>
      <c r="V49" s="513" t="n">
        <f aca="false">V47-V48</f>
        <v>8468299.51164351</v>
      </c>
      <c r="W49" s="514" t="n">
        <f aca="false">W47-W48</f>
        <v>9822852.01909466</v>
      </c>
    </row>
    <row r="50" customFormat="false" ht="12.75" hidden="false" customHeight="false" outlineLevel="0" collapsed="false">
      <c r="A50" s="553" t="n">
        <v>0.06</v>
      </c>
      <c r="B50" s="179" t="s">
        <v>268</v>
      </c>
      <c r="C50" s="522" t="n">
        <f aca="false">IF(C49&gt;0,C49*$A$50,0)</f>
        <v>0</v>
      </c>
      <c r="D50" s="522" t="n">
        <f aca="false">IF(D49&gt;0,D49*$A$50,0)</f>
        <v>0</v>
      </c>
      <c r="E50" s="522" t="n">
        <f aca="false">IF(E49&gt;0,E49*$A$50,0)</f>
        <v>0</v>
      </c>
      <c r="F50" s="522" t="n">
        <f aca="false">IF(F49&gt;0,F49*$A$50,0)</f>
        <v>0</v>
      </c>
      <c r="G50" s="522" t="n">
        <f aca="false">IF(G49&gt;0,G49*$A$50,0)</f>
        <v>0</v>
      </c>
      <c r="H50" s="522" t="n">
        <f aca="false">IF(H49&gt;0,H49*$A$50,0)</f>
        <v>0</v>
      </c>
      <c r="I50" s="522" t="n">
        <f aca="false">IF(I49&gt;0,I49*$A$50,0)</f>
        <v>0</v>
      </c>
      <c r="J50" s="522" t="n">
        <f aca="false">IF(J49&gt;0,J49*$A$50,0)</f>
        <v>0</v>
      </c>
      <c r="K50" s="522" t="n">
        <f aca="false">IF(K49&gt;0,K49*$A$50,0)</f>
        <v>0</v>
      </c>
      <c r="L50" s="522" t="n">
        <f aca="false">IF(L49&gt;0,L49*$A$50,0)</f>
        <v>0</v>
      </c>
      <c r="M50" s="522" t="n">
        <f aca="false">IF(M49&gt;0,M49*$A$50,0)</f>
        <v>0</v>
      </c>
      <c r="N50" s="522" t="n">
        <f aca="false">IF(N49&gt;0,N49*$A$50,0)</f>
        <v>0</v>
      </c>
      <c r="O50" s="522" t="n">
        <f aca="false">IF(O49&gt;0,O49*$A$50,0)</f>
        <v>0</v>
      </c>
      <c r="P50" s="522" t="n">
        <f aca="false">IF(P49&gt;0,P49*$A$50,0)</f>
        <v>0</v>
      </c>
      <c r="Q50" s="522" t="n">
        <f aca="false">IF(Q49&gt;0,Q49*$A$50,0)</f>
        <v>0</v>
      </c>
      <c r="R50" s="522" t="n">
        <f aca="false">IF(R49&gt;0,R49*$A$50,0)</f>
        <v>0</v>
      </c>
      <c r="S50" s="522" t="n">
        <f aca="false">IF(S49&gt;0,S49*$A$50,0)</f>
        <v>331274.301596727</v>
      </c>
      <c r="T50" s="522" t="n">
        <f aca="false">IF(T49&gt;0,T49*$A$50,0)</f>
        <v>411308.87069185</v>
      </c>
      <c r="U50" s="522" t="n">
        <f aca="false">IF(U49&gt;0,U49*$A$50,0)</f>
        <v>479578.180540965</v>
      </c>
      <c r="V50" s="522" t="n">
        <f aca="false">IF(V49&gt;0,V49*$A$50,0)</f>
        <v>508097.97069861</v>
      </c>
      <c r="W50" s="522" t="n">
        <f aca="false">IF(W49&gt;0,W49*$A$50,0)</f>
        <v>589371.12114568</v>
      </c>
    </row>
    <row r="51" customFormat="false" ht="12.75" hidden="false" customHeight="false" outlineLevel="0" collapsed="false">
      <c r="B51" s="179" t="s">
        <v>269</v>
      </c>
      <c r="C51" s="515" t="n">
        <f aca="false">C49-C50</f>
        <v>-2654088.71484889</v>
      </c>
      <c r="D51" s="515" t="n">
        <f aca="false">D49-D50</f>
        <v>-22118461.8469116</v>
      </c>
      <c r="E51" s="515" t="n">
        <f aca="false">E49-E50</f>
        <v>-20528351.292777</v>
      </c>
      <c r="F51" s="515" t="n">
        <f aca="false">F49-F50</f>
        <v>-18763752.4079033</v>
      </c>
      <c r="G51" s="515" t="n">
        <f aca="false">G49-G50</f>
        <v>-17243936.9245823</v>
      </c>
      <c r="H51" s="515" t="n">
        <f aca="false">H49-H50</f>
        <v>-13283605.515161</v>
      </c>
      <c r="I51" s="515" t="n">
        <f aca="false">I49-I50</f>
        <v>-12055496.2523524</v>
      </c>
      <c r="J51" s="515" t="n">
        <f aca="false">J49-J50</f>
        <v>-11497282.8113415</v>
      </c>
      <c r="K51" s="515" t="n">
        <f aca="false">K49-K50</f>
        <v>-10818660.9299977</v>
      </c>
      <c r="L51" s="515" t="n">
        <f aca="false">L49-L50</f>
        <v>-9813559.10511446</v>
      </c>
      <c r="M51" s="515" t="n">
        <f aca="false">M49-M50</f>
        <v>-8967196.81113955</v>
      </c>
      <c r="N51" s="515" t="n">
        <f aca="false">N49-N50</f>
        <v>-8258198.39743727</v>
      </c>
      <c r="O51" s="515" t="n">
        <f aca="false">O49-O50</f>
        <v>-7372662.49061379</v>
      </c>
      <c r="P51" s="515" t="n">
        <f aca="false">P49-P50</f>
        <v>-6265556.12830166</v>
      </c>
      <c r="Q51" s="515" t="n">
        <f aca="false">Q49-Q50</f>
        <v>-5342781.15400318</v>
      </c>
      <c r="R51" s="515" t="n">
        <f aca="false">R49-R50</f>
        <v>-35532.2379577281</v>
      </c>
      <c r="S51" s="515" t="n">
        <f aca="false">S49-S50</f>
        <v>5189964.05834872</v>
      </c>
      <c r="T51" s="515" t="n">
        <f aca="false">T49-T50</f>
        <v>6443838.97417232</v>
      </c>
      <c r="U51" s="515" t="n">
        <f aca="false">U49-U50</f>
        <v>7513391.49514178</v>
      </c>
      <c r="V51" s="515" t="n">
        <f aca="false">V49-V50</f>
        <v>7960201.5409449</v>
      </c>
      <c r="W51" s="515" t="n">
        <f aca="false">W49-W50</f>
        <v>9233480.89794898</v>
      </c>
    </row>
    <row r="53" customFormat="false" ht="12.75" hidden="false" customHeight="false" outlineLevel="0" collapsed="false">
      <c r="B53" s="554" t="s">
        <v>270</v>
      </c>
    </row>
    <row r="54" customFormat="false" ht="12.75" hidden="false" customHeight="false" outlineLevel="0" collapsed="false">
      <c r="A54" s="515"/>
      <c r="B54" s="212" t="s">
        <v>271</v>
      </c>
      <c r="C54" s="515" t="n">
        <v>0</v>
      </c>
      <c r="D54" s="515" t="n">
        <f aca="false">C57</f>
        <v>2654088.71484889</v>
      </c>
      <c r="E54" s="515" t="n">
        <f aca="false">D57</f>
        <v>24772550.5617605</v>
      </c>
      <c r="F54" s="515" t="n">
        <f aca="false">E57</f>
        <v>45300901.8545376</v>
      </c>
      <c r="G54" s="515" t="n">
        <f aca="false">F57</f>
        <v>64064654.2624409</v>
      </c>
      <c r="H54" s="515" t="n">
        <f aca="false">G57</f>
        <v>81308591.1870232</v>
      </c>
      <c r="I54" s="515" t="n">
        <f aca="false">H57</f>
        <v>94592196.7021842</v>
      </c>
      <c r="J54" s="515" t="n">
        <f aca="false">I57</f>
        <v>106647692.954537</v>
      </c>
      <c r="K54" s="515" t="n">
        <f aca="false">J57</f>
        <v>118144975.765878</v>
      </c>
      <c r="L54" s="515" t="n">
        <f aca="false">K57</f>
        <v>128963636.695876</v>
      </c>
      <c r="M54" s="515" t="n">
        <f aca="false">L57</f>
        <v>138777195.80099</v>
      </c>
      <c r="N54" s="515" t="n">
        <f aca="false">M57</f>
        <v>147744392.61213</v>
      </c>
      <c r="O54" s="515" t="n">
        <f aca="false">N57</f>
        <v>156002591.009567</v>
      </c>
      <c r="P54" s="515" t="n">
        <f aca="false">O57</f>
        <v>163375253.500181</v>
      </c>
      <c r="Q54" s="515" t="n">
        <f aca="false">P57</f>
        <v>169640809.628483</v>
      </c>
      <c r="R54" s="515" t="n">
        <f aca="false">Q57</f>
        <v>174983590.782486</v>
      </c>
      <c r="S54" s="515" t="n">
        <f aca="false">R57</f>
        <v>175019123.020444</v>
      </c>
      <c r="T54" s="515" t="n">
        <f aca="false">S57</f>
        <v>169829158.962095</v>
      </c>
      <c r="U54" s="515" t="n">
        <f aca="false">T57</f>
        <v>163385319.987922</v>
      </c>
      <c r="V54" s="515" t="n">
        <f aca="false">U57</f>
        <v>155871928.492781</v>
      </c>
      <c r="W54" s="515" t="n">
        <f aca="false">V57</f>
        <v>147911726.951836</v>
      </c>
      <c r="X54" s="515"/>
      <c r="Y54" s="515"/>
      <c r="Z54" s="515"/>
      <c r="AA54" s="515"/>
      <c r="AB54" s="515"/>
      <c r="AC54" s="515"/>
      <c r="AD54" s="515"/>
      <c r="AE54" s="515"/>
      <c r="AF54" s="515"/>
      <c r="AG54" s="515"/>
      <c r="AH54" s="515"/>
      <c r="AI54" s="515"/>
      <c r="AJ54" s="515"/>
      <c r="AK54" s="515"/>
      <c r="AL54" s="515"/>
      <c r="AM54" s="515"/>
      <c r="AN54" s="515"/>
      <c r="AO54" s="515"/>
      <c r="AP54" s="515"/>
      <c r="AQ54" s="515"/>
      <c r="AR54" s="515"/>
      <c r="AS54" s="515"/>
      <c r="AT54" s="515"/>
      <c r="AU54" s="515"/>
      <c r="AV54" s="515"/>
      <c r="AW54" s="515"/>
      <c r="AX54" s="515"/>
      <c r="AY54" s="515"/>
      <c r="AZ54" s="515"/>
      <c r="BA54" s="515"/>
      <c r="BB54" s="515"/>
      <c r="BC54" s="515"/>
      <c r="BD54" s="515"/>
      <c r="BE54" s="515"/>
      <c r="BF54" s="515"/>
      <c r="BG54" s="515"/>
      <c r="BH54" s="515"/>
      <c r="BI54" s="515"/>
      <c r="BJ54" s="515"/>
      <c r="BK54" s="515"/>
      <c r="BL54" s="515"/>
      <c r="BM54" s="515"/>
      <c r="BN54" s="515"/>
      <c r="BO54" s="515"/>
      <c r="BP54" s="515"/>
      <c r="BQ54" s="515"/>
      <c r="BR54" s="515"/>
      <c r="BS54" s="515"/>
      <c r="BT54" s="515"/>
      <c r="BU54" s="515"/>
      <c r="BV54" s="515"/>
      <c r="BW54" s="515"/>
      <c r="BX54" s="515"/>
      <c r="BY54" s="515"/>
      <c r="BZ54" s="515"/>
      <c r="CA54" s="515"/>
      <c r="CB54" s="515"/>
      <c r="CC54" s="515"/>
      <c r="CD54" s="515"/>
      <c r="CE54" s="515"/>
      <c r="CF54" s="515"/>
      <c r="CG54" s="515"/>
      <c r="CH54" s="515"/>
      <c r="CI54" s="515"/>
      <c r="CJ54" s="515"/>
      <c r="CK54" s="515"/>
      <c r="CL54" s="515"/>
      <c r="CM54" s="515"/>
      <c r="CN54" s="515"/>
      <c r="CO54" s="515"/>
      <c r="CP54" s="515"/>
      <c r="CQ54" s="515"/>
      <c r="CR54" s="515"/>
      <c r="CS54" s="515"/>
      <c r="CT54" s="515"/>
      <c r="CU54" s="515"/>
      <c r="CV54" s="515"/>
      <c r="CW54" s="515"/>
      <c r="CX54" s="515"/>
      <c r="CY54" s="515"/>
      <c r="CZ54" s="515"/>
      <c r="DA54" s="515"/>
      <c r="DB54" s="515"/>
      <c r="DC54" s="515"/>
      <c r="DD54" s="515"/>
      <c r="DE54" s="515"/>
      <c r="DF54" s="515"/>
      <c r="DG54" s="515"/>
      <c r="DH54" s="515"/>
      <c r="DI54" s="515"/>
      <c r="DJ54" s="515"/>
      <c r="DK54" s="515"/>
      <c r="DL54" s="515"/>
      <c r="DM54" s="515"/>
      <c r="DN54" s="515"/>
      <c r="DO54" s="515"/>
      <c r="DP54" s="515"/>
      <c r="DQ54" s="515"/>
      <c r="DR54" s="515"/>
      <c r="DS54" s="515"/>
      <c r="DT54" s="515"/>
      <c r="DU54" s="515"/>
      <c r="DV54" s="515"/>
      <c r="DW54" s="515"/>
      <c r="DX54" s="515"/>
      <c r="DY54" s="515"/>
      <c r="DZ54" s="515"/>
      <c r="EA54" s="515"/>
      <c r="EB54" s="515"/>
      <c r="EC54" s="515"/>
      <c r="ED54" s="515"/>
      <c r="EE54" s="515"/>
      <c r="EF54" s="515"/>
      <c r="EG54" s="515"/>
      <c r="EH54" s="515"/>
      <c r="EI54" s="515"/>
      <c r="EJ54" s="515"/>
      <c r="EK54" s="515"/>
      <c r="EL54" s="515"/>
      <c r="EM54" s="515"/>
      <c r="EN54" s="515"/>
      <c r="EO54" s="515"/>
      <c r="EP54" s="515"/>
      <c r="EQ54" s="515"/>
      <c r="ER54" s="515"/>
      <c r="ES54" s="515"/>
      <c r="ET54" s="515"/>
      <c r="EU54" s="515"/>
      <c r="EV54" s="515"/>
      <c r="EW54" s="515"/>
      <c r="EX54" s="515"/>
      <c r="EY54" s="515"/>
      <c r="EZ54" s="515"/>
      <c r="FA54" s="515"/>
      <c r="FB54" s="515"/>
      <c r="FC54" s="515"/>
      <c r="FD54" s="515"/>
      <c r="FE54" s="515"/>
      <c r="FF54" s="515"/>
      <c r="FG54" s="515"/>
      <c r="FH54" s="515"/>
      <c r="FI54" s="515"/>
      <c r="FJ54" s="515"/>
      <c r="FK54" s="515"/>
      <c r="FL54" s="515"/>
      <c r="FM54" s="515"/>
      <c r="FN54" s="515"/>
      <c r="FO54" s="515"/>
      <c r="FP54" s="515"/>
      <c r="FQ54" s="515"/>
      <c r="FR54" s="515"/>
      <c r="FS54" s="515"/>
      <c r="FT54" s="515"/>
      <c r="FU54" s="515"/>
      <c r="FV54" s="515"/>
      <c r="FW54" s="515"/>
      <c r="FX54" s="515"/>
      <c r="FY54" s="515"/>
      <c r="FZ54" s="515"/>
      <c r="GA54" s="515"/>
      <c r="GB54" s="515"/>
      <c r="GC54" s="515"/>
      <c r="GD54" s="515"/>
      <c r="GE54" s="515"/>
      <c r="GF54" s="515"/>
      <c r="GG54" s="515"/>
      <c r="GH54" s="515"/>
      <c r="GI54" s="515"/>
      <c r="GJ54" s="515"/>
      <c r="GK54" s="515"/>
      <c r="GL54" s="515"/>
      <c r="GM54" s="515"/>
      <c r="GN54" s="515"/>
      <c r="GO54" s="515"/>
      <c r="GP54" s="515"/>
      <c r="GQ54" s="515"/>
      <c r="GR54" s="515"/>
      <c r="GS54" s="515"/>
      <c r="GT54" s="515"/>
      <c r="GU54" s="515"/>
      <c r="GV54" s="515"/>
      <c r="GW54" s="515"/>
      <c r="GX54" s="515"/>
      <c r="GY54" s="515"/>
      <c r="GZ54" s="515"/>
      <c r="HA54" s="515"/>
      <c r="HB54" s="515"/>
      <c r="HC54" s="515"/>
      <c r="HD54" s="515"/>
      <c r="HE54" s="515"/>
      <c r="HF54" s="515"/>
      <c r="HG54" s="515"/>
      <c r="HH54" s="515"/>
      <c r="HI54" s="515"/>
      <c r="HJ54" s="515"/>
      <c r="HK54" s="515"/>
      <c r="HL54" s="515"/>
      <c r="HM54" s="515"/>
      <c r="HN54" s="515"/>
      <c r="HO54" s="515"/>
      <c r="HP54" s="515"/>
      <c r="HQ54" s="515"/>
      <c r="HR54" s="515"/>
      <c r="HS54" s="515"/>
      <c r="HT54" s="515"/>
      <c r="HU54" s="515"/>
      <c r="HV54" s="515"/>
      <c r="HW54" s="515"/>
      <c r="HX54" s="515"/>
      <c r="HY54" s="515"/>
      <c r="HZ54" s="515"/>
      <c r="IA54" s="515"/>
      <c r="IB54" s="515"/>
      <c r="IC54" s="515"/>
      <c r="ID54" s="515"/>
      <c r="IE54" s="515"/>
      <c r="IF54" s="515"/>
      <c r="IG54" s="515"/>
      <c r="IH54" s="515"/>
      <c r="II54" s="515"/>
      <c r="IJ54" s="515"/>
      <c r="IK54" s="515"/>
      <c r="IL54" s="515"/>
      <c r="IM54" s="515"/>
      <c r="IN54" s="515"/>
      <c r="IO54" s="515"/>
      <c r="IP54" s="515"/>
      <c r="IQ54" s="515"/>
      <c r="IR54" s="515"/>
      <c r="IS54" s="515"/>
      <c r="IT54" s="515"/>
      <c r="IU54" s="515"/>
      <c r="IV54" s="515"/>
      <c r="IW54" s="515"/>
    </row>
    <row r="55" customFormat="false" ht="12.75" hidden="false" customHeight="false" outlineLevel="0" collapsed="false">
      <c r="A55" s="515"/>
      <c r="B55" s="212" t="s">
        <v>272</v>
      </c>
      <c r="C55" s="515" t="n">
        <f aca="false">IF(C51&lt;0,-C51,0)</f>
        <v>2654088.71484889</v>
      </c>
      <c r="D55" s="515" t="n">
        <f aca="false">IF(D51&lt;0,-D51,0)</f>
        <v>22118461.8469116</v>
      </c>
      <c r="E55" s="515" t="n">
        <f aca="false">IF(E51&lt;0,-E51,0)</f>
        <v>20528351.292777</v>
      </c>
      <c r="F55" s="515" t="n">
        <f aca="false">IF(F51&lt;0,-F51,0)</f>
        <v>18763752.4079033</v>
      </c>
      <c r="G55" s="515" t="n">
        <f aca="false">IF(G51&lt;0,-G51,0)</f>
        <v>17243936.9245823</v>
      </c>
      <c r="H55" s="515" t="n">
        <f aca="false">IF(H51&lt;0,-H51,0)</f>
        <v>13283605.515161</v>
      </c>
      <c r="I55" s="515" t="n">
        <f aca="false">IF(I51&lt;0,-I51,0)</f>
        <v>12055496.2523524</v>
      </c>
      <c r="J55" s="515" t="n">
        <f aca="false">IF(J51&lt;0,-J51,0)</f>
        <v>11497282.8113415</v>
      </c>
      <c r="K55" s="515" t="n">
        <f aca="false">IF(K51&lt;0,-K51,0)</f>
        <v>10818660.9299977</v>
      </c>
      <c r="L55" s="515" t="n">
        <f aca="false">IF(L51&lt;0,-L51,0)</f>
        <v>9813559.10511446</v>
      </c>
      <c r="M55" s="515" t="n">
        <f aca="false">IF(M51&lt;0,-M51,0)</f>
        <v>8967196.81113955</v>
      </c>
      <c r="N55" s="515" t="n">
        <f aca="false">IF(N51&lt;0,-N51,0)</f>
        <v>8258198.39743727</v>
      </c>
      <c r="O55" s="515" t="n">
        <f aca="false">IF(O51&lt;0,-O51,0)</f>
        <v>7372662.49061379</v>
      </c>
      <c r="P55" s="515" t="n">
        <f aca="false">IF(P51&lt;0,-P51,0)</f>
        <v>6265556.12830166</v>
      </c>
      <c r="Q55" s="515" t="n">
        <f aca="false">IF(Q51&lt;0,-Q51,0)</f>
        <v>5342781.15400318</v>
      </c>
      <c r="R55" s="515" t="n">
        <f aca="false">IF(R51&lt;0,-R51,0)</f>
        <v>35532.2379577281</v>
      </c>
      <c r="S55" s="515" t="n">
        <f aca="false">IF(S51&lt;0,-S51,0)</f>
        <v>0</v>
      </c>
      <c r="T55" s="515" t="n">
        <f aca="false">IF(T51&lt;0,-T51,0)</f>
        <v>0</v>
      </c>
      <c r="U55" s="515" t="n">
        <f aca="false">IF(U51&lt;0,-U51,0)</f>
        <v>0</v>
      </c>
      <c r="V55" s="515" t="n">
        <f aca="false">IF(V51&lt;0,-V51,0)</f>
        <v>0</v>
      </c>
      <c r="W55" s="515" t="n">
        <f aca="false">IF(W51&lt;0,-W51,0)</f>
        <v>0</v>
      </c>
      <c r="X55" s="515"/>
      <c r="Y55" s="515"/>
      <c r="Z55" s="515"/>
      <c r="AA55" s="515"/>
      <c r="AB55" s="515"/>
      <c r="AC55" s="515"/>
      <c r="AD55" s="515"/>
      <c r="AE55" s="515"/>
      <c r="AF55" s="515"/>
      <c r="AG55" s="515"/>
      <c r="AH55" s="515"/>
      <c r="AI55" s="515"/>
      <c r="AJ55" s="515"/>
      <c r="AK55" s="515"/>
      <c r="AL55" s="515"/>
      <c r="AM55" s="515"/>
      <c r="AN55" s="515"/>
      <c r="AO55" s="515"/>
      <c r="AP55" s="515"/>
      <c r="AQ55" s="515"/>
      <c r="AR55" s="515"/>
      <c r="AS55" s="515"/>
      <c r="AT55" s="515"/>
      <c r="AU55" s="515"/>
      <c r="AV55" s="515"/>
      <c r="AW55" s="515"/>
      <c r="AX55" s="515"/>
      <c r="AY55" s="515"/>
      <c r="AZ55" s="515"/>
      <c r="BA55" s="515"/>
      <c r="BB55" s="515"/>
      <c r="BC55" s="515"/>
      <c r="BD55" s="515"/>
      <c r="BE55" s="515"/>
      <c r="BF55" s="515"/>
      <c r="BG55" s="515"/>
      <c r="BH55" s="515"/>
      <c r="BI55" s="515"/>
      <c r="BJ55" s="515"/>
      <c r="BK55" s="515"/>
      <c r="BL55" s="515"/>
      <c r="BM55" s="515"/>
      <c r="BN55" s="515"/>
      <c r="BO55" s="515"/>
      <c r="BP55" s="515"/>
      <c r="BQ55" s="515"/>
      <c r="BR55" s="515"/>
      <c r="BS55" s="515"/>
      <c r="BT55" s="515"/>
      <c r="BU55" s="515"/>
      <c r="BV55" s="515"/>
      <c r="BW55" s="515"/>
      <c r="BX55" s="515"/>
      <c r="BY55" s="515"/>
      <c r="BZ55" s="515"/>
      <c r="CA55" s="515"/>
      <c r="CB55" s="515"/>
      <c r="CC55" s="515"/>
      <c r="CD55" s="515"/>
      <c r="CE55" s="515"/>
      <c r="CF55" s="515"/>
      <c r="CG55" s="515"/>
      <c r="CH55" s="515"/>
      <c r="CI55" s="515"/>
      <c r="CJ55" s="515"/>
      <c r="CK55" s="515"/>
      <c r="CL55" s="515"/>
      <c r="CM55" s="515"/>
      <c r="CN55" s="515"/>
      <c r="CO55" s="515"/>
      <c r="CP55" s="515"/>
      <c r="CQ55" s="515"/>
      <c r="CR55" s="515"/>
      <c r="CS55" s="515"/>
      <c r="CT55" s="515"/>
      <c r="CU55" s="515"/>
      <c r="CV55" s="515"/>
      <c r="CW55" s="515"/>
      <c r="CX55" s="515"/>
      <c r="CY55" s="515"/>
      <c r="CZ55" s="515"/>
      <c r="DA55" s="515"/>
      <c r="DB55" s="515"/>
      <c r="DC55" s="515"/>
      <c r="DD55" s="515"/>
      <c r="DE55" s="515"/>
      <c r="DF55" s="515"/>
      <c r="DG55" s="515"/>
      <c r="DH55" s="515"/>
      <c r="DI55" s="515"/>
      <c r="DJ55" s="515"/>
      <c r="DK55" s="515"/>
      <c r="DL55" s="515"/>
      <c r="DM55" s="515"/>
      <c r="DN55" s="515"/>
      <c r="DO55" s="515"/>
      <c r="DP55" s="515"/>
      <c r="DQ55" s="515"/>
      <c r="DR55" s="515"/>
      <c r="DS55" s="515"/>
      <c r="DT55" s="515"/>
      <c r="DU55" s="515"/>
      <c r="DV55" s="515"/>
      <c r="DW55" s="515"/>
      <c r="DX55" s="515"/>
      <c r="DY55" s="515"/>
      <c r="DZ55" s="515"/>
      <c r="EA55" s="515"/>
      <c r="EB55" s="515"/>
      <c r="EC55" s="515"/>
      <c r="ED55" s="515"/>
      <c r="EE55" s="515"/>
      <c r="EF55" s="515"/>
      <c r="EG55" s="515"/>
      <c r="EH55" s="515"/>
      <c r="EI55" s="515"/>
      <c r="EJ55" s="515"/>
      <c r="EK55" s="515"/>
      <c r="EL55" s="515"/>
      <c r="EM55" s="515"/>
      <c r="EN55" s="515"/>
      <c r="EO55" s="515"/>
      <c r="EP55" s="515"/>
      <c r="EQ55" s="515"/>
      <c r="ER55" s="515"/>
      <c r="ES55" s="515"/>
      <c r="ET55" s="515"/>
      <c r="EU55" s="515"/>
      <c r="EV55" s="515"/>
      <c r="EW55" s="515"/>
      <c r="EX55" s="515"/>
      <c r="EY55" s="515"/>
      <c r="EZ55" s="515"/>
      <c r="FA55" s="515"/>
      <c r="FB55" s="515"/>
      <c r="FC55" s="515"/>
      <c r="FD55" s="515"/>
      <c r="FE55" s="515"/>
      <c r="FF55" s="515"/>
      <c r="FG55" s="515"/>
      <c r="FH55" s="515"/>
      <c r="FI55" s="515"/>
      <c r="FJ55" s="515"/>
      <c r="FK55" s="515"/>
      <c r="FL55" s="515"/>
      <c r="FM55" s="515"/>
      <c r="FN55" s="515"/>
      <c r="FO55" s="515"/>
      <c r="FP55" s="515"/>
      <c r="FQ55" s="515"/>
      <c r="FR55" s="515"/>
      <c r="FS55" s="515"/>
      <c r="FT55" s="515"/>
      <c r="FU55" s="515"/>
      <c r="FV55" s="515"/>
      <c r="FW55" s="515"/>
      <c r="FX55" s="515"/>
      <c r="FY55" s="515"/>
      <c r="FZ55" s="515"/>
      <c r="GA55" s="515"/>
      <c r="GB55" s="515"/>
      <c r="GC55" s="515"/>
      <c r="GD55" s="515"/>
      <c r="GE55" s="515"/>
      <c r="GF55" s="515"/>
      <c r="GG55" s="515"/>
      <c r="GH55" s="515"/>
      <c r="GI55" s="515"/>
      <c r="GJ55" s="515"/>
      <c r="GK55" s="515"/>
      <c r="GL55" s="515"/>
      <c r="GM55" s="515"/>
      <c r="GN55" s="515"/>
      <c r="GO55" s="515"/>
      <c r="GP55" s="515"/>
      <c r="GQ55" s="515"/>
      <c r="GR55" s="515"/>
      <c r="GS55" s="515"/>
      <c r="GT55" s="515"/>
      <c r="GU55" s="515"/>
      <c r="GV55" s="515"/>
      <c r="GW55" s="515"/>
      <c r="GX55" s="515"/>
      <c r="GY55" s="515"/>
      <c r="GZ55" s="515"/>
      <c r="HA55" s="515"/>
      <c r="HB55" s="515"/>
      <c r="HC55" s="515"/>
      <c r="HD55" s="515"/>
      <c r="HE55" s="515"/>
      <c r="HF55" s="515"/>
      <c r="HG55" s="515"/>
      <c r="HH55" s="515"/>
      <c r="HI55" s="515"/>
      <c r="HJ55" s="515"/>
      <c r="HK55" s="515"/>
      <c r="HL55" s="515"/>
      <c r="HM55" s="515"/>
      <c r="HN55" s="515"/>
      <c r="HO55" s="515"/>
      <c r="HP55" s="515"/>
      <c r="HQ55" s="515"/>
      <c r="HR55" s="515"/>
      <c r="HS55" s="515"/>
      <c r="HT55" s="515"/>
      <c r="HU55" s="515"/>
      <c r="HV55" s="515"/>
      <c r="HW55" s="515"/>
      <c r="HX55" s="515"/>
      <c r="HY55" s="515"/>
      <c r="HZ55" s="515"/>
      <c r="IA55" s="515"/>
      <c r="IB55" s="515"/>
      <c r="IC55" s="515"/>
      <c r="ID55" s="515"/>
      <c r="IE55" s="515"/>
      <c r="IF55" s="515"/>
      <c r="IG55" s="515"/>
      <c r="IH55" s="515"/>
      <c r="II55" s="515"/>
      <c r="IJ55" s="515"/>
      <c r="IK55" s="515"/>
      <c r="IL55" s="515"/>
      <c r="IM55" s="515"/>
      <c r="IN55" s="515"/>
      <c r="IO55" s="515"/>
      <c r="IP55" s="515"/>
      <c r="IQ55" s="515"/>
      <c r="IR55" s="515"/>
      <c r="IS55" s="515"/>
      <c r="IT55" s="515"/>
      <c r="IU55" s="515"/>
      <c r="IV55" s="515"/>
      <c r="IW55" s="515"/>
    </row>
    <row r="56" customFormat="false" ht="12.75" hidden="false" customHeight="false" outlineLevel="0" collapsed="false">
      <c r="A56" s="515"/>
      <c r="B56" s="212" t="s">
        <v>273</v>
      </c>
      <c r="C56" s="515" t="n">
        <f aca="false">IF(C51&lt;0,0,IF(C51&gt;C54,-C54,-C51))</f>
        <v>0</v>
      </c>
      <c r="D56" s="515" t="n">
        <f aca="false">IF(D51&lt;0,0,IF(D51&gt;D54,-D54,-D51))</f>
        <v>0</v>
      </c>
      <c r="E56" s="515" t="n">
        <f aca="false">IF(E51&lt;0,0,IF(E51&gt;E54,-E54,-E51))</f>
        <v>0</v>
      </c>
      <c r="F56" s="515" t="n">
        <f aca="false">IF(F51&lt;0,0,IF(F51&gt;F54,-F54,-F51))</f>
        <v>0</v>
      </c>
      <c r="G56" s="515" t="n">
        <f aca="false">IF(G51&lt;0,0,IF(G51&gt;G54,-G54,-G51))</f>
        <v>0</v>
      </c>
      <c r="H56" s="515" t="n">
        <f aca="false">IF(H51&lt;0,0,IF(H51&gt;H54,-H54,-H51))</f>
        <v>0</v>
      </c>
      <c r="I56" s="515" t="n">
        <f aca="false">IF(I51&lt;0,0,IF(I51&gt;I54,-I54,-I51))</f>
        <v>0</v>
      </c>
      <c r="J56" s="515" t="n">
        <f aca="false">IF(J51&lt;0,0,IF(J51&gt;J54,-J54,-J51))</f>
        <v>0</v>
      </c>
      <c r="K56" s="515" t="n">
        <f aca="false">IF(K51&lt;0,0,IF(K51&gt;K54,-K54,-K51))</f>
        <v>0</v>
      </c>
      <c r="L56" s="515" t="n">
        <f aca="false">IF(L51&lt;0,0,IF(L51&gt;L54,-L54,-L51))</f>
        <v>0</v>
      </c>
      <c r="M56" s="515" t="n">
        <f aca="false">IF(M51&lt;0,0,IF(M51&gt;M54,-M54,-M51))</f>
        <v>0</v>
      </c>
      <c r="N56" s="515" t="n">
        <f aca="false">IF(N51&lt;0,0,IF(N51&gt;N54,-N54,-N51))</f>
        <v>0</v>
      </c>
      <c r="O56" s="515" t="n">
        <f aca="false">IF(O51&lt;0,0,IF(O51&gt;O54,-O54,-O51))</f>
        <v>0</v>
      </c>
      <c r="P56" s="515" t="n">
        <f aca="false">IF(P51&lt;0,0,IF(P51&gt;P54,-P54,-P51))</f>
        <v>0</v>
      </c>
      <c r="Q56" s="515" t="n">
        <f aca="false">IF(Q51&lt;0,0,IF(Q51&gt;Q54,-Q54,-Q51))</f>
        <v>0</v>
      </c>
      <c r="R56" s="515" t="n">
        <f aca="false">IF(R51&lt;0,0,IF(R51&gt;R54,-R54,-R51))</f>
        <v>0</v>
      </c>
      <c r="S56" s="515" t="n">
        <f aca="false">IF(S51&lt;0,0,IF(S51&gt;S54,-S54,-S51))</f>
        <v>-5189964.05834872</v>
      </c>
      <c r="T56" s="515" t="n">
        <f aca="false">IF(T51&lt;0,0,IF(T51&gt;T54,-T54,-T51))</f>
        <v>-6443838.97417232</v>
      </c>
      <c r="U56" s="515" t="n">
        <f aca="false">IF(U51&lt;0,0,IF(U51&gt;U54,-U54,-U51))</f>
        <v>-7513391.49514178</v>
      </c>
      <c r="V56" s="515" t="n">
        <f aca="false">IF(V51&lt;0,0,IF(V51&gt;V54,-V54,-V51))</f>
        <v>-7960201.5409449</v>
      </c>
      <c r="W56" s="515" t="n">
        <f aca="false">IF(W51&lt;0,0,IF(W51&gt;W54,-W54,-W51))</f>
        <v>-9233480.89794898</v>
      </c>
      <c r="X56" s="515"/>
      <c r="Y56" s="515"/>
      <c r="Z56" s="515"/>
      <c r="AA56" s="515"/>
      <c r="AB56" s="515"/>
      <c r="AC56" s="515"/>
      <c r="AD56" s="515"/>
      <c r="AE56" s="515"/>
      <c r="AF56" s="515"/>
      <c r="AG56" s="515"/>
      <c r="AH56" s="515"/>
      <c r="AI56" s="515"/>
      <c r="AJ56" s="515"/>
      <c r="AK56" s="515"/>
      <c r="AL56" s="515"/>
      <c r="AM56" s="515"/>
      <c r="AN56" s="515"/>
      <c r="AO56" s="515"/>
      <c r="AP56" s="515"/>
      <c r="AQ56" s="515"/>
      <c r="AR56" s="515"/>
      <c r="AS56" s="515"/>
      <c r="AT56" s="515"/>
      <c r="AU56" s="515"/>
      <c r="AV56" s="515"/>
      <c r="AW56" s="515"/>
      <c r="AX56" s="515"/>
      <c r="AY56" s="515"/>
      <c r="AZ56" s="515"/>
      <c r="BA56" s="515"/>
      <c r="BB56" s="515"/>
      <c r="BC56" s="515"/>
      <c r="BD56" s="515"/>
      <c r="BE56" s="515"/>
      <c r="BF56" s="515"/>
      <c r="BG56" s="515"/>
      <c r="BH56" s="515"/>
      <c r="BI56" s="515"/>
      <c r="BJ56" s="515"/>
      <c r="BK56" s="515"/>
      <c r="BL56" s="515"/>
      <c r="BM56" s="515"/>
      <c r="BN56" s="515"/>
      <c r="BO56" s="515"/>
      <c r="BP56" s="515"/>
      <c r="BQ56" s="515"/>
      <c r="BR56" s="515"/>
      <c r="BS56" s="515"/>
      <c r="BT56" s="515"/>
      <c r="BU56" s="515"/>
      <c r="BV56" s="515"/>
      <c r="BW56" s="515"/>
      <c r="BX56" s="515"/>
      <c r="BY56" s="515"/>
      <c r="BZ56" s="515"/>
      <c r="CA56" s="515"/>
      <c r="CB56" s="515"/>
      <c r="CC56" s="515"/>
      <c r="CD56" s="515"/>
      <c r="CE56" s="515"/>
      <c r="CF56" s="515"/>
      <c r="CG56" s="515"/>
      <c r="CH56" s="515"/>
      <c r="CI56" s="515"/>
      <c r="CJ56" s="515"/>
      <c r="CK56" s="515"/>
      <c r="CL56" s="515"/>
      <c r="CM56" s="515"/>
      <c r="CN56" s="515"/>
      <c r="CO56" s="515"/>
      <c r="CP56" s="515"/>
      <c r="CQ56" s="515"/>
      <c r="CR56" s="515"/>
      <c r="CS56" s="515"/>
      <c r="CT56" s="515"/>
      <c r="CU56" s="515"/>
      <c r="CV56" s="515"/>
      <c r="CW56" s="515"/>
      <c r="CX56" s="515"/>
      <c r="CY56" s="515"/>
      <c r="CZ56" s="515"/>
      <c r="DA56" s="515"/>
      <c r="DB56" s="515"/>
      <c r="DC56" s="515"/>
      <c r="DD56" s="515"/>
      <c r="DE56" s="515"/>
      <c r="DF56" s="515"/>
      <c r="DG56" s="515"/>
      <c r="DH56" s="515"/>
      <c r="DI56" s="515"/>
      <c r="DJ56" s="515"/>
      <c r="DK56" s="515"/>
      <c r="DL56" s="515"/>
      <c r="DM56" s="515"/>
      <c r="DN56" s="515"/>
      <c r="DO56" s="515"/>
      <c r="DP56" s="515"/>
      <c r="DQ56" s="515"/>
      <c r="DR56" s="515"/>
      <c r="DS56" s="515"/>
      <c r="DT56" s="515"/>
      <c r="DU56" s="515"/>
      <c r="DV56" s="515"/>
      <c r="DW56" s="515"/>
      <c r="DX56" s="515"/>
      <c r="DY56" s="515"/>
      <c r="DZ56" s="515"/>
      <c r="EA56" s="515"/>
      <c r="EB56" s="515"/>
      <c r="EC56" s="515"/>
      <c r="ED56" s="515"/>
      <c r="EE56" s="515"/>
      <c r="EF56" s="515"/>
      <c r="EG56" s="515"/>
      <c r="EH56" s="515"/>
      <c r="EI56" s="515"/>
      <c r="EJ56" s="515"/>
      <c r="EK56" s="515"/>
      <c r="EL56" s="515"/>
      <c r="EM56" s="515"/>
      <c r="EN56" s="515"/>
      <c r="EO56" s="515"/>
      <c r="EP56" s="515"/>
      <c r="EQ56" s="515"/>
      <c r="ER56" s="515"/>
      <c r="ES56" s="515"/>
      <c r="ET56" s="515"/>
      <c r="EU56" s="515"/>
      <c r="EV56" s="515"/>
      <c r="EW56" s="515"/>
      <c r="EX56" s="515"/>
      <c r="EY56" s="515"/>
      <c r="EZ56" s="515"/>
      <c r="FA56" s="515"/>
      <c r="FB56" s="515"/>
      <c r="FC56" s="515"/>
      <c r="FD56" s="515"/>
      <c r="FE56" s="515"/>
      <c r="FF56" s="515"/>
      <c r="FG56" s="515"/>
      <c r="FH56" s="515"/>
      <c r="FI56" s="515"/>
      <c r="FJ56" s="515"/>
      <c r="FK56" s="515"/>
      <c r="FL56" s="515"/>
      <c r="FM56" s="515"/>
      <c r="FN56" s="515"/>
      <c r="FO56" s="515"/>
      <c r="FP56" s="515"/>
      <c r="FQ56" s="515"/>
      <c r="FR56" s="515"/>
      <c r="FS56" s="515"/>
      <c r="FT56" s="515"/>
      <c r="FU56" s="515"/>
      <c r="FV56" s="515"/>
      <c r="FW56" s="515"/>
      <c r="FX56" s="515"/>
      <c r="FY56" s="515"/>
      <c r="FZ56" s="515"/>
      <c r="GA56" s="515"/>
      <c r="GB56" s="515"/>
      <c r="GC56" s="515"/>
      <c r="GD56" s="515"/>
      <c r="GE56" s="515"/>
      <c r="GF56" s="515"/>
      <c r="GG56" s="515"/>
      <c r="GH56" s="515"/>
      <c r="GI56" s="515"/>
      <c r="GJ56" s="515"/>
      <c r="GK56" s="515"/>
      <c r="GL56" s="515"/>
      <c r="GM56" s="515"/>
      <c r="GN56" s="515"/>
      <c r="GO56" s="515"/>
      <c r="GP56" s="515"/>
      <c r="GQ56" s="515"/>
      <c r="GR56" s="515"/>
      <c r="GS56" s="515"/>
      <c r="GT56" s="515"/>
      <c r="GU56" s="515"/>
      <c r="GV56" s="515"/>
      <c r="GW56" s="515"/>
      <c r="GX56" s="515"/>
      <c r="GY56" s="515"/>
      <c r="GZ56" s="515"/>
      <c r="HA56" s="515"/>
      <c r="HB56" s="515"/>
      <c r="HC56" s="515"/>
      <c r="HD56" s="515"/>
      <c r="HE56" s="515"/>
      <c r="HF56" s="515"/>
      <c r="HG56" s="515"/>
      <c r="HH56" s="515"/>
      <c r="HI56" s="515"/>
      <c r="HJ56" s="515"/>
      <c r="HK56" s="515"/>
      <c r="HL56" s="515"/>
      <c r="HM56" s="515"/>
      <c r="HN56" s="515"/>
      <c r="HO56" s="515"/>
      <c r="HP56" s="515"/>
      <c r="HQ56" s="515"/>
      <c r="HR56" s="515"/>
      <c r="HS56" s="515"/>
      <c r="HT56" s="515"/>
      <c r="HU56" s="515"/>
      <c r="HV56" s="515"/>
      <c r="HW56" s="515"/>
      <c r="HX56" s="515"/>
      <c r="HY56" s="515"/>
      <c r="HZ56" s="515"/>
      <c r="IA56" s="515"/>
      <c r="IB56" s="515"/>
      <c r="IC56" s="515"/>
      <c r="ID56" s="515"/>
      <c r="IE56" s="515"/>
      <c r="IF56" s="515"/>
      <c r="IG56" s="515"/>
      <c r="IH56" s="515"/>
      <c r="II56" s="515"/>
      <c r="IJ56" s="515"/>
      <c r="IK56" s="515"/>
      <c r="IL56" s="515"/>
      <c r="IM56" s="515"/>
      <c r="IN56" s="515"/>
      <c r="IO56" s="515"/>
      <c r="IP56" s="515"/>
      <c r="IQ56" s="515"/>
      <c r="IR56" s="515"/>
      <c r="IS56" s="515"/>
      <c r="IT56" s="515"/>
      <c r="IU56" s="515"/>
      <c r="IV56" s="515"/>
      <c r="IW56" s="515"/>
    </row>
    <row r="57" customFormat="false" ht="12.75" hidden="false" customHeight="false" outlineLevel="0" collapsed="false">
      <c r="A57" s="515"/>
      <c r="B57" s="212" t="s">
        <v>274</v>
      </c>
      <c r="C57" s="515" t="n">
        <f aca="false">C54+C55+C56</f>
        <v>2654088.71484889</v>
      </c>
      <c r="D57" s="515" t="n">
        <f aca="false">D54+D55+D56</f>
        <v>24772550.5617605</v>
      </c>
      <c r="E57" s="515" t="n">
        <f aca="false">E54+E55+E56</f>
        <v>45300901.8545376</v>
      </c>
      <c r="F57" s="515" t="n">
        <f aca="false">F54+F55+F56</f>
        <v>64064654.2624409</v>
      </c>
      <c r="G57" s="515" t="n">
        <f aca="false">G54+G55+G56</f>
        <v>81308591.1870232</v>
      </c>
      <c r="H57" s="515" t="n">
        <f aca="false">H54+H55+H56</f>
        <v>94592196.7021842</v>
      </c>
      <c r="I57" s="515" t="n">
        <f aca="false">I54+I55+I56</f>
        <v>106647692.954537</v>
      </c>
      <c r="J57" s="515" t="n">
        <f aca="false">J54+J55+J56</f>
        <v>118144975.765878</v>
      </c>
      <c r="K57" s="515" t="n">
        <f aca="false">K54+K55+K56</f>
        <v>128963636.695876</v>
      </c>
      <c r="L57" s="515" t="n">
        <f aca="false">L54+L55+L56</f>
        <v>138777195.80099</v>
      </c>
      <c r="M57" s="515" t="n">
        <f aca="false">M54+M55+M56</f>
        <v>147744392.61213</v>
      </c>
      <c r="N57" s="515" t="n">
        <f aca="false">N54+N55+N56</f>
        <v>156002591.009567</v>
      </c>
      <c r="O57" s="515" t="n">
        <f aca="false">O54+O55+O56</f>
        <v>163375253.500181</v>
      </c>
      <c r="P57" s="515" t="n">
        <f aca="false">P54+P55+P56</f>
        <v>169640809.628483</v>
      </c>
      <c r="Q57" s="515" t="n">
        <f aca="false">Q54+Q55+Q56</f>
        <v>174983590.782486</v>
      </c>
      <c r="R57" s="515" t="n">
        <f aca="false">R54+R55+R56</f>
        <v>175019123.020444</v>
      </c>
      <c r="S57" s="515" t="n">
        <f aca="false">S54+S55+S56</f>
        <v>169829158.962095</v>
      </c>
      <c r="T57" s="515" t="n">
        <f aca="false">T54+T55+T56</f>
        <v>163385319.987922</v>
      </c>
      <c r="U57" s="515" t="n">
        <f aca="false">U54+U55+U56</f>
        <v>155871928.492781</v>
      </c>
      <c r="V57" s="515" t="n">
        <f aca="false">V54+V55+V56</f>
        <v>147911726.951836</v>
      </c>
      <c r="W57" s="515" t="n">
        <f aca="false">W54+W55+W56</f>
        <v>138678246.053887</v>
      </c>
      <c r="X57" s="515"/>
      <c r="Y57" s="515"/>
      <c r="Z57" s="515"/>
      <c r="AA57" s="515"/>
      <c r="AB57" s="515"/>
      <c r="AC57" s="515"/>
      <c r="AD57" s="515"/>
      <c r="AE57" s="515"/>
      <c r="AF57" s="515"/>
      <c r="AG57" s="515"/>
      <c r="AH57" s="515"/>
      <c r="AI57" s="515"/>
      <c r="AJ57" s="515"/>
      <c r="AK57" s="515"/>
      <c r="AL57" s="515"/>
      <c r="AM57" s="515"/>
      <c r="AN57" s="515"/>
      <c r="AO57" s="515"/>
      <c r="AP57" s="515"/>
      <c r="AQ57" s="515"/>
      <c r="AR57" s="515"/>
      <c r="AS57" s="515"/>
      <c r="AT57" s="515"/>
      <c r="AU57" s="515"/>
      <c r="AV57" s="515"/>
      <c r="AW57" s="515"/>
      <c r="AX57" s="515"/>
      <c r="AY57" s="515"/>
      <c r="AZ57" s="515"/>
      <c r="BA57" s="515"/>
      <c r="BB57" s="515"/>
      <c r="BC57" s="515"/>
      <c r="BD57" s="515"/>
      <c r="BE57" s="515"/>
      <c r="BF57" s="515"/>
      <c r="BG57" s="515"/>
      <c r="BH57" s="515"/>
      <c r="BI57" s="515"/>
      <c r="BJ57" s="515"/>
      <c r="BK57" s="515"/>
      <c r="BL57" s="515"/>
      <c r="BM57" s="515"/>
      <c r="BN57" s="515"/>
      <c r="BO57" s="515"/>
      <c r="BP57" s="515"/>
      <c r="BQ57" s="515"/>
      <c r="BR57" s="515"/>
      <c r="BS57" s="515"/>
      <c r="BT57" s="515"/>
      <c r="BU57" s="515"/>
      <c r="BV57" s="515"/>
      <c r="BW57" s="515"/>
      <c r="BX57" s="515"/>
      <c r="BY57" s="515"/>
      <c r="BZ57" s="515"/>
      <c r="CA57" s="515"/>
      <c r="CB57" s="515"/>
      <c r="CC57" s="515"/>
      <c r="CD57" s="515"/>
      <c r="CE57" s="515"/>
      <c r="CF57" s="515"/>
      <c r="CG57" s="515"/>
      <c r="CH57" s="515"/>
      <c r="CI57" s="515"/>
      <c r="CJ57" s="515"/>
      <c r="CK57" s="515"/>
      <c r="CL57" s="515"/>
      <c r="CM57" s="515"/>
      <c r="CN57" s="515"/>
      <c r="CO57" s="515"/>
      <c r="CP57" s="515"/>
      <c r="CQ57" s="515"/>
      <c r="CR57" s="515"/>
      <c r="CS57" s="515"/>
      <c r="CT57" s="515"/>
      <c r="CU57" s="515"/>
      <c r="CV57" s="515"/>
      <c r="CW57" s="515"/>
      <c r="CX57" s="515"/>
      <c r="CY57" s="515"/>
      <c r="CZ57" s="515"/>
      <c r="DA57" s="515"/>
      <c r="DB57" s="515"/>
      <c r="DC57" s="515"/>
      <c r="DD57" s="515"/>
      <c r="DE57" s="515"/>
      <c r="DF57" s="515"/>
      <c r="DG57" s="515"/>
      <c r="DH57" s="515"/>
      <c r="DI57" s="515"/>
      <c r="DJ57" s="515"/>
      <c r="DK57" s="515"/>
      <c r="DL57" s="515"/>
      <c r="DM57" s="515"/>
      <c r="DN57" s="515"/>
      <c r="DO57" s="515"/>
      <c r="DP57" s="515"/>
      <c r="DQ57" s="515"/>
      <c r="DR57" s="515"/>
      <c r="DS57" s="515"/>
      <c r="DT57" s="515"/>
      <c r="DU57" s="515"/>
      <c r="DV57" s="515"/>
      <c r="DW57" s="515"/>
      <c r="DX57" s="515"/>
      <c r="DY57" s="515"/>
      <c r="DZ57" s="515"/>
      <c r="EA57" s="515"/>
      <c r="EB57" s="515"/>
      <c r="EC57" s="515"/>
      <c r="ED57" s="515"/>
      <c r="EE57" s="515"/>
      <c r="EF57" s="515"/>
      <c r="EG57" s="515"/>
      <c r="EH57" s="515"/>
      <c r="EI57" s="515"/>
      <c r="EJ57" s="515"/>
      <c r="EK57" s="515"/>
      <c r="EL57" s="515"/>
      <c r="EM57" s="515"/>
      <c r="EN57" s="515"/>
      <c r="EO57" s="515"/>
      <c r="EP57" s="515"/>
      <c r="EQ57" s="515"/>
      <c r="ER57" s="515"/>
      <c r="ES57" s="515"/>
      <c r="ET57" s="515"/>
      <c r="EU57" s="515"/>
      <c r="EV57" s="515"/>
      <c r="EW57" s="515"/>
      <c r="EX57" s="515"/>
      <c r="EY57" s="515"/>
      <c r="EZ57" s="515"/>
      <c r="FA57" s="515"/>
      <c r="FB57" s="515"/>
      <c r="FC57" s="515"/>
      <c r="FD57" s="515"/>
      <c r="FE57" s="515"/>
      <c r="FF57" s="515"/>
      <c r="FG57" s="515"/>
      <c r="FH57" s="515"/>
      <c r="FI57" s="515"/>
      <c r="FJ57" s="515"/>
      <c r="FK57" s="515"/>
      <c r="FL57" s="515"/>
      <c r="FM57" s="515"/>
      <c r="FN57" s="515"/>
      <c r="FO57" s="515"/>
      <c r="FP57" s="515"/>
      <c r="FQ57" s="515"/>
      <c r="FR57" s="515"/>
      <c r="FS57" s="515"/>
      <c r="FT57" s="515"/>
      <c r="FU57" s="515"/>
      <c r="FV57" s="515"/>
      <c r="FW57" s="515"/>
      <c r="FX57" s="515"/>
      <c r="FY57" s="515"/>
      <c r="FZ57" s="515"/>
      <c r="GA57" s="515"/>
      <c r="GB57" s="515"/>
      <c r="GC57" s="515"/>
      <c r="GD57" s="515"/>
      <c r="GE57" s="515"/>
      <c r="GF57" s="515"/>
      <c r="GG57" s="515"/>
      <c r="GH57" s="515"/>
      <c r="GI57" s="515"/>
      <c r="GJ57" s="515"/>
      <c r="GK57" s="515"/>
      <c r="GL57" s="515"/>
      <c r="GM57" s="515"/>
      <c r="GN57" s="515"/>
      <c r="GO57" s="515"/>
      <c r="GP57" s="515"/>
      <c r="GQ57" s="515"/>
      <c r="GR57" s="515"/>
      <c r="GS57" s="515"/>
      <c r="GT57" s="515"/>
      <c r="GU57" s="515"/>
      <c r="GV57" s="515"/>
      <c r="GW57" s="515"/>
      <c r="GX57" s="515"/>
      <c r="GY57" s="515"/>
      <c r="GZ57" s="515"/>
      <c r="HA57" s="515"/>
      <c r="HB57" s="515"/>
      <c r="HC57" s="515"/>
      <c r="HD57" s="515"/>
      <c r="HE57" s="515"/>
      <c r="HF57" s="515"/>
      <c r="HG57" s="515"/>
      <c r="HH57" s="515"/>
      <c r="HI57" s="515"/>
      <c r="HJ57" s="515"/>
      <c r="HK57" s="515"/>
      <c r="HL57" s="515"/>
      <c r="HM57" s="515"/>
      <c r="HN57" s="515"/>
      <c r="HO57" s="515"/>
      <c r="HP57" s="515"/>
      <c r="HQ57" s="515"/>
      <c r="HR57" s="515"/>
      <c r="HS57" s="515"/>
      <c r="HT57" s="515"/>
      <c r="HU57" s="515"/>
      <c r="HV57" s="515"/>
      <c r="HW57" s="515"/>
      <c r="HX57" s="515"/>
      <c r="HY57" s="515"/>
      <c r="HZ57" s="515"/>
      <c r="IA57" s="515"/>
      <c r="IB57" s="515"/>
      <c r="IC57" s="515"/>
      <c r="ID57" s="515"/>
      <c r="IE57" s="515"/>
      <c r="IF57" s="515"/>
      <c r="IG57" s="515"/>
      <c r="IH57" s="515"/>
      <c r="II57" s="515"/>
      <c r="IJ57" s="515"/>
      <c r="IK57" s="515"/>
      <c r="IL57" s="515"/>
      <c r="IM57" s="515"/>
      <c r="IN57" s="515"/>
      <c r="IO57" s="515"/>
      <c r="IP57" s="515"/>
      <c r="IQ57" s="515"/>
      <c r="IR57" s="515"/>
      <c r="IS57" s="515"/>
      <c r="IT57" s="515"/>
      <c r="IU57" s="515"/>
      <c r="IV57" s="515"/>
      <c r="IW57" s="515"/>
    </row>
    <row r="58" customFormat="false" ht="12.75" hidden="false" customHeight="false" outlineLevel="0" collapsed="false">
      <c r="A58" s="515"/>
      <c r="B58" s="212"/>
      <c r="C58" s="515"/>
      <c r="D58" s="515"/>
      <c r="E58" s="515"/>
      <c r="F58" s="515"/>
      <c r="G58" s="515"/>
      <c r="H58" s="515"/>
      <c r="I58" s="515"/>
      <c r="J58" s="515"/>
      <c r="K58" s="515"/>
      <c r="L58" s="515"/>
      <c r="M58" s="515"/>
      <c r="N58" s="515"/>
      <c r="O58" s="515"/>
      <c r="P58" s="515"/>
      <c r="Q58" s="515"/>
      <c r="R58" s="515"/>
      <c r="S58" s="515"/>
      <c r="T58" s="515"/>
      <c r="U58" s="515"/>
      <c r="V58" s="515"/>
      <c r="W58" s="515"/>
      <c r="X58" s="515"/>
      <c r="Y58" s="515"/>
      <c r="Z58" s="515"/>
      <c r="AA58" s="515"/>
      <c r="AB58" s="515"/>
      <c r="AC58" s="515"/>
      <c r="AD58" s="515"/>
      <c r="AE58" s="515"/>
      <c r="AF58" s="515"/>
      <c r="AG58" s="515"/>
      <c r="AH58" s="515"/>
      <c r="AI58" s="515"/>
      <c r="AJ58" s="515"/>
      <c r="AK58" s="515"/>
      <c r="AL58" s="515"/>
      <c r="AM58" s="515"/>
      <c r="AN58" s="515"/>
      <c r="AO58" s="515"/>
      <c r="AP58" s="515"/>
      <c r="AQ58" s="515"/>
      <c r="AR58" s="515"/>
      <c r="AS58" s="515"/>
      <c r="AT58" s="515"/>
      <c r="AU58" s="515"/>
      <c r="AV58" s="515"/>
      <c r="AW58" s="515"/>
      <c r="AX58" s="515"/>
      <c r="AY58" s="515"/>
      <c r="AZ58" s="515"/>
      <c r="BA58" s="515"/>
      <c r="BB58" s="515"/>
      <c r="BC58" s="515"/>
      <c r="BD58" s="515"/>
      <c r="BE58" s="515"/>
      <c r="BF58" s="515"/>
      <c r="BG58" s="515"/>
      <c r="BH58" s="515"/>
      <c r="BI58" s="515"/>
      <c r="BJ58" s="515"/>
      <c r="BK58" s="515"/>
      <c r="BL58" s="515"/>
      <c r="BM58" s="515"/>
      <c r="BN58" s="515"/>
      <c r="BO58" s="515"/>
      <c r="BP58" s="515"/>
      <c r="BQ58" s="515"/>
      <c r="BR58" s="515"/>
      <c r="BS58" s="515"/>
      <c r="BT58" s="515"/>
      <c r="BU58" s="515"/>
      <c r="BV58" s="515"/>
      <c r="BW58" s="515"/>
      <c r="BX58" s="515"/>
      <c r="BY58" s="515"/>
      <c r="BZ58" s="515"/>
      <c r="CA58" s="515"/>
      <c r="CB58" s="515"/>
      <c r="CC58" s="515"/>
      <c r="CD58" s="515"/>
      <c r="CE58" s="515"/>
      <c r="CF58" s="515"/>
      <c r="CG58" s="515"/>
      <c r="CH58" s="515"/>
      <c r="CI58" s="515"/>
      <c r="CJ58" s="515"/>
      <c r="CK58" s="515"/>
      <c r="CL58" s="515"/>
      <c r="CM58" s="515"/>
      <c r="CN58" s="515"/>
      <c r="CO58" s="515"/>
      <c r="CP58" s="515"/>
      <c r="CQ58" s="515"/>
      <c r="CR58" s="515"/>
      <c r="CS58" s="515"/>
      <c r="CT58" s="515"/>
      <c r="CU58" s="515"/>
      <c r="CV58" s="515"/>
      <c r="CW58" s="515"/>
      <c r="CX58" s="515"/>
      <c r="CY58" s="515"/>
      <c r="CZ58" s="515"/>
      <c r="DA58" s="515"/>
      <c r="DB58" s="515"/>
      <c r="DC58" s="515"/>
      <c r="DD58" s="515"/>
      <c r="DE58" s="515"/>
      <c r="DF58" s="515"/>
      <c r="DG58" s="515"/>
      <c r="DH58" s="515"/>
      <c r="DI58" s="515"/>
      <c r="DJ58" s="515"/>
      <c r="DK58" s="515"/>
      <c r="DL58" s="515"/>
      <c r="DM58" s="515"/>
      <c r="DN58" s="515"/>
      <c r="DO58" s="515"/>
      <c r="DP58" s="515"/>
      <c r="DQ58" s="515"/>
      <c r="DR58" s="515"/>
      <c r="DS58" s="515"/>
      <c r="DT58" s="515"/>
      <c r="DU58" s="515"/>
      <c r="DV58" s="515"/>
      <c r="DW58" s="515"/>
      <c r="DX58" s="515"/>
      <c r="DY58" s="515"/>
      <c r="DZ58" s="515"/>
      <c r="EA58" s="515"/>
      <c r="EB58" s="515"/>
      <c r="EC58" s="515"/>
      <c r="ED58" s="515"/>
      <c r="EE58" s="515"/>
      <c r="EF58" s="515"/>
      <c r="EG58" s="515"/>
      <c r="EH58" s="515"/>
      <c r="EI58" s="515"/>
      <c r="EJ58" s="515"/>
      <c r="EK58" s="515"/>
      <c r="EL58" s="515"/>
      <c r="EM58" s="515"/>
      <c r="EN58" s="515"/>
      <c r="EO58" s="515"/>
      <c r="EP58" s="515"/>
      <c r="EQ58" s="515"/>
      <c r="ER58" s="515"/>
      <c r="ES58" s="515"/>
      <c r="ET58" s="515"/>
      <c r="EU58" s="515"/>
      <c r="EV58" s="515"/>
      <c r="EW58" s="515"/>
      <c r="EX58" s="515"/>
      <c r="EY58" s="515"/>
      <c r="EZ58" s="515"/>
      <c r="FA58" s="515"/>
      <c r="FB58" s="515"/>
      <c r="FC58" s="515"/>
      <c r="FD58" s="515"/>
      <c r="FE58" s="515"/>
      <c r="FF58" s="515"/>
      <c r="FG58" s="515"/>
      <c r="FH58" s="515"/>
      <c r="FI58" s="515"/>
      <c r="FJ58" s="515"/>
      <c r="FK58" s="515"/>
      <c r="FL58" s="515"/>
      <c r="FM58" s="515"/>
      <c r="FN58" s="515"/>
      <c r="FO58" s="515"/>
      <c r="FP58" s="515"/>
      <c r="FQ58" s="515"/>
      <c r="FR58" s="515"/>
      <c r="FS58" s="515"/>
      <c r="FT58" s="515"/>
      <c r="FU58" s="515"/>
      <c r="FV58" s="515"/>
      <c r="FW58" s="515"/>
      <c r="FX58" s="515"/>
      <c r="FY58" s="515"/>
      <c r="FZ58" s="515"/>
      <c r="GA58" s="515"/>
      <c r="GB58" s="515"/>
      <c r="GC58" s="515"/>
      <c r="GD58" s="515"/>
      <c r="GE58" s="515"/>
      <c r="GF58" s="515"/>
      <c r="GG58" s="515"/>
      <c r="GH58" s="515"/>
      <c r="GI58" s="515"/>
      <c r="GJ58" s="515"/>
      <c r="GK58" s="515"/>
      <c r="GL58" s="515"/>
      <c r="GM58" s="515"/>
      <c r="GN58" s="515"/>
      <c r="GO58" s="515"/>
      <c r="GP58" s="515"/>
      <c r="GQ58" s="515"/>
      <c r="GR58" s="515"/>
      <c r="GS58" s="515"/>
      <c r="GT58" s="515"/>
      <c r="GU58" s="515"/>
      <c r="GV58" s="515"/>
      <c r="GW58" s="515"/>
      <c r="GX58" s="515"/>
      <c r="GY58" s="515"/>
      <c r="GZ58" s="515"/>
      <c r="HA58" s="515"/>
      <c r="HB58" s="515"/>
      <c r="HC58" s="515"/>
      <c r="HD58" s="515"/>
      <c r="HE58" s="515"/>
      <c r="HF58" s="515"/>
      <c r="HG58" s="515"/>
      <c r="HH58" s="515"/>
      <c r="HI58" s="515"/>
      <c r="HJ58" s="515"/>
      <c r="HK58" s="515"/>
      <c r="HL58" s="515"/>
      <c r="HM58" s="515"/>
      <c r="HN58" s="515"/>
      <c r="HO58" s="515"/>
      <c r="HP58" s="515"/>
      <c r="HQ58" s="515"/>
      <c r="HR58" s="515"/>
      <c r="HS58" s="515"/>
      <c r="HT58" s="515"/>
      <c r="HU58" s="515"/>
      <c r="HV58" s="515"/>
      <c r="HW58" s="515"/>
      <c r="HX58" s="515"/>
      <c r="HY58" s="515"/>
      <c r="HZ58" s="515"/>
      <c r="IA58" s="515"/>
      <c r="IB58" s="515"/>
      <c r="IC58" s="515"/>
      <c r="ID58" s="515"/>
      <c r="IE58" s="515"/>
      <c r="IF58" s="515"/>
      <c r="IG58" s="515"/>
      <c r="IH58" s="515"/>
      <c r="II58" s="515"/>
      <c r="IJ58" s="515"/>
      <c r="IK58" s="515"/>
      <c r="IL58" s="515"/>
      <c r="IM58" s="515"/>
      <c r="IN58" s="515"/>
      <c r="IO58" s="515"/>
      <c r="IP58" s="515"/>
      <c r="IQ58" s="515"/>
      <c r="IR58" s="515"/>
      <c r="IS58" s="515"/>
      <c r="IT58" s="515"/>
      <c r="IU58" s="515"/>
      <c r="IV58" s="515"/>
      <c r="IW58" s="515"/>
    </row>
    <row r="59" customFormat="false" ht="12.75" hidden="false" customHeight="false" outlineLevel="0" collapsed="false">
      <c r="B59" s="179" t="s">
        <v>275</v>
      </c>
      <c r="C59" s="515" t="n">
        <f aca="false">IF(C51&lt;0,0,C51+C56)</f>
        <v>0</v>
      </c>
      <c r="D59" s="515" t="n">
        <f aca="false">IF(D51&lt;0,0,D51+D56)</f>
        <v>0</v>
      </c>
      <c r="E59" s="515" t="n">
        <f aca="false">IF(E51&lt;0,0,E51+E56)</f>
        <v>0</v>
      </c>
      <c r="F59" s="515" t="n">
        <f aca="false">IF(F51&lt;0,0,F51+F56)</f>
        <v>0</v>
      </c>
      <c r="G59" s="515" t="n">
        <f aca="false">IF(G51&lt;0,0,G51+G56)</f>
        <v>0</v>
      </c>
      <c r="H59" s="515" t="n">
        <f aca="false">IF(H51&lt;0,0,H51+H56)</f>
        <v>0</v>
      </c>
      <c r="I59" s="515" t="n">
        <f aca="false">IF(I51&lt;0,0,I51+I56)</f>
        <v>0</v>
      </c>
      <c r="J59" s="515" t="n">
        <f aca="false">IF(J51&lt;0,0,J51+J56)</f>
        <v>0</v>
      </c>
      <c r="K59" s="515" t="n">
        <f aca="false">IF(K51&lt;0,0,K51+K56)</f>
        <v>0</v>
      </c>
      <c r="L59" s="515" t="n">
        <f aca="false">IF(L51&lt;0,0,L51+L56)</f>
        <v>0</v>
      </c>
      <c r="M59" s="515" t="n">
        <f aca="false">IF(M51&lt;0,0,M51+M56)</f>
        <v>0</v>
      </c>
      <c r="N59" s="515" t="n">
        <f aca="false">IF(N51&lt;0,0,N51+N56)</f>
        <v>0</v>
      </c>
      <c r="O59" s="515" t="n">
        <f aca="false">IF(O51&lt;0,0,O51+O56)</f>
        <v>0</v>
      </c>
      <c r="P59" s="515" t="n">
        <f aca="false">IF(P51&lt;0,0,P51+P56)</f>
        <v>0</v>
      </c>
      <c r="Q59" s="515" t="n">
        <f aca="false">IF(Q51&lt;0,0,Q51+Q56)</f>
        <v>0</v>
      </c>
      <c r="R59" s="515" t="n">
        <f aca="false">IF(R51&lt;0,0,R51+R56)</f>
        <v>0</v>
      </c>
      <c r="S59" s="515" t="n">
        <f aca="false">IF(S51&lt;0,0,S51+S56)</f>
        <v>0</v>
      </c>
      <c r="T59" s="515" t="n">
        <f aca="false">IF(T51&lt;0,0,T51+T56)</f>
        <v>0</v>
      </c>
      <c r="U59" s="515" t="n">
        <f aca="false">IF(U51&lt;0,0,U51+U56)</f>
        <v>0</v>
      </c>
      <c r="V59" s="515" t="n">
        <f aca="false">IF(V51&lt;0,0,V51+V56)</f>
        <v>0</v>
      </c>
      <c r="W59" s="515" t="n">
        <f aca="false">IF(W51&lt;0,0,W51+W56)</f>
        <v>0</v>
      </c>
    </row>
    <row r="60" customFormat="false" ht="12.75" hidden="false" customHeight="false" outlineLevel="0" collapsed="false">
      <c r="A60" s="553" t="n">
        <v>0.35</v>
      </c>
      <c r="B60" s="179" t="s">
        <v>276</v>
      </c>
      <c r="C60" s="555" t="n">
        <f aca="false">$A$60</f>
        <v>0.35</v>
      </c>
      <c r="D60" s="555" t="n">
        <f aca="false">$A$60</f>
        <v>0.35</v>
      </c>
      <c r="E60" s="555" t="n">
        <f aca="false">$A$60</f>
        <v>0.35</v>
      </c>
      <c r="F60" s="555" t="n">
        <f aca="false">$A$60</f>
        <v>0.35</v>
      </c>
      <c r="G60" s="555" t="n">
        <f aca="false">$A$60</f>
        <v>0.35</v>
      </c>
      <c r="H60" s="555" t="n">
        <f aca="false">$A$60</f>
        <v>0.35</v>
      </c>
      <c r="I60" s="555" t="n">
        <f aca="false">$A$60</f>
        <v>0.35</v>
      </c>
      <c r="J60" s="555" t="n">
        <f aca="false">$A$60</f>
        <v>0.35</v>
      </c>
      <c r="K60" s="555" t="n">
        <f aca="false">$A$60</f>
        <v>0.35</v>
      </c>
      <c r="L60" s="555" t="n">
        <f aca="false">$A$60</f>
        <v>0.35</v>
      </c>
      <c r="M60" s="555" t="n">
        <f aca="false">$A$60</f>
        <v>0.35</v>
      </c>
      <c r="N60" s="555" t="n">
        <f aca="false">$A$60</f>
        <v>0.35</v>
      </c>
      <c r="O60" s="555" t="n">
        <f aca="false">$A$60</f>
        <v>0.35</v>
      </c>
      <c r="P60" s="555" t="n">
        <f aca="false">$A$60</f>
        <v>0.35</v>
      </c>
      <c r="Q60" s="555" t="n">
        <f aca="false">$A$60</f>
        <v>0.35</v>
      </c>
      <c r="R60" s="555" t="n">
        <f aca="false">$A$60</f>
        <v>0.35</v>
      </c>
      <c r="S60" s="555" t="n">
        <f aca="false">$A$60</f>
        <v>0.35</v>
      </c>
      <c r="T60" s="555" t="n">
        <f aca="false">$A$60</f>
        <v>0.35</v>
      </c>
      <c r="U60" s="555" t="n">
        <f aca="false">$A$60</f>
        <v>0.35</v>
      </c>
      <c r="V60" s="555" t="n">
        <f aca="false">$A$60</f>
        <v>0.35</v>
      </c>
      <c r="W60" s="556" t="n">
        <f aca="false">$A$60</f>
        <v>0.35</v>
      </c>
    </row>
    <row r="61" customFormat="false" ht="12.75" hidden="false" customHeight="false" outlineLevel="0" collapsed="false">
      <c r="B61" s="179" t="s">
        <v>277</v>
      </c>
      <c r="C61" s="515" t="n">
        <f aca="false">C59*C60</f>
        <v>0</v>
      </c>
      <c r="D61" s="515" t="n">
        <f aca="false">D59*D60</f>
        <v>0</v>
      </c>
      <c r="E61" s="515" t="n">
        <f aca="false">E59*E60</f>
        <v>0</v>
      </c>
      <c r="F61" s="515" t="n">
        <f aca="false">F59*F60</f>
        <v>0</v>
      </c>
      <c r="G61" s="515" t="n">
        <f aca="false">G59*G60</f>
        <v>0</v>
      </c>
      <c r="H61" s="515" t="n">
        <f aca="false">H59*H60</f>
        <v>0</v>
      </c>
      <c r="I61" s="515" t="n">
        <f aca="false">I59*I60</f>
        <v>0</v>
      </c>
      <c r="J61" s="515" t="n">
        <f aca="false">J59*J60</f>
        <v>0</v>
      </c>
      <c r="K61" s="515" t="n">
        <f aca="false">K59*K60</f>
        <v>0</v>
      </c>
      <c r="L61" s="515" t="n">
        <f aca="false">L59*L60</f>
        <v>0</v>
      </c>
      <c r="M61" s="515" t="n">
        <f aca="false">M59*M60</f>
        <v>0</v>
      </c>
      <c r="N61" s="515" t="n">
        <f aca="false">N59*N60</f>
        <v>0</v>
      </c>
      <c r="O61" s="515" t="n">
        <f aca="false">O59*O60</f>
        <v>0</v>
      </c>
      <c r="P61" s="515" t="n">
        <f aca="false">P59*P60</f>
        <v>0</v>
      </c>
      <c r="Q61" s="515" t="n">
        <f aca="false">Q59*Q60</f>
        <v>0</v>
      </c>
      <c r="R61" s="515" t="n">
        <f aca="false">R59*R60</f>
        <v>0</v>
      </c>
      <c r="S61" s="515" t="n">
        <f aca="false">S59*S60</f>
        <v>0</v>
      </c>
      <c r="T61" s="515" t="n">
        <f aca="false">T59*T60</f>
        <v>0</v>
      </c>
      <c r="U61" s="515" t="n">
        <f aca="false">U59*U60</f>
        <v>0</v>
      </c>
      <c r="V61" s="515" t="n">
        <f aca="false">V59*V60</f>
        <v>0</v>
      </c>
      <c r="W61" s="515" t="n">
        <f aca="false">W59*W60</f>
        <v>0</v>
      </c>
      <c r="X61" s="515"/>
    </row>
    <row r="62" customFormat="false" ht="12.75" hidden="false" customHeight="false" outlineLevel="0" collapsed="false">
      <c r="C62" s="515"/>
      <c r="D62" s="515"/>
      <c r="E62" s="515"/>
      <c r="F62" s="515"/>
      <c r="G62" s="515"/>
      <c r="H62" s="515"/>
      <c r="I62" s="515"/>
      <c r="J62" s="515"/>
      <c r="K62" s="515"/>
      <c r="L62" s="515"/>
      <c r="M62" s="515"/>
      <c r="N62" s="515"/>
      <c r="O62" s="515"/>
      <c r="P62" s="515"/>
      <c r="Q62" s="515"/>
      <c r="R62" s="515"/>
      <c r="S62" s="515"/>
      <c r="T62" s="515"/>
      <c r="U62" s="515"/>
      <c r="V62" s="515"/>
      <c r="W62" s="515"/>
      <c r="X62" s="515"/>
    </row>
    <row r="63" customFormat="false" ht="12.75" hidden="false" customHeight="false" outlineLevel="0" collapsed="false">
      <c r="B63" s="552" t="s">
        <v>259</v>
      </c>
    </row>
    <row r="64" customFormat="false" ht="12.75" hidden="false" customHeight="false" outlineLevel="0" collapsed="false">
      <c r="A64" s="511" t="n">
        <v>45</v>
      </c>
      <c r="B64" s="179" t="s">
        <v>278</v>
      </c>
      <c r="C64" s="515" t="n">
        <f aca="false">(C14/365.25)*$A$64</f>
        <v>2124319.71440176</v>
      </c>
      <c r="D64" s="515" t="n">
        <f aca="false">(D14/365.25)*$A$64</f>
        <v>1868667.32100659</v>
      </c>
      <c r="E64" s="515" t="n">
        <f aca="false">(E14/365.25)*$A$64</f>
        <v>1772749.21756624</v>
      </c>
      <c r="F64" s="515" t="n">
        <f aca="false">(F14/365.25)*$A$64</f>
        <v>1728670.22854578</v>
      </c>
      <c r="G64" s="515" t="n">
        <f aca="false">(G14/365.25)*$A$64</f>
        <v>1736241.65788685</v>
      </c>
      <c r="H64" s="515" t="n">
        <f aca="false">(H14/365.25)*$A$64</f>
        <v>1731386.8364727</v>
      </c>
      <c r="I64" s="515" t="n">
        <f aca="false">(I14/365.25)*$A$64</f>
        <v>1708611.01712611</v>
      </c>
      <c r="J64" s="515" t="n">
        <f aca="false">(J14/365.25)*$A$64</f>
        <v>1720090.71102344</v>
      </c>
      <c r="K64" s="515" t="n">
        <f aca="false">(K14/365.25)*$A$64</f>
        <v>1762051.99699781</v>
      </c>
      <c r="L64" s="515" t="n">
        <f aca="false">(L14/365.25)*$A$64</f>
        <v>1762930.86939999</v>
      </c>
      <c r="M64" s="515" t="n">
        <f aca="false">(M14/365.25)*$A$64</f>
        <v>1736101.16136515</v>
      </c>
      <c r="N64" s="515" t="n">
        <f aca="false">(N14/365.25)*$A$64</f>
        <v>1735222.28896297</v>
      </c>
      <c r="O64" s="515" t="n">
        <f aca="false">(O14/365.25)*$A$64</f>
        <v>1762051.99699781</v>
      </c>
      <c r="P64" s="515" t="n">
        <f aca="false">(P14/365.25)*$A$64</f>
        <v>1762930.86939999</v>
      </c>
      <c r="Q64" s="515" t="n">
        <f aca="false">(Q14/365.25)*$A$64</f>
        <v>1736101.16136515</v>
      </c>
      <c r="R64" s="515" t="n">
        <f aca="false">(R14/365.25)*$A$64</f>
        <v>1735222.28896297</v>
      </c>
      <c r="S64" s="515" t="n">
        <f aca="false">(S14/365.25)*$A$64</f>
        <v>1762051.99699781</v>
      </c>
      <c r="T64" s="515" t="n">
        <f aca="false">(T14/365.25)*$A$64</f>
        <v>1762930.86939999</v>
      </c>
      <c r="U64" s="515" t="n">
        <f aca="false">(U14/365.25)*$A$64</f>
        <v>1736101.16136515</v>
      </c>
      <c r="V64" s="515" t="n">
        <f aca="false">(V14/365.25)*$A$64</f>
        <v>1735222.28896297</v>
      </c>
      <c r="W64" s="515" t="n">
        <f aca="false">(W14/365.25)*$A$64</f>
        <v>1762051.99699781</v>
      </c>
    </row>
    <row r="65" customFormat="false" ht="12.75" hidden="false" customHeight="false" outlineLevel="0" collapsed="false">
      <c r="A65" s="511" t="n">
        <v>30</v>
      </c>
      <c r="B65" s="179" t="s">
        <v>279</v>
      </c>
      <c r="C65" s="522" t="n">
        <f aca="false">(C15/365.25)*$A$65</f>
        <v>289398.976864999</v>
      </c>
      <c r="D65" s="522" t="n">
        <f aca="false">(D15/365.25)*$A$65</f>
        <v>504895.513987085</v>
      </c>
      <c r="E65" s="522" t="n">
        <f aca="false">(E15/365.25)*$A$65</f>
        <v>514665.333660234</v>
      </c>
      <c r="F65" s="522" t="n">
        <f aca="false">(F15/365.25)*$A$65</f>
        <v>505464.255420751</v>
      </c>
      <c r="G65" s="522" t="n">
        <f aca="false">(G15/365.25)*$A$65</f>
        <v>518181.122126756</v>
      </c>
      <c r="H65" s="522" t="n">
        <f aca="false">(H15/365.25)*$A$65</f>
        <v>530413.111091663</v>
      </c>
      <c r="I65" s="522" t="n">
        <f aca="false">(I15/365.25)*$A$65</f>
        <v>541932.064764984</v>
      </c>
      <c r="J65" s="522" t="n">
        <f aca="false">(J15/365.25)*$A$65</f>
        <v>554809.611556997</v>
      </c>
      <c r="K65" s="522" t="n">
        <f aca="false">(K15/365.25)*$A$65</f>
        <v>569321.620826258</v>
      </c>
      <c r="L65" s="522" t="n">
        <f aca="false">(L15/365.25)*$A$65</f>
        <v>583156.851011046</v>
      </c>
      <c r="M65" s="522" t="n">
        <f aca="false">(M15/365.25)*$A$65</f>
        <v>596015.620264627</v>
      </c>
      <c r="N65" s="522" t="n">
        <f aca="false">(N15/365.25)*$A$65</f>
        <v>610337.144813059</v>
      </c>
      <c r="O65" s="522" t="n">
        <f aca="false">(O15/365.25)*$A$65</f>
        <v>626503.426751102</v>
      </c>
      <c r="P65" s="522" t="n">
        <f aca="false">(P15/365.25)*$A$65</f>
        <v>641920.450820933</v>
      </c>
      <c r="Q65" s="522" t="n">
        <f aca="false">(Q15/365.25)*$A$65</f>
        <v>656221.925024738</v>
      </c>
      <c r="R65" s="522" t="n">
        <f aca="false">(R15/365.25)*$A$65</f>
        <v>672177.300009571</v>
      </c>
      <c r="S65" s="522" t="n">
        <f aca="false">(S15/365.25)*$A$65</f>
        <v>690219.826369653</v>
      </c>
      <c r="T65" s="522" t="n">
        <f aca="false">(T15/365.25)*$A$65</f>
        <v>707442.683101255</v>
      </c>
      <c r="U65" s="522" t="n">
        <f aca="false">(U15/365.25)*$A$65</f>
        <v>723390.297872458</v>
      </c>
      <c r="V65" s="522" t="n">
        <f aca="false">(V15/365.25)*$A$65</f>
        <v>740685.352854543</v>
      </c>
      <c r="W65" s="522" t="n">
        <f aca="false">(W15/365.25)*$A$65</f>
        <v>714476.544239102</v>
      </c>
    </row>
    <row r="66" customFormat="false" ht="12.75" hidden="false" customHeight="false" outlineLevel="0" collapsed="false">
      <c r="C66" s="515" t="n">
        <f aca="false">C64+C65</f>
        <v>2413718.69126675</v>
      </c>
      <c r="D66" s="515" t="n">
        <f aca="false">D64+D65</f>
        <v>2373562.83499367</v>
      </c>
      <c r="E66" s="515" t="n">
        <f aca="false">E64+E65</f>
        <v>2287414.55122647</v>
      </c>
      <c r="F66" s="515" t="n">
        <f aca="false">F64+F65</f>
        <v>2234134.48396653</v>
      </c>
      <c r="G66" s="515" t="n">
        <f aca="false">G64+G65</f>
        <v>2254422.78001361</v>
      </c>
      <c r="H66" s="515" t="n">
        <f aca="false">H64+H65</f>
        <v>2261799.94756437</v>
      </c>
      <c r="I66" s="515" t="n">
        <f aca="false">I64+I65</f>
        <v>2250543.08189109</v>
      </c>
      <c r="J66" s="515" t="n">
        <f aca="false">J64+J65</f>
        <v>2274900.32258044</v>
      </c>
      <c r="K66" s="515" t="n">
        <f aca="false">K64+K65</f>
        <v>2331373.61782406</v>
      </c>
      <c r="L66" s="515" t="n">
        <f aca="false">L64+L65</f>
        <v>2346087.72041103</v>
      </c>
      <c r="M66" s="515" t="n">
        <f aca="false">M64+M65</f>
        <v>2332116.78162978</v>
      </c>
      <c r="N66" s="515" t="n">
        <f aca="false">N64+N65</f>
        <v>2345559.43377603</v>
      </c>
      <c r="O66" s="515" t="n">
        <f aca="false">O64+O65</f>
        <v>2388555.42374891</v>
      </c>
      <c r="P66" s="515" t="n">
        <f aca="false">P64+P65</f>
        <v>2404851.32022092</v>
      </c>
      <c r="Q66" s="515" t="n">
        <f aca="false">Q64+Q65</f>
        <v>2392323.08638989</v>
      </c>
      <c r="R66" s="515" t="n">
        <f aca="false">R64+R65</f>
        <v>2407399.58897254</v>
      </c>
      <c r="S66" s="515" t="n">
        <f aca="false">S64+S65</f>
        <v>2452271.82336746</v>
      </c>
      <c r="T66" s="515" t="n">
        <f aca="false">T64+T65</f>
        <v>2470373.55250124</v>
      </c>
      <c r="U66" s="515" t="n">
        <f aca="false">U64+U65</f>
        <v>2459491.45923761</v>
      </c>
      <c r="V66" s="515" t="n">
        <f aca="false">V64+V65</f>
        <v>2475907.64181751</v>
      </c>
      <c r="W66" s="515" t="n">
        <f aca="false">W64+W65</f>
        <v>2476528.54123691</v>
      </c>
    </row>
    <row r="68" customFormat="false" ht="12.75" hidden="false" customHeight="false" outlineLevel="0" collapsed="false">
      <c r="C68" s="557" t="n">
        <v>0</v>
      </c>
      <c r="D68" s="557" t="n">
        <v>0</v>
      </c>
      <c r="E68" s="545" t="n">
        <f aca="false">E66-D66</f>
        <v>-86148.2837671968</v>
      </c>
      <c r="F68" s="545" t="n">
        <f aca="false">F66-E66</f>
        <v>-53280.0672599468</v>
      </c>
      <c r="G68" s="545" t="n">
        <f aca="false">G66-F66</f>
        <v>20288.2960470803</v>
      </c>
      <c r="H68" s="545" t="n">
        <f aca="false">H66-G66</f>
        <v>7377.16755075939</v>
      </c>
      <c r="I68" s="545" t="n">
        <f aca="false">I66-H66</f>
        <v>-11256.8656732771</v>
      </c>
      <c r="J68" s="545" t="n">
        <f aca="false">J66-I66</f>
        <v>24357.2406893452</v>
      </c>
      <c r="K68" s="545" t="n">
        <f aca="false">K66-J66</f>
        <v>56473.2952436279</v>
      </c>
      <c r="L68" s="545" t="n">
        <f aca="false">L66-K66</f>
        <v>14714.1025869697</v>
      </c>
      <c r="M68" s="545" t="n">
        <f aca="false">M66-L66</f>
        <v>-13970.9387812559</v>
      </c>
      <c r="N68" s="545" t="n">
        <f aca="false">N66-M66</f>
        <v>13442.6521462509</v>
      </c>
      <c r="O68" s="545" t="n">
        <f aca="false">O66-N66</f>
        <v>42995.9899728796</v>
      </c>
      <c r="P68" s="545" t="n">
        <f aca="false">P66-O66</f>
        <v>16295.8964720112</v>
      </c>
      <c r="Q68" s="545" t="n">
        <f aca="false">Q66-P66</f>
        <v>-12528.2338310303</v>
      </c>
      <c r="R68" s="545" t="n">
        <f aca="false">R66-Q66</f>
        <v>15076.5025826516</v>
      </c>
      <c r="S68" s="545" t="n">
        <f aca="false">S66-R66</f>
        <v>44872.2343949182</v>
      </c>
      <c r="T68" s="545" t="n">
        <f aca="false">T66-S66</f>
        <v>18101.7291337838</v>
      </c>
      <c r="U68" s="545" t="n">
        <f aca="false">U66-T66</f>
        <v>-10882.0932636345</v>
      </c>
      <c r="V68" s="545" t="n">
        <f aca="false">V66-U66</f>
        <v>16416.1825799043</v>
      </c>
      <c r="W68" s="546" t="n">
        <f aca="false">W66-V66</f>
        <v>620.899419395253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N368"/>
  <sheetViews>
    <sheetView showFormulas="false" showGridLines="true" showRowColHeaders="true" showZeros="true" rightToLeft="false" tabSelected="false" showOutlineSymbols="true" defaultGridColor="true" view="normal" topLeftCell="AN1" colorId="64" zoomScale="100" zoomScaleNormal="100" zoomScalePageLayoutView="100" workbookViewId="0">
      <selection pane="topLeft" activeCell="H11" activeCellId="0" sqref="H11"/>
    </sheetView>
  </sheetViews>
  <sheetFormatPr defaultColWidth="12.70703125" defaultRowHeight="15.75" customHeight="true" zeroHeight="false" outlineLevelRow="0" outlineLevelCol="0"/>
  <cols>
    <col collapsed="false" customWidth="true" hidden="false" outlineLevel="0" max="1" min="1" style="558" width="9.14"/>
    <col collapsed="false" customWidth="true" hidden="false" outlineLevel="0" max="2" min="2" style="559" width="11.85"/>
    <col collapsed="false" customWidth="true" hidden="false" outlineLevel="0" max="3" min="3" style="558" width="9.14"/>
    <col collapsed="false" customWidth="true" hidden="false" outlineLevel="0" max="4" min="4" style="558" width="9.56"/>
    <col collapsed="false" customWidth="true" hidden="false" outlineLevel="0" max="6" min="5" style="558" width="1.7"/>
    <col collapsed="false" customWidth="true" hidden="false" outlineLevel="0" max="7" min="7" style="558" width="18.28"/>
    <col collapsed="false" customWidth="true" hidden="false" outlineLevel="0" max="8" min="8" style="558" width="16.7"/>
    <col collapsed="false" customWidth="false" hidden="false" outlineLevel="0" max="32" min="9" style="558" width="12.7"/>
    <col collapsed="false" customWidth="true" hidden="false" outlineLevel="0" max="33" min="33" style="558" width="0.85"/>
    <col collapsed="false" customWidth="false" hidden="false" outlineLevel="0" max="34" min="34" style="558" width="12.7"/>
    <col collapsed="false" customWidth="true" hidden="false" outlineLevel="0" max="35" min="35" style="558" width="11.56"/>
    <col collapsed="false" customWidth="false" hidden="false" outlineLevel="0" max="36" min="36" style="388" width="12.7"/>
    <col collapsed="false" customWidth="false" hidden="false" outlineLevel="0" max="39" min="37" style="558" width="12.7"/>
    <col collapsed="false" customWidth="false" hidden="false" outlineLevel="0" max="40" min="40" style="388" width="12.7"/>
    <col collapsed="false" customWidth="false" hidden="false" outlineLevel="0" max="43" min="41" style="558" width="12.7"/>
    <col collapsed="false" customWidth="true" hidden="false" outlineLevel="0" max="44" min="44" style="558" width="33.28"/>
    <col collapsed="false" customWidth="false" hidden="false" outlineLevel="0" max="257" min="45" style="558" width="12.7"/>
  </cols>
  <sheetData>
    <row r="1" customFormat="false" ht="15.75" hidden="false" customHeight="false" outlineLevel="0" collapsed="false">
      <c r="A1" s="560" t="n">
        <v>36580</v>
      </c>
      <c r="B1" s="558"/>
      <c r="AD1" s="561"/>
      <c r="AP1" s="562" t="n">
        <f aca="false">AVERAGE(AM3:AM23)</f>
        <v>0.0871948497204745</v>
      </c>
      <c r="AS1" s="563" t="n">
        <f aca="false">SUMPRODUCT(AS18:BL18,AS12:BL12)/SUM(AS12:BL12)</f>
        <v>0.0874914976143929</v>
      </c>
    </row>
    <row r="2" customFormat="false" ht="15.75" hidden="false" customHeight="false" outlineLevel="0" collapsed="false">
      <c r="B2" s="558"/>
      <c r="AF2" s="564" t="s">
        <v>280</v>
      </c>
      <c r="AH2" s="565" t="s">
        <v>281</v>
      </c>
      <c r="AI2" s="566" t="s">
        <v>282</v>
      </c>
      <c r="AJ2" s="388" t="n">
        <v>118125000</v>
      </c>
      <c r="AM2" s="567" t="s">
        <v>283</v>
      </c>
      <c r="AN2" s="568" t="s">
        <v>284</v>
      </c>
      <c r="AO2" s="567" t="s">
        <v>211</v>
      </c>
      <c r="AP2" s="567"/>
      <c r="AV2" s="373"/>
      <c r="AW2" s="373"/>
      <c r="AX2" s="373"/>
      <c r="AY2" s="373"/>
    </row>
    <row r="3" customFormat="false" ht="15.75" hidden="false" customHeight="false" outlineLevel="0" collapsed="false">
      <c r="A3" s="569" t="s">
        <v>285</v>
      </c>
      <c r="B3" s="570"/>
      <c r="C3" s="571" t="n">
        <v>0.0225</v>
      </c>
      <c r="H3" s="558" t="n">
        <v>1</v>
      </c>
      <c r="I3" s="558" t="n">
        <f aca="false">H3+1</f>
        <v>2</v>
      </c>
      <c r="J3" s="558" t="n">
        <f aca="false">I3+1</f>
        <v>3</v>
      </c>
      <c r="K3" s="558" t="n">
        <f aca="false">J3+1</f>
        <v>4</v>
      </c>
      <c r="L3" s="558" t="n">
        <f aca="false">K3+1</f>
        <v>5</v>
      </c>
      <c r="M3" s="558" t="n">
        <f aca="false">L3+1</f>
        <v>6</v>
      </c>
      <c r="N3" s="558" t="n">
        <f aca="false">M3+1</f>
        <v>7</v>
      </c>
      <c r="O3" s="558" t="n">
        <f aca="false">N3+1</f>
        <v>8</v>
      </c>
      <c r="P3" s="558" t="n">
        <f aca="false">O3+1</f>
        <v>9</v>
      </c>
      <c r="Q3" s="558" t="n">
        <f aca="false">P3+1</f>
        <v>10</v>
      </c>
      <c r="R3" s="558" t="n">
        <f aca="false">Q3+1</f>
        <v>11</v>
      </c>
      <c r="S3" s="558" t="n">
        <f aca="false">R3+1</f>
        <v>12</v>
      </c>
      <c r="T3" s="558" t="n">
        <f aca="false">S3+1</f>
        <v>13</v>
      </c>
      <c r="U3" s="558" t="n">
        <f aca="false">T3+1</f>
        <v>14</v>
      </c>
      <c r="V3" s="558" t="n">
        <f aca="false">U3+1</f>
        <v>15</v>
      </c>
      <c r="W3" s="558" t="n">
        <f aca="false">V3+1</f>
        <v>16</v>
      </c>
      <c r="X3" s="558" t="n">
        <f aca="false">W3+1</f>
        <v>17</v>
      </c>
      <c r="Y3" s="558" t="n">
        <f aca="false">X3+1</f>
        <v>18</v>
      </c>
      <c r="Z3" s="558" t="n">
        <f aca="false">Y3+1</f>
        <v>19</v>
      </c>
      <c r="AA3" s="558" t="n">
        <f aca="false">Z3+1</f>
        <v>20</v>
      </c>
      <c r="AB3" s="558" t="n">
        <f aca="false">AA3+1</f>
        <v>21</v>
      </c>
      <c r="AD3" s="572"/>
      <c r="AE3" s="573" t="n">
        <f aca="false">AH3-30</f>
        <v>36861</v>
      </c>
      <c r="AF3" s="574" t="n">
        <f aca="false">VLOOKUP(AE3,'Revenues &amp; Expenses'!$K$9:$N$258,4)</f>
        <v>0.945334521362693</v>
      </c>
      <c r="AH3" s="575" t="n">
        <v>36891</v>
      </c>
      <c r="AI3" s="576" t="n">
        <v>0</v>
      </c>
      <c r="AJ3" s="388" t="n">
        <f aca="false">$AJ$2*AI3</f>
        <v>0</v>
      </c>
      <c r="AK3" s="577" t="n">
        <f aca="false">AJ2-AJ3</f>
        <v>118125000</v>
      </c>
      <c r="AM3" s="407" t="n">
        <f aca="false">VLOOKUP(AH3,$A$8:$C$246,3)+$C$3</f>
        <v>0.083794834601901</v>
      </c>
      <c r="AN3" s="388" t="n">
        <f aca="false">AM3*AK3</f>
        <v>9898264.83734956</v>
      </c>
      <c r="AO3" s="388"/>
      <c r="AP3" s="577"/>
      <c r="AR3" s="578" t="s">
        <v>286</v>
      </c>
      <c r="AS3" s="579"/>
      <c r="AT3" s="579"/>
      <c r="AU3" s="579"/>
      <c r="AV3" s="580"/>
      <c r="AW3" s="580"/>
      <c r="AX3" s="580"/>
      <c r="AY3" s="580"/>
      <c r="AZ3" s="579"/>
      <c r="BA3" s="579"/>
      <c r="BB3" s="581"/>
      <c r="BC3" s="579"/>
      <c r="BD3" s="579"/>
      <c r="BE3" s="579"/>
      <c r="BF3" s="579"/>
      <c r="BG3" s="581"/>
      <c r="BH3" s="579"/>
      <c r="BI3" s="579"/>
      <c r="BJ3" s="579"/>
      <c r="BK3" s="579"/>
      <c r="BL3" s="579"/>
      <c r="BM3" s="581"/>
      <c r="BN3" s="579"/>
      <c r="BO3" s="579"/>
      <c r="BP3" s="579"/>
      <c r="BQ3" s="581"/>
      <c r="BR3" s="579"/>
      <c r="BS3" s="579"/>
      <c r="BT3" s="579"/>
      <c r="BU3" s="579"/>
      <c r="BV3" s="579"/>
    </row>
    <row r="4" customFormat="false" ht="15.75" hidden="false" customHeight="false" outlineLevel="0" collapsed="false">
      <c r="B4" s="582"/>
      <c r="C4" s="373"/>
      <c r="AE4" s="573" t="n">
        <f aca="false">AH4-30</f>
        <v>37226.25</v>
      </c>
      <c r="AF4" s="574" t="n">
        <f aca="false">VLOOKUP(AE4,'Revenues &amp; Expenses'!$K$9:$N$258,4)</f>
        <v>0.879502651784524</v>
      </c>
      <c r="AH4" s="575" t="n">
        <f aca="false">AH3+365.25</f>
        <v>37256.25</v>
      </c>
      <c r="AI4" s="576" t="n">
        <v>0.015</v>
      </c>
      <c r="AJ4" s="388" t="n">
        <f aca="false">$AJ$2*AI4</f>
        <v>1771875</v>
      </c>
      <c r="AK4" s="577" t="n">
        <f aca="false">$AJ$2-SUM($AJ$3:AJ4)</f>
        <v>116353125</v>
      </c>
      <c r="AM4" s="407" t="n">
        <f aca="false">VLOOKUP(AH4,$A$8:$C$246,3)+$C$3</f>
        <v>0.086879877198238</v>
      </c>
      <c r="AN4" s="388" t="n">
        <f aca="false">AM4*AK3</f>
        <v>10262685.4940419</v>
      </c>
      <c r="AO4" s="388"/>
      <c r="AP4" s="577"/>
      <c r="AR4" s="579" t="s">
        <v>287</v>
      </c>
      <c r="AS4" s="583" t="n">
        <f aca="false">AJ2</f>
        <v>118125000</v>
      </c>
      <c r="AT4" s="579"/>
      <c r="AU4" s="579"/>
      <c r="AV4" s="579"/>
      <c r="AW4" s="579"/>
      <c r="AX4" s="579"/>
      <c r="AY4" s="579"/>
      <c r="AZ4" s="579"/>
      <c r="BA4" s="579"/>
      <c r="BB4" s="579"/>
      <c r="BC4" s="579"/>
      <c r="BD4" s="579"/>
      <c r="BE4" s="579"/>
      <c r="BF4" s="579"/>
      <c r="BG4" s="579"/>
      <c r="BH4" s="579"/>
      <c r="BI4" s="579"/>
      <c r="BJ4" s="579"/>
      <c r="BK4" s="579"/>
      <c r="BL4" s="579"/>
      <c r="BM4" s="581"/>
      <c r="BN4" s="579"/>
      <c r="BO4" s="579"/>
      <c r="BP4" s="579"/>
      <c r="BQ4" s="581"/>
      <c r="BR4" s="579"/>
      <c r="BS4" s="579"/>
      <c r="BT4" s="579"/>
      <c r="BU4" s="579"/>
      <c r="BV4" s="579"/>
    </row>
    <row r="5" customFormat="false" ht="16.5" hidden="false" customHeight="false" outlineLevel="0" collapsed="false">
      <c r="C5" s="379"/>
      <c r="H5" s="584" t="n">
        <v>36891</v>
      </c>
      <c r="I5" s="584" t="n">
        <f aca="false">H5+365.25</f>
        <v>37256.25</v>
      </c>
      <c r="J5" s="584" t="n">
        <f aca="false">I5+365.25</f>
        <v>37621.5</v>
      </c>
      <c r="K5" s="584" t="n">
        <f aca="false">J5+365.25</f>
        <v>37986.75</v>
      </c>
      <c r="L5" s="584" t="n">
        <f aca="false">K5+365.25</f>
        <v>38352</v>
      </c>
      <c r="M5" s="584" t="n">
        <f aca="false">L5+365.25</f>
        <v>38717.25</v>
      </c>
      <c r="N5" s="584" t="n">
        <f aca="false">M5+365.25</f>
        <v>39082.5</v>
      </c>
      <c r="O5" s="584" t="n">
        <f aca="false">N5+365.25</f>
        <v>39447.75</v>
      </c>
      <c r="P5" s="584" t="n">
        <f aca="false">O5+365.25</f>
        <v>39813</v>
      </c>
      <c r="Q5" s="584" t="n">
        <f aca="false">P5+365.25</f>
        <v>40178.25</v>
      </c>
      <c r="R5" s="584" t="n">
        <f aca="false">Q5+365.25</f>
        <v>40543.5</v>
      </c>
      <c r="S5" s="584" t="n">
        <f aca="false">R5+365.25</f>
        <v>40908.75</v>
      </c>
      <c r="T5" s="584" t="n">
        <f aca="false">S5+365.25</f>
        <v>41274</v>
      </c>
      <c r="U5" s="584" t="n">
        <f aca="false">T5+365.25</f>
        <v>41639.25</v>
      </c>
      <c r="V5" s="584" t="n">
        <f aca="false">U5+365.25</f>
        <v>42004.5</v>
      </c>
      <c r="W5" s="584" t="n">
        <f aca="false">V5+365.25</f>
        <v>42369.75</v>
      </c>
      <c r="X5" s="584" t="n">
        <f aca="false">W5+365.25</f>
        <v>42735</v>
      </c>
      <c r="Y5" s="584" t="n">
        <f aca="false">X5+365.25</f>
        <v>43100.25</v>
      </c>
      <c r="Z5" s="584" t="n">
        <f aca="false">Y5+365.25</f>
        <v>43465.5</v>
      </c>
      <c r="AA5" s="584" t="n">
        <f aca="false">Z5+365.25</f>
        <v>43830.75</v>
      </c>
      <c r="AB5" s="584" t="n">
        <f aca="false">AA5+365.25</f>
        <v>44196</v>
      </c>
      <c r="AC5" s="585"/>
      <c r="AE5" s="573" t="n">
        <f aca="false">AH5-30</f>
        <v>37591.5</v>
      </c>
      <c r="AF5" s="574" t="n">
        <f aca="false">VLOOKUP(AE5,'Revenues &amp; Expenses'!$K$9:$N$258,4)</f>
        <v>0.817337286416049</v>
      </c>
      <c r="AG5" s="585"/>
      <c r="AH5" s="575" t="n">
        <f aca="false">AH4+365.25</f>
        <v>37621.5</v>
      </c>
      <c r="AI5" s="576" t="n">
        <v>0.03</v>
      </c>
      <c r="AJ5" s="388" t="n">
        <f aca="false">$AJ$2*AI5</f>
        <v>3543750</v>
      </c>
      <c r="AK5" s="577" t="n">
        <f aca="false">$AJ$2-SUM($AJ$3:AJ5)</f>
        <v>112809375</v>
      </c>
      <c r="AM5" s="407" t="n">
        <f aca="false">VLOOKUP(AH5,$A$8:$C$246,3)+$C$3</f>
        <v>0.088644939848451</v>
      </c>
      <c r="AN5" s="388" t="n">
        <f aca="false">AM5*AK4</f>
        <v>10314115.7668043</v>
      </c>
      <c r="AO5" s="388"/>
      <c r="AP5" s="577"/>
      <c r="AR5" s="579" t="s">
        <v>288</v>
      </c>
      <c r="AS5" s="586" t="n">
        <f aca="false">AS1</f>
        <v>0.0874914976143929</v>
      </c>
      <c r="AT5" s="579"/>
      <c r="AU5" s="579"/>
      <c r="AV5" s="580"/>
      <c r="AW5" s="587"/>
      <c r="AX5" s="580"/>
      <c r="AY5" s="580"/>
      <c r="AZ5" s="579"/>
      <c r="BA5" s="579"/>
      <c r="BB5" s="581"/>
      <c r="BC5" s="579"/>
      <c r="BD5" s="579"/>
      <c r="BE5" s="579"/>
      <c r="BF5" s="579"/>
      <c r="BG5" s="581"/>
      <c r="BH5" s="579"/>
      <c r="BI5" s="579"/>
      <c r="BJ5" s="579"/>
      <c r="BK5" s="579"/>
      <c r="BL5" s="579"/>
      <c r="BM5" s="581"/>
      <c r="BN5" s="579"/>
      <c r="BO5" s="579"/>
      <c r="BP5" s="579"/>
      <c r="BQ5" s="581"/>
      <c r="BR5" s="579"/>
      <c r="BS5" s="579"/>
      <c r="BT5" s="579"/>
      <c r="BU5" s="579"/>
      <c r="BV5" s="579"/>
    </row>
    <row r="6" customFormat="false" ht="16.5" hidden="false" customHeight="false" outlineLevel="0" collapsed="false">
      <c r="A6" s="588"/>
      <c r="B6" s="589"/>
      <c r="C6" s="590" t="n">
        <v>36199</v>
      </c>
      <c r="G6" s="591" t="s">
        <v>289</v>
      </c>
      <c r="AE6" s="573" t="n">
        <f aca="false">AH6-30</f>
        <v>37956.75</v>
      </c>
      <c r="AF6" s="574" t="n">
        <f aca="false">VLOOKUP(AE6,'Revenues &amp; Expenses'!$K$9:$N$258,4)</f>
        <v>0.759617901104366</v>
      </c>
      <c r="AH6" s="575" t="n">
        <f aca="false">AH5+365.25</f>
        <v>37986.75</v>
      </c>
      <c r="AI6" s="576" t="n">
        <v>0.045</v>
      </c>
      <c r="AJ6" s="388" t="n">
        <f aca="false">$AJ$2*AI6</f>
        <v>5315625</v>
      </c>
      <c r="AK6" s="577" t="n">
        <f aca="false">$AJ$2-SUM($AJ$3:AJ6)</f>
        <v>107493750</v>
      </c>
      <c r="AM6" s="407" t="n">
        <f aca="false">VLOOKUP(AH6,$A$8:$C$246,3)+$C$3</f>
        <v>0.089026089068365</v>
      </c>
      <c r="AN6" s="388" t="n">
        <f aca="false">AM6*AK5</f>
        <v>10042977.4664966</v>
      </c>
      <c r="AO6" s="388"/>
      <c r="AP6" s="577"/>
      <c r="AR6" s="579" t="s">
        <v>290</v>
      </c>
      <c r="AS6" s="579" t="n">
        <v>20</v>
      </c>
      <c r="AT6" s="579"/>
      <c r="AU6" s="579"/>
      <c r="AV6" s="580"/>
      <c r="AW6" s="580"/>
      <c r="AX6" s="580"/>
      <c r="AY6" s="580"/>
      <c r="AZ6" s="579"/>
      <c r="BA6" s="579"/>
      <c r="BB6" s="581"/>
      <c r="BC6" s="579"/>
      <c r="BD6" s="579"/>
      <c r="BE6" s="579"/>
      <c r="BF6" s="579"/>
      <c r="BG6" s="581"/>
      <c r="BH6" s="579"/>
      <c r="BI6" s="579"/>
      <c r="BJ6" s="579"/>
      <c r="BK6" s="579"/>
      <c r="BL6" s="579"/>
      <c r="BM6" s="581"/>
      <c r="BN6" s="579"/>
      <c r="BO6" s="579"/>
      <c r="BP6" s="579"/>
      <c r="BQ6" s="581"/>
      <c r="BR6" s="579"/>
      <c r="BS6" s="579"/>
      <c r="BT6" s="579"/>
      <c r="BU6" s="579"/>
      <c r="BV6" s="579"/>
    </row>
    <row r="7" customFormat="false" ht="15.75" hidden="false" customHeight="false" outlineLevel="0" collapsed="false">
      <c r="A7" s="564" t="s">
        <v>291</v>
      </c>
      <c r="B7" s="592" t="s">
        <v>23</v>
      </c>
      <c r="C7" s="593" t="s">
        <v>217</v>
      </c>
      <c r="D7" s="564" t="s">
        <v>292</v>
      </c>
      <c r="G7" s="558" t="s">
        <v>293</v>
      </c>
      <c r="H7" s="594" t="n">
        <v>118125000</v>
      </c>
      <c r="I7" s="577" t="n">
        <f aca="false">H9</f>
        <v>118125000</v>
      </c>
      <c r="J7" s="577" t="n">
        <f aca="false">I9</f>
        <v>115750253.872263</v>
      </c>
      <c r="K7" s="577" t="n">
        <f aca="false">J9</f>
        <v>113167737.649356</v>
      </c>
      <c r="L7" s="577" t="n">
        <f aca="false">K9</f>
        <v>110359273.214494</v>
      </c>
      <c r="M7" s="577" t="n">
        <f aca="false">L9</f>
        <v>107305092.020229</v>
      </c>
      <c r="N7" s="577" t="n">
        <f aca="false">M9</f>
        <v>103983695.939291</v>
      </c>
      <c r="O7" s="577" t="n">
        <f aca="false">N9</f>
        <v>100371705.941062</v>
      </c>
      <c r="P7" s="577" t="n">
        <f aca="false">O9</f>
        <v>96443697.5285201</v>
      </c>
      <c r="Q7" s="577" t="n">
        <f aca="false">P9</f>
        <v>92172021.7773226</v>
      </c>
      <c r="R7" s="577" t="n">
        <f aca="false">Q9</f>
        <v>87526610.7173298</v>
      </c>
      <c r="S7" s="577" t="n">
        <f aca="false">R9</f>
        <v>82474765.6866637</v>
      </c>
      <c r="T7" s="577" t="n">
        <f aca="false">S9</f>
        <v>76980927.1685488</v>
      </c>
      <c r="U7" s="577" t="n">
        <f aca="false">T9</f>
        <v>71006424.4908324</v>
      </c>
      <c r="V7" s="577" t="n">
        <f aca="false">U9</f>
        <v>64509203.6263414</v>
      </c>
      <c r="W7" s="577" t="n">
        <f aca="false">V9</f>
        <v>57443531.1780845</v>
      </c>
      <c r="X7" s="577" t="n">
        <f aca="false">W9</f>
        <v>49759672.465677</v>
      </c>
      <c r="Y7" s="577" t="n">
        <f aca="false">X9</f>
        <v>41403541.4470635</v>
      </c>
      <c r="Z7" s="577" t="n">
        <f aca="false">Y9</f>
        <v>32316320.0113694</v>
      </c>
      <c r="AA7" s="577" t="n">
        <f aca="false">Z9</f>
        <v>22434043.9631129</v>
      </c>
      <c r="AB7" s="577" t="n">
        <f aca="false">AA9</f>
        <v>11687152.7835555</v>
      </c>
      <c r="AC7" s="577"/>
      <c r="AE7" s="573" t="n">
        <f aca="false">AH7-30</f>
        <v>38322</v>
      </c>
      <c r="AF7" s="574" t="n">
        <f aca="false">VLOOKUP(AE7,'Revenues &amp; Expenses'!$K$9:$N$258,4)</f>
        <v>0.705062750325475</v>
      </c>
      <c r="AG7" s="577"/>
      <c r="AH7" s="575" t="n">
        <f aca="false">AH6+365.25</f>
        <v>38352</v>
      </c>
      <c r="AI7" s="576" t="n">
        <v>0.064</v>
      </c>
      <c r="AJ7" s="388" t="n">
        <f aca="false">$AJ$2*AI7</f>
        <v>7560000</v>
      </c>
      <c r="AK7" s="577" t="n">
        <f aca="false">$AJ$2-SUM($AJ$3:AJ7)</f>
        <v>99933750</v>
      </c>
      <c r="AM7" s="407" t="n">
        <f aca="false">VLOOKUP(AH7,$A$8:$C$246,3)+$C$3</f>
        <v>0.088459695227423</v>
      </c>
      <c r="AN7" s="388" t="n">
        <f aca="false">AM7*AK6</f>
        <v>9508864.3638528</v>
      </c>
      <c r="AO7" s="388"/>
      <c r="AP7" s="577"/>
      <c r="AR7" s="579" t="s">
        <v>294</v>
      </c>
      <c r="AS7" s="595" t="n">
        <f aca="false">1/AS5-(1/(AS5*(1+AS5)^AS6))</f>
        <v>9.2940976216399</v>
      </c>
      <c r="AT7" s="579"/>
      <c r="AU7" s="579"/>
      <c r="AV7" s="580"/>
      <c r="AW7" s="580"/>
      <c r="AX7" s="580"/>
      <c r="AY7" s="580"/>
      <c r="AZ7" s="579"/>
      <c r="BA7" s="579"/>
      <c r="BB7" s="581"/>
      <c r="BC7" s="579"/>
      <c r="BD7" s="579"/>
      <c r="BE7" s="579"/>
      <c r="BF7" s="579"/>
      <c r="BG7" s="581"/>
      <c r="BH7" s="579"/>
      <c r="BI7" s="579"/>
      <c r="BJ7" s="579"/>
      <c r="BK7" s="579"/>
      <c r="BL7" s="579"/>
      <c r="BM7" s="580"/>
      <c r="BN7" s="596"/>
      <c r="BO7" s="596"/>
      <c r="BP7" s="596"/>
      <c r="BQ7" s="580"/>
      <c r="BR7" s="596"/>
      <c r="BS7" s="596"/>
      <c r="BT7" s="596"/>
      <c r="BU7" s="596"/>
      <c r="BV7" s="596"/>
      <c r="BW7" s="597"/>
      <c r="BX7" s="597"/>
      <c r="BY7" s="597"/>
      <c r="BZ7" s="597"/>
      <c r="CA7" s="597"/>
      <c r="CB7" s="597"/>
      <c r="CC7" s="597"/>
      <c r="CD7" s="597"/>
      <c r="CE7" s="597"/>
      <c r="CF7" s="597"/>
      <c r="CG7" s="597"/>
      <c r="CH7" s="597"/>
      <c r="CI7" s="597"/>
      <c r="CJ7" s="597"/>
      <c r="CK7" s="597"/>
      <c r="CL7" s="597"/>
      <c r="CM7" s="597"/>
      <c r="CN7" s="597"/>
      <c r="CO7" s="597"/>
      <c r="CP7" s="597"/>
      <c r="CQ7" s="597"/>
      <c r="CR7" s="597"/>
      <c r="CS7" s="597"/>
      <c r="CT7" s="597"/>
      <c r="CU7" s="597"/>
      <c r="CV7" s="597"/>
      <c r="CW7" s="597"/>
      <c r="CX7" s="597"/>
      <c r="CY7" s="597"/>
      <c r="CZ7" s="597"/>
      <c r="DA7" s="597"/>
      <c r="DB7" s="597"/>
      <c r="DC7" s="597"/>
      <c r="DD7" s="597"/>
      <c r="DE7" s="597"/>
      <c r="DF7" s="597"/>
      <c r="DG7" s="597"/>
      <c r="DH7" s="597"/>
      <c r="DI7" s="597"/>
      <c r="DJ7" s="597"/>
      <c r="DK7" s="597"/>
      <c r="DL7" s="597"/>
      <c r="DM7" s="597"/>
      <c r="DN7" s="597"/>
    </row>
    <row r="8" customFormat="false" ht="15.75" hidden="false" customHeight="false" outlineLevel="0" collapsed="false">
      <c r="A8" s="559" t="n">
        <v>36585</v>
      </c>
      <c r="B8" s="598" t="n">
        <v>36557</v>
      </c>
      <c r="C8" s="562" t="n">
        <f aca="false">'Revenues &amp; Expenses'!M8</f>
        <v>0</v>
      </c>
      <c r="D8" s="562" t="n">
        <f aca="false">C8+$C$3</f>
        <v>0.0225</v>
      </c>
      <c r="G8" s="558" t="s">
        <v>295</v>
      </c>
      <c r="H8" s="388" t="n">
        <v>0</v>
      </c>
      <c r="I8" s="388" t="n">
        <f aca="false">AS13</f>
        <v>2374746.12773708</v>
      </c>
      <c r="J8" s="388" t="n">
        <f aca="false">AT13</f>
        <v>2582516.22290678</v>
      </c>
      <c r="K8" s="388" t="n">
        <f aca="false">AU13</f>
        <v>2808464.43486236</v>
      </c>
      <c r="L8" s="388" t="n">
        <f aca="false">AV13</f>
        <v>3054181.19426523</v>
      </c>
      <c r="M8" s="388" t="n">
        <f aca="false">AW13</f>
        <v>3321396.08093721</v>
      </c>
      <c r="N8" s="388" t="n">
        <f aca="false">AX13</f>
        <v>3611989.99822898</v>
      </c>
      <c r="O8" s="388" t="n">
        <f aca="false">AY13</f>
        <v>3928008.41254224</v>
      </c>
      <c r="P8" s="388" t="n">
        <f aca="false">AZ13</f>
        <v>4271675.7511975</v>
      </c>
      <c r="Q8" s="388" t="n">
        <f aca="false">BA13</f>
        <v>4645411.05999285</v>
      </c>
      <c r="R8" s="388" t="n">
        <f aca="false">BB13</f>
        <v>5051845.03066609</v>
      </c>
      <c r="S8" s="388" t="n">
        <f aca="false">BC13</f>
        <v>5493838.5181149</v>
      </c>
      <c r="T8" s="388" t="n">
        <f aca="false">BD13</f>
        <v>5974502.67771641</v>
      </c>
      <c r="U8" s="388" t="n">
        <f aca="false">BE13</f>
        <v>6497220.86449102</v>
      </c>
      <c r="V8" s="388" t="n">
        <f aca="false">BF13</f>
        <v>7065672.44825681</v>
      </c>
      <c r="W8" s="388" t="n">
        <f aca="false">BG13</f>
        <v>7683858.71240756</v>
      </c>
      <c r="X8" s="388" t="n">
        <f aca="false">BH13</f>
        <v>8356131.0186135</v>
      </c>
      <c r="Y8" s="388" t="n">
        <f aca="false">BI13</f>
        <v>9087221.43569407</v>
      </c>
      <c r="Z8" s="388" t="n">
        <f aca="false">BJ13</f>
        <v>9882276.04825656</v>
      </c>
      <c r="AA8" s="388" t="n">
        <f aca="false">BK13</f>
        <v>10746891.1795574</v>
      </c>
      <c r="AB8" s="388" t="n">
        <f aca="false">BL13</f>
        <v>11687152.7835558</v>
      </c>
      <c r="AC8" s="388"/>
      <c r="AE8" s="573" t="n">
        <f aca="false">AH8-30</f>
        <v>38687.25</v>
      </c>
      <c r="AF8" s="574" t="n">
        <f aca="false">VLOOKUP(AE8,'Revenues &amp; Expenses'!$K$9:$N$258,4)</f>
        <v>0.654770132060224</v>
      </c>
      <c r="AG8" s="388"/>
      <c r="AH8" s="575" t="n">
        <f aca="false">AH7+365.25</f>
        <v>38717.25</v>
      </c>
      <c r="AI8" s="576" t="n">
        <v>0.038</v>
      </c>
      <c r="AJ8" s="388" t="n">
        <f aca="false">$AJ$2*AI8</f>
        <v>4488750</v>
      </c>
      <c r="AK8" s="577" t="n">
        <f aca="false">$AJ$2-SUM($AJ$3:AJ8)</f>
        <v>95445000</v>
      </c>
      <c r="AM8" s="407" t="n">
        <f aca="false">VLOOKUP(AH8,$A$8:$C$246,3)+$C$3</f>
        <v>0.088303851294265</v>
      </c>
      <c r="AN8" s="388" t="n">
        <f aca="false">AM8*AK7</f>
        <v>8824534.99927826</v>
      </c>
      <c r="AO8" s="388"/>
      <c r="AP8" s="577"/>
      <c r="AR8" s="579" t="s">
        <v>296</v>
      </c>
      <c r="AS8" s="583" t="n">
        <f aca="false">AS4/AS7</f>
        <v>12709679.2834372</v>
      </c>
      <c r="AT8" s="579"/>
      <c r="AU8" s="579"/>
      <c r="AV8" s="596"/>
      <c r="AW8" s="580"/>
      <c r="AX8" s="596"/>
      <c r="AY8" s="596"/>
      <c r="AZ8" s="579"/>
      <c r="BA8" s="579"/>
      <c r="BB8" s="581"/>
      <c r="BC8" s="579"/>
      <c r="BD8" s="579"/>
      <c r="BE8" s="579"/>
      <c r="BF8" s="579"/>
      <c r="BG8" s="581"/>
      <c r="BH8" s="579"/>
      <c r="BI8" s="579"/>
      <c r="BJ8" s="579"/>
      <c r="BK8" s="579"/>
      <c r="BL8" s="579"/>
      <c r="BM8" s="580"/>
      <c r="BN8" s="596"/>
      <c r="BO8" s="596"/>
      <c r="BP8" s="596"/>
      <c r="BQ8" s="580"/>
      <c r="BR8" s="596"/>
      <c r="BS8" s="596"/>
      <c r="BT8" s="596"/>
      <c r="BU8" s="596"/>
      <c r="BV8" s="596"/>
      <c r="BW8" s="597"/>
      <c r="BX8" s="597"/>
      <c r="BY8" s="597"/>
      <c r="BZ8" s="597"/>
      <c r="CA8" s="597"/>
      <c r="CB8" s="597"/>
      <c r="CC8" s="597"/>
      <c r="CD8" s="597"/>
      <c r="CE8" s="597"/>
      <c r="CF8" s="597"/>
      <c r="CG8" s="597"/>
      <c r="CH8" s="597"/>
      <c r="CI8" s="597"/>
      <c r="CJ8" s="597"/>
      <c r="CK8" s="597"/>
      <c r="CL8" s="597"/>
      <c r="CM8" s="597"/>
      <c r="CN8" s="597"/>
      <c r="CO8" s="597"/>
      <c r="CP8" s="597"/>
      <c r="CQ8" s="597"/>
      <c r="CR8" s="597"/>
      <c r="CS8" s="597"/>
      <c r="CT8" s="597"/>
      <c r="CU8" s="597"/>
      <c r="CV8" s="597"/>
      <c r="CW8" s="597"/>
      <c r="CX8" s="597"/>
      <c r="CY8" s="597"/>
      <c r="CZ8" s="597"/>
      <c r="DA8" s="597"/>
      <c r="DB8" s="597"/>
      <c r="DC8" s="597"/>
      <c r="DD8" s="597"/>
      <c r="DE8" s="597"/>
      <c r="DF8" s="597"/>
      <c r="DG8" s="597"/>
      <c r="DH8" s="597"/>
      <c r="DI8" s="597"/>
      <c r="DJ8" s="597"/>
      <c r="DK8" s="597"/>
      <c r="DL8" s="597"/>
      <c r="DM8" s="597"/>
      <c r="DN8" s="597"/>
    </row>
    <row r="9" customFormat="false" ht="15.75" hidden="false" customHeight="false" outlineLevel="0" collapsed="false">
      <c r="A9" s="559" t="n">
        <v>36616</v>
      </c>
      <c r="B9" s="598" t="n">
        <v>36586</v>
      </c>
      <c r="C9" s="562" t="n">
        <f aca="false">'Revenues &amp; Expenses'!M9</f>
        <v>0.058667181517753</v>
      </c>
      <c r="D9" s="562" t="n">
        <f aca="false">C9+$C$3</f>
        <v>0.081167181517753</v>
      </c>
      <c r="G9" s="558" t="s">
        <v>297</v>
      </c>
      <c r="H9" s="577" t="n">
        <f aca="false">H7-H8</f>
        <v>118125000</v>
      </c>
      <c r="I9" s="577" t="n">
        <f aca="false">I7-I8</f>
        <v>115750253.872263</v>
      </c>
      <c r="J9" s="577" t="n">
        <f aca="false">J7-J8</f>
        <v>113167737.649356</v>
      </c>
      <c r="K9" s="577" t="n">
        <f aca="false">K7-K8</f>
        <v>110359273.214494</v>
      </c>
      <c r="L9" s="577" t="n">
        <f aca="false">L7-L8</f>
        <v>107305092.020229</v>
      </c>
      <c r="M9" s="577" t="n">
        <f aca="false">M7-M8</f>
        <v>103983695.939291</v>
      </c>
      <c r="N9" s="577" t="n">
        <f aca="false">N7-N8</f>
        <v>100371705.941062</v>
      </c>
      <c r="O9" s="577" t="n">
        <f aca="false">O7-O8</f>
        <v>96443697.5285201</v>
      </c>
      <c r="P9" s="577" t="n">
        <f aca="false">P7-P8</f>
        <v>92172021.7773226</v>
      </c>
      <c r="Q9" s="577" t="n">
        <f aca="false">Q7-Q8</f>
        <v>87526610.7173298</v>
      </c>
      <c r="R9" s="577" t="n">
        <f aca="false">R7-R8</f>
        <v>82474765.6866637</v>
      </c>
      <c r="S9" s="577" t="n">
        <f aca="false">S7-S8</f>
        <v>76980927.1685488</v>
      </c>
      <c r="T9" s="577" t="n">
        <f aca="false">T7-T8</f>
        <v>71006424.4908324</v>
      </c>
      <c r="U9" s="577" t="n">
        <f aca="false">U7-U8</f>
        <v>64509203.6263414</v>
      </c>
      <c r="V9" s="577" t="n">
        <f aca="false">V7-V8</f>
        <v>57443531.1780845</v>
      </c>
      <c r="W9" s="577" t="n">
        <f aca="false">W7-W8</f>
        <v>49759672.465677</v>
      </c>
      <c r="X9" s="577" t="n">
        <f aca="false">X7-X8</f>
        <v>41403541.4470635</v>
      </c>
      <c r="Y9" s="577" t="n">
        <f aca="false">Y7-Y8</f>
        <v>32316320.0113694</v>
      </c>
      <c r="Z9" s="577" t="n">
        <f aca="false">Z7-Z8</f>
        <v>22434043.9631129</v>
      </c>
      <c r="AA9" s="577" t="n">
        <f aca="false">AA7-AA8</f>
        <v>11687152.7835555</v>
      </c>
      <c r="AB9" s="577" t="n">
        <f aca="false">AB7-AB8</f>
        <v>-2.62632966041565E-007</v>
      </c>
      <c r="AC9" s="577"/>
      <c r="AE9" s="573" t="n">
        <f aca="false">AH9-30</f>
        <v>39052.5</v>
      </c>
      <c r="AF9" s="574" t="n">
        <f aca="false">VLOOKUP(AE9,'Revenues &amp; Expenses'!$K$9:$N$258,4)</f>
        <v>0.608036196212576</v>
      </c>
      <c r="AG9" s="577"/>
      <c r="AH9" s="575" t="n">
        <f aca="false">AH8+365.25</f>
        <v>39082.5</v>
      </c>
      <c r="AI9" s="576" t="n">
        <v>0.078</v>
      </c>
      <c r="AJ9" s="388" t="n">
        <f aca="false">$AJ$2*AI9</f>
        <v>9213750</v>
      </c>
      <c r="AK9" s="577" t="n">
        <f aca="false">$AJ$2-SUM($AJ$3:AJ9)</f>
        <v>86231250</v>
      </c>
      <c r="AM9" s="407" t="n">
        <f aca="false">VLOOKUP(AH9,$A$8:$C$246,3)+$C$3</f>
        <v>0.088148007530096</v>
      </c>
      <c r="AN9" s="388" t="n">
        <f aca="false">AM9*AK8</f>
        <v>8413286.57871001</v>
      </c>
      <c r="AO9" s="388"/>
      <c r="AP9" s="577"/>
      <c r="AR9" s="579"/>
      <c r="AS9" s="579"/>
      <c r="AT9" s="579"/>
      <c r="AU9" s="579"/>
      <c r="AV9" s="596"/>
      <c r="AW9" s="580"/>
      <c r="AX9" s="596"/>
      <c r="AY9" s="596"/>
      <c r="AZ9" s="579"/>
      <c r="BA9" s="579"/>
      <c r="BB9" s="581"/>
      <c r="BC9" s="579"/>
      <c r="BD9" s="579"/>
      <c r="BE9" s="579"/>
      <c r="BF9" s="579"/>
      <c r="BG9" s="581"/>
      <c r="BH9" s="579"/>
      <c r="BI9" s="579"/>
      <c r="BJ9" s="579"/>
      <c r="BK9" s="579"/>
      <c r="BL9" s="579"/>
      <c r="BM9" s="580"/>
      <c r="BN9" s="596"/>
      <c r="BO9" s="596"/>
      <c r="BP9" s="596"/>
      <c r="BQ9" s="580"/>
      <c r="BR9" s="596"/>
      <c r="BS9" s="596"/>
      <c r="BT9" s="596"/>
      <c r="BU9" s="596"/>
      <c r="BV9" s="596"/>
      <c r="BW9" s="597"/>
      <c r="BX9" s="597"/>
      <c r="BY9" s="597"/>
      <c r="BZ9" s="597"/>
      <c r="CA9" s="597"/>
      <c r="CB9" s="597"/>
      <c r="CC9" s="597"/>
      <c r="CD9" s="597"/>
      <c r="CE9" s="597"/>
      <c r="CF9" s="597"/>
      <c r="CG9" s="597"/>
      <c r="CH9" s="597"/>
      <c r="CI9" s="597"/>
      <c r="CJ9" s="597"/>
      <c r="CK9" s="597"/>
      <c r="CL9" s="597"/>
      <c r="CM9" s="597"/>
      <c r="CN9" s="597"/>
      <c r="CO9" s="597"/>
      <c r="CP9" s="597"/>
      <c r="CQ9" s="597"/>
      <c r="CR9" s="597"/>
      <c r="CS9" s="597"/>
      <c r="CT9" s="597"/>
      <c r="CU9" s="597"/>
      <c r="CV9" s="597"/>
      <c r="CW9" s="597"/>
      <c r="CX9" s="597"/>
      <c r="CY9" s="597"/>
      <c r="CZ9" s="597"/>
      <c r="DA9" s="597"/>
      <c r="DB9" s="597"/>
      <c r="DC9" s="597"/>
      <c r="DD9" s="597"/>
      <c r="DE9" s="597"/>
      <c r="DF9" s="597"/>
      <c r="DG9" s="597"/>
      <c r="DH9" s="597"/>
      <c r="DI9" s="597"/>
      <c r="DJ9" s="597"/>
      <c r="DK9" s="597"/>
      <c r="DL9" s="597"/>
      <c r="DM9" s="597"/>
      <c r="DN9" s="597"/>
    </row>
    <row r="10" customFormat="false" ht="15.75" hidden="false" customHeight="false" outlineLevel="0" collapsed="false">
      <c r="A10" s="559" t="n">
        <v>36646</v>
      </c>
      <c r="B10" s="598" t="n">
        <v>36617</v>
      </c>
      <c r="C10" s="562" t="n">
        <f aca="false">'Revenues &amp; Expenses'!M10</f>
        <v>0.058863659044766</v>
      </c>
      <c r="D10" s="562" t="n">
        <f aca="false">C10+$C$3</f>
        <v>0.081363659044766</v>
      </c>
      <c r="AE10" s="573" t="n">
        <f aca="false">AH10-30</f>
        <v>39417.75</v>
      </c>
      <c r="AF10" s="574" t="n">
        <f aca="false">VLOOKUP(AE10,'Revenues &amp; Expenses'!$K$9:$N$258,4)</f>
        <v>0.564672709875958</v>
      </c>
      <c r="AH10" s="575" t="n">
        <f aca="false">AH9+365.25</f>
        <v>39447.75</v>
      </c>
      <c r="AI10" s="576" t="n">
        <v>0.075</v>
      </c>
      <c r="AJ10" s="388" t="n">
        <f aca="false">$AJ$2*AI10</f>
        <v>8859375</v>
      </c>
      <c r="AK10" s="577" t="n">
        <f aca="false">$AJ$2-SUM($AJ$3:AJ10)</f>
        <v>77371875</v>
      </c>
      <c r="AM10" s="407" t="n">
        <f aca="false">VLOOKUP(AH10,$A$8:$C$246,3)+$C$3</f>
        <v>0.087992163934928</v>
      </c>
      <c r="AN10" s="388" t="n">
        <f aca="false">AM10*AK9</f>
        <v>7587674.28631376</v>
      </c>
      <c r="AO10" s="388"/>
      <c r="AP10" s="577"/>
      <c r="AR10" s="579"/>
      <c r="AS10" s="599" t="n">
        <v>1</v>
      </c>
      <c r="AT10" s="599" t="n">
        <v>2</v>
      </c>
      <c r="AU10" s="599" t="n">
        <v>3</v>
      </c>
      <c r="AV10" s="599" t="n">
        <v>4</v>
      </c>
      <c r="AW10" s="600" t="n">
        <v>5</v>
      </c>
      <c r="AX10" s="599" t="n">
        <v>6</v>
      </c>
      <c r="AY10" s="599" t="n">
        <v>7</v>
      </c>
      <c r="AZ10" s="599" t="n">
        <v>8</v>
      </c>
      <c r="BA10" s="599" t="n">
        <v>9</v>
      </c>
      <c r="BB10" s="600" t="n">
        <v>10</v>
      </c>
      <c r="BC10" s="599" t="n">
        <v>11</v>
      </c>
      <c r="BD10" s="599" t="n">
        <v>12</v>
      </c>
      <c r="BE10" s="599" t="n">
        <v>13</v>
      </c>
      <c r="BF10" s="599" t="n">
        <v>14</v>
      </c>
      <c r="BG10" s="600" t="n">
        <v>15</v>
      </c>
      <c r="BH10" s="599" t="n">
        <v>16</v>
      </c>
      <c r="BI10" s="599" t="n">
        <v>17</v>
      </c>
      <c r="BJ10" s="599" t="n">
        <v>18</v>
      </c>
      <c r="BK10" s="599" t="n">
        <v>19</v>
      </c>
      <c r="BL10" s="599" t="n">
        <v>20</v>
      </c>
      <c r="BM10" s="601"/>
      <c r="BN10" s="602"/>
      <c r="BO10" s="602"/>
      <c r="BP10" s="602"/>
      <c r="BQ10" s="601"/>
      <c r="BR10" s="602"/>
      <c r="BS10" s="602"/>
      <c r="BT10" s="602"/>
      <c r="BU10" s="602"/>
      <c r="BV10" s="602"/>
      <c r="BW10" s="597"/>
      <c r="BX10" s="597"/>
      <c r="BY10" s="597"/>
      <c r="BZ10" s="597"/>
      <c r="CA10" s="597"/>
      <c r="CB10" s="597"/>
      <c r="CC10" s="597"/>
      <c r="CD10" s="597"/>
      <c r="CE10" s="597"/>
      <c r="CF10" s="597"/>
      <c r="CG10" s="597"/>
      <c r="CH10" s="597"/>
      <c r="CI10" s="597"/>
      <c r="CJ10" s="597"/>
      <c r="CK10" s="597"/>
      <c r="CL10" s="597"/>
      <c r="CM10" s="597"/>
      <c r="CN10" s="597"/>
      <c r="CO10" s="597"/>
      <c r="CP10" s="597"/>
      <c r="CQ10" s="597"/>
      <c r="CR10" s="597"/>
      <c r="CS10" s="597"/>
      <c r="CT10" s="597"/>
      <c r="CU10" s="597"/>
      <c r="CV10" s="597"/>
      <c r="CW10" s="597"/>
      <c r="CX10" s="597"/>
      <c r="CY10" s="597"/>
      <c r="CZ10" s="597"/>
      <c r="DA10" s="597"/>
      <c r="DB10" s="597"/>
      <c r="DC10" s="597"/>
      <c r="DD10" s="597"/>
      <c r="DE10" s="597"/>
      <c r="DF10" s="597"/>
      <c r="DG10" s="597"/>
      <c r="DH10" s="597"/>
      <c r="DI10" s="597"/>
      <c r="DJ10" s="597"/>
      <c r="DK10" s="597"/>
      <c r="DL10" s="597"/>
      <c r="DM10" s="597"/>
      <c r="DN10" s="597"/>
    </row>
    <row r="11" customFormat="false" ht="15.75" hidden="false" customHeight="false" outlineLevel="0" collapsed="false">
      <c r="A11" s="559" t="n">
        <v>36677</v>
      </c>
      <c r="B11" s="598" t="n">
        <v>36647</v>
      </c>
      <c r="C11" s="562" t="n">
        <f aca="false">'Revenues &amp; Expenses'!M11</f>
        <v>0.058863659044765</v>
      </c>
      <c r="D11" s="562" t="n">
        <f aca="false">C11+$C$3</f>
        <v>0.081363659044765</v>
      </c>
      <c r="G11" s="558" t="s">
        <v>298</v>
      </c>
      <c r="H11" s="407" t="n">
        <f aca="false">VLOOKUP(H5,$A$8:$D$246,4)</f>
        <v>0.083794834601901</v>
      </c>
      <c r="I11" s="407" t="n">
        <f aca="false">VLOOKUP(I5,$A$8:$D$246,4)</f>
        <v>0.086879877198238</v>
      </c>
      <c r="J11" s="407" t="n">
        <f aca="false">VLOOKUP(J5,$A$8:$D$246,4)</f>
        <v>0.088644939848451</v>
      </c>
      <c r="K11" s="407" t="n">
        <f aca="false">VLOOKUP(K5,$A$8:$D$246,4)</f>
        <v>0.089026089068365</v>
      </c>
      <c r="L11" s="407" t="n">
        <f aca="false">VLOOKUP(L5,$A$8:$D$246,4)</f>
        <v>0.088459695227423</v>
      </c>
      <c r="M11" s="407" t="n">
        <f aca="false">VLOOKUP(M5,$A$8:$D$246,4)</f>
        <v>0.088303851294265</v>
      </c>
      <c r="N11" s="407" t="n">
        <f aca="false">VLOOKUP(N5,$A$8:$D$246,4)</f>
        <v>0.088148007530096</v>
      </c>
      <c r="O11" s="407" t="n">
        <f aca="false">VLOOKUP(O5,$A$8:$D$246,4)</f>
        <v>0.087992163934928</v>
      </c>
      <c r="P11" s="407" t="n">
        <f aca="false">VLOOKUP(P5,$A$8:$D$246,4)</f>
        <v>0.087780999020832</v>
      </c>
      <c r="Q11" s="407" t="n">
        <f aca="false">VLOOKUP(Q5,$A$8:$D$246,4)</f>
        <v>0.086372881644976</v>
      </c>
      <c r="R11" s="407" t="n">
        <f aca="false">VLOOKUP(R5,$A$8:$D$246,4)</f>
        <v>0.086209103799484</v>
      </c>
      <c r="S11" s="407" t="n">
        <f aca="false">VLOOKUP(S5,$A$8:$D$246,4)</f>
        <v>0.086345827844272</v>
      </c>
      <c r="T11" s="407" t="n">
        <f aca="false">VLOOKUP(T5,$A$8:$D$246,4)</f>
        <v>0.08648292660621</v>
      </c>
      <c r="U11" s="407" t="n">
        <f aca="false">VLOOKUP(U5,$A$8:$D$246,4)</f>
        <v>0.086619650911728</v>
      </c>
      <c r="V11" s="407" t="n">
        <f aca="false">VLOOKUP(V5,$A$8:$D$246,4)</f>
        <v>0.086756375347421</v>
      </c>
      <c r="W11" s="407" t="n">
        <f aca="false">VLOOKUP(W5,$A$8:$D$246,4)</f>
        <v>0.08689309991328</v>
      </c>
      <c r="X11" s="407" t="n">
        <f aca="false">VLOOKUP(X5,$A$8:$D$246,4)</f>
        <v>0.087030199197684</v>
      </c>
      <c r="Y11" s="407" t="n">
        <f aca="false">VLOOKUP(Y5,$A$8:$D$246,4)</f>
        <v>0.087166924024206</v>
      </c>
      <c r="Z11" s="407" t="n">
        <f aca="false">VLOOKUP(Z5,$A$8:$D$246,4)</f>
        <v>0.08730364898087</v>
      </c>
      <c r="AA11" s="407" t="n">
        <f aca="false">VLOOKUP(AA5,$A$8:$D$246,4)</f>
        <v>0.087440374067667</v>
      </c>
      <c r="AB11" s="407" t="n">
        <f aca="false">VLOOKUP(AB5,$A$8:$D$246,4)</f>
        <v>0.087440374067667</v>
      </c>
      <c r="AC11" s="407"/>
      <c r="AE11" s="573" t="n">
        <f aca="false">AH11-30</f>
        <v>39783</v>
      </c>
      <c r="AF11" s="574" t="n">
        <f aca="false">VLOOKUP(AE11,'Revenues &amp; Expenses'!$K$9:$N$258,4)</f>
        <v>0.524215352419727</v>
      </c>
      <c r="AG11" s="407"/>
      <c r="AH11" s="575" t="n">
        <f aca="false">AH10+365.25</f>
        <v>39813</v>
      </c>
      <c r="AI11" s="576" t="n">
        <v>0.07</v>
      </c>
      <c r="AJ11" s="388" t="n">
        <f aca="false">$AJ$2*AI11</f>
        <v>8268750</v>
      </c>
      <c r="AK11" s="577" t="n">
        <f aca="false">$AJ$2-SUM($AJ$3:AJ11)</f>
        <v>69103125</v>
      </c>
      <c r="AM11" s="407" t="n">
        <f aca="false">VLOOKUP(AH11,$A$8:$C$246,3)+$C$3</f>
        <v>0.087780999020832</v>
      </c>
      <c r="AN11" s="388" t="n">
        <f aca="false">AM11*AK10</f>
        <v>6791780.48361494</v>
      </c>
      <c r="AO11" s="388"/>
      <c r="AP11" s="577"/>
      <c r="AR11" s="603"/>
      <c r="AS11" s="604" t="n">
        <v>2001</v>
      </c>
      <c r="AT11" s="604" t="n">
        <v>2002</v>
      </c>
      <c r="AU11" s="604" t="n">
        <v>2003</v>
      </c>
      <c r="AV11" s="604" t="n">
        <v>2004</v>
      </c>
      <c r="AW11" s="605" t="n">
        <v>2005</v>
      </c>
      <c r="AX11" s="604" t="n">
        <v>2006</v>
      </c>
      <c r="AY11" s="604" t="n">
        <v>2007</v>
      </c>
      <c r="AZ11" s="604" t="n">
        <v>2008</v>
      </c>
      <c r="BA11" s="604" t="n">
        <v>2009</v>
      </c>
      <c r="BB11" s="605" t="n">
        <v>2010</v>
      </c>
      <c r="BC11" s="604" t="n">
        <v>2011</v>
      </c>
      <c r="BD11" s="604" t="n">
        <v>2012</v>
      </c>
      <c r="BE11" s="604" t="n">
        <v>2013</v>
      </c>
      <c r="BF11" s="604" t="n">
        <v>2014</v>
      </c>
      <c r="BG11" s="605" t="n">
        <v>2015</v>
      </c>
      <c r="BH11" s="604" t="n">
        <v>2016</v>
      </c>
      <c r="BI11" s="604" t="n">
        <v>2017</v>
      </c>
      <c r="BJ11" s="604" t="n">
        <v>2018</v>
      </c>
      <c r="BK11" s="604" t="n">
        <v>2019</v>
      </c>
      <c r="BL11" s="604" t="n">
        <v>2020</v>
      </c>
      <c r="BM11" s="606"/>
      <c r="BN11" s="607"/>
      <c r="BO11" s="607"/>
      <c r="BP11" s="607"/>
      <c r="BQ11" s="606"/>
      <c r="BR11" s="607"/>
      <c r="BS11" s="607"/>
      <c r="BT11" s="607"/>
      <c r="BU11" s="607"/>
      <c r="BV11" s="607"/>
      <c r="BW11" s="597"/>
      <c r="BX11" s="597"/>
      <c r="BY11" s="597"/>
      <c r="BZ11" s="597"/>
      <c r="CA11" s="597"/>
      <c r="CB11" s="597"/>
      <c r="CC11" s="597"/>
      <c r="CD11" s="597"/>
      <c r="CE11" s="597"/>
      <c r="CF11" s="597"/>
      <c r="CG11" s="597"/>
      <c r="CH11" s="597"/>
      <c r="CI11" s="597"/>
      <c r="CJ11" s="597"/>
      <c r="CK11" s="597"/>
      <c r="CL11" s="597"/>
      <c r="CM11" s="597"/>
      <c r="CN11" s="597"/>
      <c r="CO11" s="597"/>
      <c r="CP11" s="597"/>
      <c r="CQ11" s="597"/>
      <c r="CR11" s="597"/>
      <c r="CS11" s="597"/>
      <c r="CT11" s="597"/>
      <c r="CU11" s="597"/>
      <c r="CV11" s="597"/>
      <c r="CW11" s="597"/>
      <c r="CX11" s="597"/>
      <c r="CY11" s="597"/>
      <c r="CZ11" s="597"/>
      <c r="DA11" s="597"/>
      <c r="DB11" s="597"/>
      <c r="DC11" s="597"/>
      <c r="DD11" s="597"/>
      <c r="DE11" s="597"/>
      <c r="DF11" s="597"/>
      <c r="DG11" s="597"/>
      <c r="DH11" s="597"/>
      <c r="DI11" s="597"/>
      <c r="DJ11" s="597"/>
      <c r="DK11" s="597"/>
      <c r="DL11" s="597"/>
      <c r="DM11" s="597"/>
      <c r="DN11" s="597"/>
    </row>
    <row r="12" customFormat="false" ht="15.75" hidden="false" customHeight="false" outlineLevel="0" collapsed="false">
      <c r="A12" s="559" t="n">
        <v>36707</v>
      </c>
      <c r="B12" s="598" t="n">
        <v>36678</v>
      </c>
      <c r="C12" s="562" t="n">
        <f aca="false">'Revenues &amp; Expenses'!M12</f>
        <v>0.058863659044765</v>
      </c>
      <c r="D12" s="562" t="n">
        <f aca="false">C12+$C$3</f>
        <v>0.081363659044765</v>
      </c>
      <c r="AE12" s="573" t="n">
        <f aca="false">AH12-30</f>
        <v>40148.25</v>
      </c>
      <c r="AF12" s="574" t="n">
        <f aca="false">VLOOKUP(AE12,'Revenues &amp; Expenses'!$K$9:$N$258,4)</f>
        <v>0.486589909345415</v>
      </c>
      <c r="AH12" s="575" t="n">
        <f aca="false">AH11+365.25</f>
        <v>40178.25</v>
      </c>
      <c r="AI12" s="576" t="n">
        <v>0.07</v>
      </c>
      <c r="AJ12" s="388" t="n">
        <f aca="false">$AJ$2*AI12</f>
        <v>8268750</v>
      </c>
      <c r="AK12" s="577" t="n">
        <f aca="false">$AJ$2-SUM($AJ$3:AJ12)</f>
        <v>60834375</v>
      </c>
      <c r="AM12" s="407" t="n">
        <f aca="false">VLOOKUP(AH12,$A$8:$C$246,3)+$C$3</f>
        <v>0.086372881644976</v>
      </c>
      <c r="AN12" s="388" t="n">
        <f aca="false">AM12*AK11</f>
        <v>5968636.03692298</v>
      </c>
      <c r="AO12" s="388"/>
      <c r="AP12" s="577"/>
      <c r="AR12" s="583" t="s">
        <v>293</v>
      </c>
      <c r="AS12" s="583" t="n">
        <f aca="false">AS4</f>
        <v>118125000</v>
      </c>
      <c r="AT12" s="583" t="n">
        <f aca="false">AS15</f>
        <v>115750253.872263</v>
      </c>
      <c r="AU12" s="583" t="n">
        <f aca="false">AT15</f>
        <v>113167737.649356</v>
      </c>
      <c r="AV12" s="583" t="n">
        <f aca="false">AU15</f>
        <v>110359273.214494</v>
      </c>
      <c r="AW12" s="583" t="n">
        <f aca="false">AV15</f>
        <v>107305092.020229</v>
      </c>
      <c r="AX12" s="583" t="n">
        <f aca="false">AW15</f>
        <v>103983695.939291</v>
      </c>
      <c r="AY12" s="583" t="n">
        <f aca="false">AX15</f>
        <v>100371705.941062</v>
      </c>
      <c r="AZ12" s="583" t="n">
        <f aca="false">AY15</f>
        <v>96443697.5285201</v>
      </c>
      <c r="BA12" s="583" t="n">
        <f aca="false">AZ15</f>
        <v>92172021.7773226</v>
      </c>
      <c r="BB12" s="583" t="n">
        <f aca="false">BA15</f>
        <v>87526610.7173298</v>
      </c>
      <c r="BC12" s="583" t="n">
        <f aca="false">BB15</f>
        <v>82474765.6866637</v>
      </c>
      <c r="BD12" s="583" t="n">
        <f aca="false">BC15</f>
        <v>76980927.1685488</v>
      </c>
      <c r="BE12" s="583" t="n">
        <f aca="false">BD15</f>
        <v>71006424.4908324</v>
      </c>
      <c r="BF12" s="583" t="n">
        <f aca="false">BE15</f>
        <v>64509203.6263414</v>
      </c>
      <c r="BG12" s="583" t="n">
        <f aca="false">BF15</f>
        <v>57443531.1780845</v>
      </c>
      <c r="BH12" s="583" t="n">
        <f aca="false">BG15</f>
        <v>49759672.465677</v>
      </c>
      <c r="BI12" s="583" t="n">
        <f aca="false">BH15</f>
        <v>41403541.4470635</v>
      </c>
      <c r="BJ12" s="583" t="n">
        <f aca="false">BI15</f>
        <v>32316320.0113694</v>
      </c>
      <c r="BK12" s="583" t="n">
        <f aca="false">BJ15</f>
        <v>22434043.9631129</v>
      </c>
      <c r="BL12" s="583" t="n">
        <f aca="false">BK15</f>
        <v>11687152.7835555</v>
      </c>
      <c r="BM12" s="583"/>
      <c r="BN12" s="583"/>
      <c r="BO12" s="583"/>
      <c r="BP12" s="583"/>
      <c r="BQ12" s="583"/>
      <c r="BR12" s="583"/>
      <c r="BS12" s="583"/>
      <c r="BT12" s="583"/>
      <c r="BU12" s="583"/>
      <c r="BV12" s="583"/>
      <c r="BW12" s="597"/>
      <c r="BX12" s="597"/>
      <c r="BY12" s="597"/>
      <c r="BZ12" s="597"/>
      <c r="CA12" s="597"/>
      <c r="CB12" s="597"/>
      <c r="CC12" s="597"/>
      <c r="CD12" s="597"/>
      <c r="CE12" s="597"/>
      <c r="CF12" s="597"/>
      <c r="CG12" s="597"/>
      <c r="CH12" s="597"/>
      <c r="CI12" s="597"/>
      <c r="CJ12" s="597"/>
      <c r="CK12" s="597"/>
      <c r="CL12" s="597"/>
      <c r="CM12" s="597"/>
      <c r="CN12" s="597"/>
      <c r="CO12" s="597"/>
      <c r="CP12" s="597"/>
      <c r="CQ12" s="597"/>
      <c r="CR12" s="597"/>
      <c r="CS12" s="597"/>
      <c r="CT12" s="597"/>
      <c r="CU12" s="597"/>
      <c r="CV12" s="597"/>
      <c r="CW12" s="597"/>
      <c r="CX12" s="597"/>
      <c r="CY12" s="597"/>
      <c r="CZ12" s="597"/>
      <c r="DA12" s="597"/>
      <c r="DB12" s="597"/>
      <c r="DC12" s="597"/>
      <c r="DD12" s="597"/>
      <c r="DE12" s="597"/>
      <c r="DF12" s="597"/>
      <c r="DG12" s="597"/>
      <c r="DH12" s="597"/>
      <c r="DI12" s="597"/>
      <c r="DJ12" s="597"/>
      <c r="DK12" s="597"/>
      <c r="DL12" s="597"/>
      <c r="DM12" s="597"/>
      <c r="DN12" s="597"/>
    </row>
    <row r="13" customFormat="false" ht="15.75" hidden="false" customHeight="false" outlineLevel="0" collapsed="false">
      <c r="A13" s="559" t="n">
        <v>36738</v>
      </c>
      <c r="B13" s="598" t="n">
        <v>36708</v>
      </c>
      <c r="C13" s="562" t="n">
        <f aca="false">'Revenues &amp; Expenses'!M13</f>
        <v>0.059501889247316</v>
      </c>
      <c r="D13" s="562" t="n">
        <f aca="false">C13+$C$3</f>
        <v>0.082001889247316</v>
      </c>
      <c r="G13" s="558" t="s">
        <v>299</v>
      </c>
      <c r="H13" s="388" t="n">
        <v>0</v>
      </c>
      <c r="I13" s="388" t="n">
        <f aca="false">AS14</f>
        <v>10334933.1557002</v>
      </c>
      <c r="J13" s="388" t="n">
        <f aca="false">AT14</f>
        <v>10127163.0605305</v>
      </c>
      <c r="K13" s="388" t="n">
        <f aca="false">AU14</f>
        <v>9901214.84857488</v>
      </c>
      <c r="L13" s="388" t="n">
        <f aca="false">AV14</f>
        <v>9655498.08917202</v>
      </c>
      <c r="M13" s="388" t="n">
        <f aca="false">AW14</f>
        <v>9388283.20250004</v>
      </c>
      <c r="N13" s="388" t="n">
        <f aca="false">AX14</f>
        <v>9097689.28520826</v>
      </c>
      <c r="O13" s="388" t="n">
        <f aca="false">AY14</f>
        <v>8781670.870895</v>
      </c>
      <c r="P13" s="388" t="n">
        <f aca="false">AZ14</f>
        <v>8438003.53223975</v>
      </c>
      <c r="Q13" s="388" t="n">
        <f aca="false">BA14</f>
        <v>8064268.22344439</v>
      </c>
      <c r="R13" s="388" t="n">
        <f aca="false">BB14</f>
        <v>7657834.25277115</v>
      </c>
      <c r="S13" s="388" t="n">
        <f aca="false">BC14</f>
        <v>7215840.76532235</v>
      </c>
      <c r="T13" s="388" t="n">
        <f aca="false">BD14</f>
        <v>6735176.60572084</v>
      </c>
      <c r="U13" s="388" t="n">
        <f aca="false">BE14</f>
        <v>6212458.41894623</v>
      </c>
      <c r="V13" s="388" t="n">
        <f aca="false">BF14</f>
        <v>5644006.83518043</v>
      </c>
      <c r="W13" s="388" t="n">
        <f aca="false">BG14</f>
        <v>5025820.57102969</v>
      </c>
      <c r="X13" s="388" t="n">
        <f aca="false">BH14</f>
        <v>4353548.26482375</v>
      </c>
      <c r="Y13" s="388" t="n">
        <f aca="false">BI14</f>
        <v>3622457.84774317</v>
      </c>
      <c r="Z13" s="388" t="n">
        <f aca="false">BJ14</f>
        <v>2827403.23518069</v>
      </c>
      <c r="AA13" s="388" t="n">
        <f aca="false">BK14</f>
        <v>1962788.10387987</v>
      </c>
      <c r="AB13" s="388" t="n">
        <f aca="false">BL14</f>
        <v>1022526.49988149</v>
      </c>
      <c r="AC13" s="388"/>
      <c r="AE13" s="573" t="n">
        <f aca="false">AH13-30</f>
        <v>40513.5</v>
      </c>
      <c r="AF13" s="574" t="n">
        <f aca="false">VLOOKUP(AE13,'Revenues &amp; Expenses'!$K$9:$N$258,4)</f>
        <v>0.452336378891516</v>
      </c>
      <c r="AG13" s="388"/>
      <c r="AH13" s="575" t="n">
        <f aca="false">AH12+365.25</f>
        <v>40543.5</v>
      </c>
      <c r="AI13" s="576" t="n">
        <v>0.065</v>
      </c>
      <c r="AJ13" s="388" t="n">
        <f aca="false">$AJ$2*AI13</f>
        <v>7678125</v>
      </c>
      <c r="AK13" s="577" t="n">
        <f aca="false">$AJ$2-SUM($AJ$3:AJ13)</f>
        <v>53156250</v>
      </c>
      <c r="AM13" s="407" t="n">
        <f aca="false">VLOOKUP(AH13,$A$8:$C$246,3)+$C$3</f>
        <v>0.086209103799484</v>
      </c>
      <c r="AN13" s="388" t="n">
        <f aca="false">AM13*AK12</f>
        <v>5244476.94895174</v>
      </c>
      <c r="AO13" s="388"/>
      <c r="AP13" s="577"/>
      <c r="AR13" s="583" t="s">
        <v>295</v>
      </c>
      <c r="AS13" s="583" t="n">
        <f aca="false">$AS$8-AS14</f>
        <v>2374746.12773708</v>
      </c>
      <c r="AT13" s="583" t="n">
        <f aca="false">$AS$8-AT14</f>
        <v>2582516.22290678</v>
      </c>
      <c r="AU13" s="583" t="n">
        <f aca="false">$AS$8-AU14</f>
        <v>2808464.43486236</v>
      </c>
      <c r="AV13" s="583" t="n">
        <f aca="false">$AS$8-AV14</f>
        <v>3054181.19426523</v>
      </c>
      <c r="AW13" s="583" t="n">
        <f aca="false">$AS$8-AW14</f>
        <v>3321396.08093721</v>
      </c>
      <c r="AX13" s="583" t="n">
        <f aca="false">$AS$8-AX14</f>
        <v>3611989.99822898</v>
      </c>
      <c r="AY13" s="583" t="n">
        <f aca="false">$AS$8-AY14</f>
        <v>3928008.41254224</v>
      </c>
      <c r="AZ13" s="583" t="n">
        <f aca="false">$AS$8-AZ14</f>
        <v>4271675.7511975</v>
      </c>
      <c r="BA13" s="583" t="n">
        <f aca="false">$AS$8-BA14</f>
        <v>4645411.05999285</v>
      </c>
      <c r="BB13" s="583" t="n">
        <f aca="false">$AS$8-BB14</f>
        <v>5051845.03066609</v>
      </c>
      <c r="BC13" s="583" t="n">
        <f aca="false">$AS$8-BC14</f>
        <v>5493838.5181149</v>
      </c>
      <c r="BD13" s="583" t="n">
        <f aca="false">$AS$8-BD14</f>
        <v>5974502.67771641</v>
      </c>
      <c r="BE13" s="583" t="n">
        <f aca="false">$AS$8-BE14</f>
        <v>6497220.86449102</v>
      </c>
      <c r="BF13" s="583" t="n">
        <f aca="false">$AS$8-BF14</f>
        <v>7065672.44825681</v>
      </c>
      <c r="BG13" s="583" t="n">
        <f aca="false">$AS$8-BG14</f>
        <v>7683858.71240756</v>
      </c>
      <c r="BH13" s="583" t="n">
        <f aca="false">$AS$8-BH14</f>
        <v>8356131.0186135</v>
      </c>
      <c r="BI13" s="583" t="n">
        <f aca="false">$AS$8-BI14</f>
        <v>9087221.43569407</v>
      </c>
      <c r="BJ13" s="583" t="n">
        <f aca="false">$AS$8-BJ14</f>
        <v>9882276.04825656</v>
      </c>
      <c r="BK13" s="583" t="n">
        <f aca="false">$AS$8-BK14</f>
        <v>10746891.1795574</v>
      </c>
      <c r="BL13" s="583" t="n">
        <f aca="false">$AS$8-BL14</f>
        <v>11687152.7835558</v>
      </c>
      <c r="BM13" s="583"/>
      <c r="BN13" s="583"/>
      <c r="BO13" s="583"/>
      <c r="BP13" s="583"/>
      <c r="BQ13" s="583"/>
      <c r="BR13" s="583"/>
      <c r="BS13" s="583"/>
      <c r="BT13" s="583"/>
      <c r="BU13" s="583"/>
      <c r="BV13" s="583"/>
      <c r="BW13" s="597"/>
      <c r="BX13" s="597"/>
      <c r="BY13" s="597"/>
      <c r="BZ13" s="597"/>
      <c r="CA13" s="597"/>
      <c r="CB13" s="597"/>
      <c r="CC13" s="597"/>
      <c r="CD13" s="597"/>
      <c r="CE13" s="597"/>
      <c r="CF13" s="597"/>
      <c r="CG13" s="597"/>
      <c r="CH13" s="597"/>
      <c r="CI13" s="597"/>
      <c r="CJ13" s="597"/>
      <c r="CK13" s="597"/>
      <c r="CL13" s="597"/>
      <c r="CM13" s="597"/>
      <c r="CN13" s="597"/>
      <c r="CO13" s="597"/>
      <c r="CP13" s="597"/>
      <c r="CQ13" s="597"/>
      <c r="CR13" s="597"/>
      <c r="CS13" s="597"/>
      <c r="CT13" s="597"/>
      <c r="CU13" s="597"/>
      <c r="CV13" s="597"/>
      <c r="CW13" s="597"/>
      <c r="CX13" s="597"/>
      <c r="CY13" s="597"/>
      <c r="CZ13" s="597"/>
      <c r="DA13" s="597"/>
      <c r="DB13" s="597"/>
      <c r="DC13" s="597"/>
      <c r="DD13" s="597"/>
      <c r="DE13" s="597"/>
      <c r="DF13" s="597"/>
      <c r="DG13" s="597"/>
      <c r="DH13" s="597"/>
      <c r="DI13" s="597"/>
      <c r="DJ13" s="597"/>
      <c r="DK13" s="597"/>
      <c r="DL13" s="597"/>
      <c r="DM13" s="597"/>
      <c r="DN13" s="597"/>
    </row>
    <row r="14" customFormat="false" ht="15.75" hidden="false" customHeight="false" outlineLevel="0" collapsed="false">
      <c r="A14" s="559" t="n">
        <v>36769</v>
      </c>
      <c r="B14" s="598" t="n">
        <v>36739</v>
      </c>
      <c r="C14" s="562" t="n">
        <f aca="false">'Revenues &amp; Expenses'!M14</f>
        <v>0.060184138469651</v>
      </c>
      <c r="D14" s="562" t="n">
        <f aca="false">C14+$C$3</f>
        <v>0.082684138469651</v>
      </c>
      <c r="AE14" s="573" t="n">
        <f aca="false">AH14-30</f>
        <v>40878.75</v>
      </c>
      <c r="AF14" s="574" t="n">
        <f aca="false">VLOOKUP(AE14,'Revenues &amp; Expenses'!$K$9:$N$258,4)</f>
        <v>0.420795823969066</v>
      </c>
      <c r="AH14" s="575" t="n">
        <f aca="false">AH13+365.25</f>
        <v>40908.75</v>
      </c>
      <c r="AI14" s="576" t="n">
        <v>0.06</v>
      </c>
      <c r="AJ14" s="388" t="n">
        <f aca="false">$AJ$2*AI14</f>
        <v>7087500</v>
      </c>
      <c r="AK14" s="577" t="n">
        <f aca="false">$AJ$2-SUM($AJ$3:AJ14)</f>
        <v>46068750</v>
      </c>
      <c r="AM14" s="407" t="n">
        <f aca="false">VLOOKUP(AH14,$A$8:$C$246,3)+$C$3</f>
        <v>0.086345827844272</v>
      </c>
      <c r="AN14" s="388" t="n">
        <f aca="false">AM14*AK13</f>
        <v>4589820.41134708</v>
      </c>
      <c r="AO14" s="388"/>
      <c r="AP14" s="577"/>
      <c r="AR14" s="583" t="s">
        <v>300</v>
      </c>
      <c r="AS14" s="583" t="n">
        <f aca="false">AS12*$AS$5</f>
        <v>10334933.1557002</v>
      </c>
      <c r="AT14" s="583" t="n">
        <f aca="false">AT12*$AS$5</f>
        <v>10127163.0605305</v>
      </c>
      <c r="AU14" s="583" t="n">
        <f aca="false">AU12*$AS$5</f>
        <v>9901214.84857488</v>
      </c>
      <c r="AV14" s="583" t="n">
        <f aca="false">AV12*$AS$5</f>
        <v>9655498.08917202</v>
      </c>
      <c r="AW14" s="583" t="n">
        <f aca="false">AW12*$AS$5</f>
        <v>9388283.20250004</v>
      </c>
      <c r="AX14" s="583" t="n">
        <f aca="false">AX12*$AS$5</f>
        <v>9097689.28520826</v>
      </c>
      <c r="AY14" s="583" t="n">
        <f aca="false">AY12*$AS$5</f>
        <v>8781670.870895</v>
      </c>
      <c r="AZ14" s="583" t="n">
        <f aca="false">AZ12*$AS$5</f>
        <v>8438003.53223975</v>
      </c>
      <c r="BA14" s="583" t="n">
        <f aca="false">BA12*$AS$5</f>
        <v>8064268.22344439</v>
      </c>
      <c r="BB14" s="583" t="n">
        <f aca="false">BB12*$AS$5</f>
        <v>7657834.25277115</v>
      </c>
      <c r="BC14" s="583" t="n">
        <f aca="false">BC12*$AS$5</f>
        <v>7215840.76532235</v>
      </c>
      <c r="BD14" s="583" t="n">
        <f aca="false">BD12*$AS$5</f>
        <v>6735176.60572084</v>
      </c>
      <c r="BE14" s="583" t="n">
        <f aca="false">BE12*$AS$5</f>
        <v>6212458.41894623</v>
      </c>
      <c r="BF14" s="583" t="n">
        <f aca="false">BF12*$AS$5</f>
        <v>5644006.83518043</v>
      </c>
      <c r="BG14" s="583" t="n">
        <f aca="false">BG12*$AS$5</f>
        <v>5025820.57102969</v>
      </c>
      <c r="BH14" s="583" t="n">
        <f aca="false">BH12*$AS$5</f>
        <v>4353548.26482375</v>
      </c>
      <c r="BI14" s="583" t="n">
        <f aca="false">BI12*$AS$5</f>
        <v>3622457.84774317</v>
      </c>
      <c r="BJ14" s="583" t="n">
        <f aca="false">BJ12*$AS$5</f>
        <v>2827403.23518069</v>
      </c>
      <c r="BK14" s="583" t="n">
        <f aca="false">BK12*$AS$5</f>
        <v>1962788.10387987</v>
      </c>
      <c r="BL14" s="583" t="n">
        <f aca="false">BL12*$AS$5</f>
        <v>1022526.49988149</v>
      </c>
      <c r="BM14" s="583"/>
      <c r="BN14" s="583"/>
      <c r="BO14" s="583"/>
      <c r="BP14" s="583"/>
      <c r="BQ14" s="583"/>
      <c r="BR14" s="583"/>
      <c r="BS14" s="583"/>
      <c r="BT14" s="583"/>
      <c r="BU14" s="583"/>
      <c r="BV14" s="583"/>
      <c r="BW14" s="597"/>
      <c r="BX14" s="597"/>
      <c r="BY14" s="597"/>
      <c r="BZ14" s="597"/>
      <c r="CA14" s="597"/>
      <c r="CB14" s="597"/>
      <c r="CC14" s="597"/>
      <c r="CD14" s="597"/>
      <c r="CE14" s="597"/>
      <c r="CF14" s="597"/>
      <c r="CG14" s="597"/>
      <c r="CH14" s="597"/>
      <c r="CI14" s="597"/>
      <c r="CJ14" s="597"/>
      <c r="CK14" s="597"/>
      <c r="CL14" s="597"/>
      <c r="CM14" s="597"/>
      <c r="CN14" s="597"/>
      <c r="CO14" s="597"/>
      <c r="CP14" s="597"/>
      <c r="CQ14" s="597"/>
      <c r="CR14" s="597"/>
      <c r="CS14" s="597"/>
      <c r="CT14" s="597"/>
      <c r="CU14" s="597"/>
      <c r="CV14" s="597"/>
      <c r="CW14" s="597"/>
      <c r="CX14" s="597"/>
      <c r="CY14" s="597"/>
      <c r="CZ14" s="597"/>
      <c r="DA14" s="597"/>
      <c r="DB14" s="597"/>
      <c r="DC14" s="597"/>
      <c r="DD14" s="597"/>
      <c r="DE14" s="597"/>
      <c r="DF14" s="597"/>
      <c r="DG14" s="597"/>
      <c r="DH14" s="597"/>
      <c r="DI14" s="597"/>
      <c r="DJ14" s="597"/>
      <c r="DK14" s="597"/>
      <c r="DL14" s="597"/>
      <c r="DM14" s="597"/>
      <c r="DN14" s="597"/>
    </row>
    <row r="15" customFormat="false" ht="15.75" hidden="false" customHeight="false" outlineLevel="0" collapsed="false">
      <c r="A15" s="559" t="n">
        <v>36799</v>
      </c>
      <c r="B15" s="598" t="n">
        <v>36770</v>
      </c>
      <c r="C15" s="562" t="n">
        <f aca="false">'Revenues &amp; Expenses'!M15</f>
        <v>0.060866390939501</v>
      </c>
      <c r="D15" s="562" t="n">
        <f aca="false">C15+$C$3</f>
        <v>0.083366390939501</v>
      </c>
      <c r="G15" s="558" t="s">
        <v>301</v>
      </c>
      <c r="H15" s="577" t="n">
        <f aca="false">H8+H13</f>
        <v>0</v>
      </c>
      <c r="I15" s="577" t="n">
        <f aca="false">I8+I13</f>
        <v>12709679.2834372</v>
      </c>
      <c r="J15" s="577" t="n">
        <f aca="false">J8+J13</f>
        <v>12709679.2834372</v>
      </c>
      <c r="K15" s="577" t="n">
        <f aca="false">K8+K13</f>
        <v>12709679.2834372</v>
      </c>
      <c r="L15" s="577" t="n">
        <f aca="false">L8+L13</f>
        <v>12709679.2834372</v>
      </c>
      <c r="M15" s="577" t="n">
        <f aca="false">M8+M13</f>
        <v>12709679.2834372</v>
      </c>
      <c r="N15" s="577" t="n">
        <f aca="false">N8+N13</f>
        <v>12709679.2834372</v>
      </c>
      <c r="O15" s="577" t="n">
        <f aca="false">O8+O13</f>
        <v>12709679.2834372</v>
      </c>
      <c r="P15" s="577" t="n">
        <f aca="false">P8+P13</f>
        <v>12709679.2834372</v>
      </c>
      <c r="Q15" s="577" t="n">
        <f aca="false">Q8+Q13</f>
        <v>12709679.2834372</v>
      </c>
      <c r="R15" s="577" t="n">
        <f aca="false">R8+R13</f>
        <v>12709679.2834372</v>
      </c>
      <c r="S15" s="577" t="n">
        <f aca="false">S8+S13</f>
        <v>12709679.2834372</v>
      </c>
      <c r="T15" s="577" t="n">
        <f aca="false">T8+T13</f>
        <v>12709679.2834372</v>
      </c>
      <c r="U15" s="577" t="n">
        <f aca="false">U8+U13</f>
        <v>12709679.2834372</v>
      </c>
      <c r="V15" s="577" t="n">
        <f aca="false">V8+V13</f>
        <v>12709679.2834372</v>
      </c>
      <c r="W15" s="577" t="n">
        <f aca="false">W8+W13</f>
        <v>12709679.2834372</v>
      </c>
      <c r="X15" s="577" t="n">
        <f aca="false">X8+X13</f>
        <v>12709679.2834372</v>
      </c>
      <c r="Y15" s="577" t="n">
        <f aca="false">Y8+Y13</f>
        <v>12709679.2834372</v>
      </c>
      <c r="Z15" s="577" t="n">
        <f aca="false">Z8+Z13</f>
        <v>12709679.2834372</v>
      </c>
      <c r="AA15" s="577" t="n">
        <f aca="false">AA8+AA13</f>
        <v>12709679.2834372</v>
      </c>
      <c r="AB15" s="577" t="n">
        <f aca="false">AB8+AB13</f>
        <v>12709679.2834372</v>
      </c>
      <c r="AE15" s="573" t="n">
        <f aca="false">AH15-30</f>
        <v>41244</v>
      </c>
      <c r="AF15" s="574" t="n">
        <f aca="false">VLOOKUP(AE15,'Revenues &amp; Expenses'!$K$9:$N$258,4)</f>
        <v>0.391423162757223</v>
      </c>
      <c r="AH15" s="575" t="n">
        <f aca="false">AH14+365.25</f>
        <v>41274</v>
      </c>
      <c r="AI15" s="576" t="n">
        <v>0.001</v>
      </c>
      <c r="AJ15" s="388" t="n">
        <f aca="false">$AJ$2*AI15</f>
        <v>118125</v>
      </c>
      <c r="AK15" s="577" t="n">
        <f aca="false">$AJ$2-SUM($AJ$3:AJ15)</f>
        <v>45950625</v>
      </c>
      <c r="AM15" s="407" t="n">
        <f aca="false">VLOOKUP(AH15,$A$8:$C$246,3)+$C$3</f>
        <v>0.08648292660621</v>
      </c>
      <c r="AN15" s="388" t="n">
        <f aca="false">AM15*AK14</f>
        <v>3984160.32508984</v>
      </c>
      <c r="AO15" s="388"/>
      <c r="AP15" s="577"/>
      <c r="AR15" s="583" t="s">
        <v>297</v>
      </c>
      <c r="AS15" s="583" t="n">
        <f aca="false">AS12-AS13</f>
        <v>115750253.872263</v>
      </c>
      <c r="AT15" s="583" t="n">
        <f aca="false">IF(AT12&lt;=0,0,AT12-AT13)</f>
        <v>113167737.649356</v>
      </c>
      <c r="AU15" s="583" t="n">
        <f aca="false">IF(AU12&lt;=0,0,AU12-AU13)</f>
        <v>110359273.214494</v>
      </c>
      <c r="AV15" s="583" t="n">
        <f aca="false">IF(AV12&lt;=0,0,AV12-AV13)</f>
        <v>107305092.020229</v>
      </c>
      <c r="AW15" s="583" t="n">
        <f aca="false">IF(AW12&lt;=0,0,AW12-AW13)</f>
        <v>103983695.939291</v>
      </c>
      <c r="AX15" s="583" t="n">
        <f aca="false">IF(AX12&lt;=0,0,AX12-AX13)</f>
        <v>100371705.941062</v>
      </c>
      <c r="AY15" s="583" t="n">
        <f aca="false">IF(AY12&lt;=0,0,AY12-AY13)</f>
        <v>96443697.5285201</v>
      </c>
      <c r="AZ15" s="583" t="n">
        <f aca="false">IF(AZ12&lt;=0,0,AZ12-AZ13)</f>
        <v>92172021.7773226</v>
      </c>
      <c r="BA15" s="583" t="n">
        <f aca="false">IF(BA12&lt;=0,0,BA12-BA13)</f>
        <v>87526610.7173298</v>
      </c>
      <c r="BB15" s="583" t="n">
        <f aca="false">IF(BB12&lt;=0,0,BB12-BB13)</f>
        <v>82474765.6866637</v>
      </c>
      <c r="BC15" s="583" t="n">
        <f aca="false">IF(BC12&lt;=0,0,BC12-BC13)</f>
        <v>76980927.1685488</v>
      </c>
      <c r="BD15" s="583" t="n">
        <f aca="false">IF(BD12&lt;=0,0,BD12-BD13)</f>
        <v>71006424.4908324</v>
      </c>
      <c r="BE15" s="583" t="n">
        <f aca="false">IF(BE12&lt;=0,0,BE12-BE13)</f>
        <v>64509203.6263414</v>
      </c>
      <c r="BF15" s="583" t="n">
        <f aca="false">IF(BF12&lt;=0,0,BF12-BF13)</f>
        <v>57443531.1780845</v>
      </c>
      <c r="BG15" s="583" t="n">
        <f aca="false">IF(BG12&lt;=0,0,BG12-BG13)</f>
        <v>49759672.465677</v>
      </c>
      <c r="BH15" s="583" t="n">
        <f aca="false">IF(BH12&lt;=0,0,BH12-BH13)</f>
        <v>41403541.4470635</v>
      </c>
      <c r="BI15" s="583" t="n">
        <f aca="false">IF(BI12&lt;=0,0,BI12-BI13)</f>
        <v>32316320.0113694</v>
      </c>
      <c r="BJ15" s="583" t="n">
        <f aca="false">IF(BJ12&lt;=0,0,BJ12-BJ13)</f>
        <v>22434043.9631129</v>
      </c>
      <c r="BK15" s="583" t="n">
        <f aca="false">IF(BK12&lt;=0,0,BK12-BK13)</f>
        <v>11687152.7835555</v>
      </c>
      <c r="BL15" s="583" t="n">
        <f aca="false">IF(BL12&lt;=0,0,BL12-BL13)</f>
        <v>-2.62632966041565E-007</v>
      </c>
      <c r="BM15" s="583"/>
      <c r="BN15" s="583"/>
      <c r="BO15" s="583"/>
      <c r="BP15" s="583"/>
      <c r="BQ15" s="583"/>
      <c r="BR15" s="583"/>
      <c r="BS15" s="583"/>
      <c r="BT15" s="583"/>
      <c r="BU15" s="583"/>
      <c r="BV15" s="583"/>
      <c r="BW15" s="597"/>
      <c r="BX15" s="597"/>
      <c r="BY15" s="597"/>
      <c r="BZ15" s="597"/>
      <c r="CA15" s="597"/>
      <c r="CB15" s="597"/>
      <c r="CC15" s="597"/>
      <c r="CD15" s="597"/>
      <c r="CE15" s="597"/>
      <c r="CF15" s="597"/>
      <c r="CG15" s="597"/>
      <c r="CH15" s="597"/>
      <c r="CI15" s="597"/>
      <c r="CJ15" s="597"/>
      <c r="CK15" s="597"/>
      <c r="CL15" s="597"/>
      <c r="CM15" s="597"/>
      <c r="CN15" s="597"/>
      <c r="CO15" s="597"/>
      <c r="CP15" s="597"/>
      <c r="CQ15" s="597"/>
      <c r="CR15" s="597"/>
      <c r="CS15" s="597"/>
      <c r="CT15" s="597"/>
      <c r="CU15" s="597"/>
      <c r="CV15" s="597"/>
      <c r="CW15" s="597"/>
      <c r="CX15" s="597"/>
      <c r="CY15" s="597"/>
      <c r="CZ15" s="597"/>
      <c r="DA15" s="597"/>
      <c r="DB15" s="597"/>
      <c r="DC15" s="597"/>
      <c r="DD15" s="597"/>
      <c r="DE15" s="597"/>
      <c r="DF15" s="597"/>
      <c r="DG15" s="597"/>
      <c r="DH15" s="597"/>
      <c r="DI15" s="597"/>
      <c r="DJ15" s="597"/>
      <c r="DK15" s="597"/>
      <c r="DL15" s="597"/>
      <c r="DM15" s="597"/>
      <c r="DN15" s="597"/>
    </row>
    <row r="16" customFormat="false" ht="15.75" hidden="false" customHeight="false" outlineLevel="0" collapsed="false">
      <c r="A16" s="559" t="n">
        <v>36830</v>
      </c>
      <c r="B16" s="598" t="n">
        <v>36800</v>
      </c>
      <c r="C16" s="562" t="n">
        <f aca="false">'Revenues &amp; Expenses'!M16</f>
        <v>0.061056155646</v>
      </c>
      <c r="D16" s="562" t="n">
        <f aca="false">C16+$C$3</f>
        <v>0.083556155646</v>
      </c>
      <c r="H16" s="608" t="s">
        <v>302</v>
      </c>
      <c r="I16" s="609" t="n">
        <f aca="false">I15/315000</f>
        <v>40.3481882013881</v>
      </c>
      <c r="J16" s="609" t="n">
        <f aca="false">J15/315000</f>
        <v>40.3481882013881</v>
      </c>
      <c r="K16" s="609" t="n">
        <f aca="false">K15/315000</f>
        <v>40.3481882013881</v>
      </c>
      <c r="L16" s="609" t="n">
        <f aca="false">L15/315000</f>
        <v>40.3481882013881</v>
      </c>
      <c r="M16" s="609" t="n">
        <f aca="false">M15/315000</f>
        <v>40.3481882013881</v>
      </c>
      <c r="N16" s="609" t="n">
        <f aca="false">N15/315000</f>
        <v>40.3481882013881</v>
      </c>
      <c r="O16" s="609" t="n">
        <f aca="false">O15/315000</f>
        <v>40.3481882013881</v>
      </c>
      <c r="P16" s="609" t="n">
        <f aca="false">P15/315000</f>
        <v>40.3481882013881</v>
      </c>
      <c r="Q16" s="609" t="n">
        <f aca="false">Q15/315000</f>
        <v>40.3481882013881</v>
      </c>
      <c r="R16" s="609" t="n">
        <f aca="false">R15/315000</f>
        <v>40.3481882013881</v>
      </c>
      <c r="S16" s="609" t="n">
        <f aca="false">S15/315000</f>
        <v>40.3481882013881</v>
      </c>
      <c r="T16" s="609" t="n">
        <f aca="false">T15/315000</f>
        <v>40.3481882013881</v>
      </c>
      <c r="U16" s="609" t="n">
        <f aca="false">U15/315000</f>
        <v>40.3481882013881</v>
      </c>
      <c r="V16" s="609" t="n">
        <f aca="false">V15/315000</f>
        <v>40.3481882013881</v>
      </c>
      <c r="W16" s="609" t="n">
        <f aca="false">W15/315000</f>
        <v>40.3481882013881</v>
      </c>
      <c r="X16" s="609" t="n">
        <f aca="false">X15/315000</f>
        <v>40.3481882013881</v>
      </c>
      <c r="Y16" s="609" t="n">
        <f aca="false">Y15/315000</f>
        <v>40.3481882013881</v>
      </c>
      <c r="Z16" s="609" t="n">
        <f aca="false">Z15/315000</f>
        <v>40.3481882013881</v>
      </c>
      <c r="AA16" s="609" t="n">
        <f aca="false">AA15/315000</f>
        <v>40.3481882013881</v>
      </c>
      <c r="AB16" s="609" t="n">
        <f aca="false">AB15/315000</f>
        <v>40.3481882013881</v>
      </c>
      <c r="AE16" s="573" t="n">
        <f aca="false">AH16-30</f>
        <v>41609.25</v>
      </c>
      <c r="AF16" s="574" t="n">
        <f aca="false">VLOOKUP(AE16,'Revenues &amp; Expenses'!$K$9:$N$258,4)</f>
        <v>0.364215598665446</v>
      </c>
      <c r="AH16" s="575" t="n">
        <f aca="false">AH15+365.25</f>
        <v>41639.25</v>
      </c>
      <c r="AI16" s="576" t="n">
        <v>0.043</v>
      </c>
      <c r="AJ16" s="388" t="n">
        <f aca="false">$AJ$2*AI16</f>
        <v>5079375</v>
      </c>
      <c r="AK16" s="577" t="n">
        <f aca="false">$AJ$2-SUM($AJ$3:AJ16)</f>
        <v>40871250</v>
      </c>
      <c r="AM16" s="407" t="n">
        <f aca="false">VLOOKUP(AH16,$A$8:$C$246,3)+$C$3</f>
        <v>0.086619650911728</v>
      </c>
      <c r="AN16" s="388" t="n">
        <f aca="false">AM16*AK15</f>
        <v>3980227.09667572</v>
      </c>
      <c r="AO16" s="388"/>
      <c r="AP16" s="577"/>
      <c r="AR16" s="579"/>
      <c r="AS16" s="579"/>
      <c r="AT16" s="579"/>
      <c r="AU16" s="579"/>
      <c r="AV16" s="579"/>
      <c r="AW16" s="581"/>
      <c r="AX16" s="579"/>
      <c r="AY16" s="579"/>
      <c r="AZ16" s="579"/>
      <c r="BA16" s="579"/>
      <c r="BB16" s="581"/>
      <c r="BC16" s="579"/>
      <c r="BD16" s="579"/>
      <c r="BE16" s="579"/>
      <c r="BF16" s="579"/>
      <c r="BG16" s="581"/>
      <c r="BH16" s="579"/>
      <c r="BI16" s="579"/>
      <c r="BJ16" s="579"/>
      <c r="BK16" s="579"/>
      <c r="BL16" s="579"/>
      <c r="BM16" s="580"/>
      <c r="BN16" s="596"/>
      <c r="BO16" s="596"/>
      <c r="BP16" s="596"/>
      <c r="BQ16" s="580"/>
      <c r="BR16" s="596"/>
      <c r="BS16" s="596"/>
      <c r="BT16" s="596"/>
      <c r="BU16" s="596"/>
      <c r="BV16" s="596"/>
      <c r="BW16" s="597"/>
      <c r="BX16" s="597"/>
      <c r="BY16" s="597"/>
      <c r="BZ16" s="597"/>
      <c r="CA16" s="597"/>
      <c r="CB16" s="597"/>
      <c r="CC16" s="597"/>
      <c r="CD16" s="597"/>
      <c r="CE16" s="597"/>
      <c r="CF16" s="597"/>
      <c r="CG16" s="597"/>
      <c r="CH16" s="597"/>
      <c r="CI16" s="597"/>
      <c r="CJ16" s="597"/>
      <c r="CK16" s="597"/>
      <c r="CL16" s="597"/>
      <c r="CM16" s="597"/>
      <c r="CN16" s="597"/>
      <c r="CO16" s="597"/>
      <c r="CP16" s="597"/>
      <c r="CQ16" s="597"/>
      <c r="CR16" s="597"/>
      <c r="CS16" s="597"/>
      <c r="CT16" s="597"/>
      <c r="CU16" s="597"/>
      <c r="CV16" s="597"/>
      <c r="CW16" s="597"/>
      <c r="CX16" s="597"/>
      <c r="CY16" s="597"/>
      <c r="CZ16" s="597"/>
      <c r="DA16" s="597"/>
      <c r="DB16" s="597"/>
      <c r="DC16" s="597"/>
      <c r="DD16" s="597"/>
      <c r="DE16" s="597"/>
      <c r="DF16" s="597"/>
      <c r="DG16" s="597"/>
      <c r="DH16" s="597"/>
      <c r="DI16" s="597"/>
      <c r="DJ16" s="597"/>
      <c r="DK16" s="597"/>
      <c r="DL16" s="597"/>
      <c r="DM16" s="597"/>
      <c r="DN16" s="597"/>
    </row>
    <row r="17" customFormat="false" ht="16.5" hidden="false" customHeight="false" outlineLevel="0" collapsed="false">
      <c r="A17" s="559" t="n">
        <v>36860</v>
      </c>
      <c r="B17" s="598" t="n">
        <v>36831</v>
      </c>
      <c r="C17" s="562" t="n">
        <f aca="false">'Revenues &amp; Expenses'!M17</f>
        <v>0.061177451459186</v>
      </c>
      <c r="D17" s="562" t="n">
        <f aca="false">C17+$C$3</f>
        <v>0.083677451459186</v>
      </c>
      <c r="AC17" s="388"/>
      <c r="AE17" s="573" t="n">
        <f aca="false">AH17-30</f>
        <v>41974.5</v>
      </c>
      <c r="AF17" s="574" t="n">
        <f aca="false">VLOOKUP(AE17,'Revenues &amp; Expenses'!$K$9:$N$258,4)</f>
        <v>0.338939007543146</v>
      </c>
      <c r="AG17" s="388"/>
      <c r="AH17" s="575" t="n">
        <f aca="false">AH16+365.25</f>
        <v>42004.5</v>
      </c>
      <c r="AI17" s="576" t="n">
        <v>0.05</v>
      </c>
      <c r="AJ17" s="388" t="n">
        <f aca="false">$AJ$2*AI17</f>
        <v>5906250</v>
      </c>
      <c r="AK17" s="577" t="n">
        <f aca="false">$AJ$2-SUM($AJ$3:AJ17)</f>
        <v>34965000</v>
      </c>
      <c r="AM17" s="407" t="n">
        <f aca="false">VLOOKUP(AH17,$A$8:$C$246,3)+$C$3</f>
        <v>0.086756375347421</v>
      </c>
      <c r="AN17" s="388" t="n">
        <f aca="false">AM17*AK16</f>
        <v>3545841.50591828</v>
      </c>
      <c r="AO17" s="388"/>
      <c r="AP17" s="577"/>
      <c r="AR17" s="579"/>
      <c r="AS17" s="579"/>
      <c r="AT17" s="579"/>
      <c r="AU17" s="579"/>
      <c r="AV17" s="579"/>
      <c r="AW17" s="581"/>
      <c r="AX17" s="579"/>
      <c r="AY17" s="579"/>
      <c r="AZ17" s="579"/>
      <c r="BA17" s="579"/>
      <c r="BB17" s="581"/>
      <c r="BC17" s="579"/>
      <c r="BD17" s="579"/>
      <c r="BE17" s="579"/>
      <c r="BF17" s="579"/>
      <c r="BG17" s="581"/>
      <c r="BH17" s="579"/>
      <c r="BI17" s="579"/>
      <c r="BJ17" s="579"/>
      <c r="BK17" s="579"/>
      <c r="BL17" s="579"/>
      <c r="BM17" s="580"/>
      <c r="BN17" s="596"/>
      <c r="BO17" s="596"/>
      <c r="BP17" s="596"/>
      <c r="BQ17" s="580"/>
      <c r="BR17" s="596"/>
      <c r="BS17" s="596"/>
      <c r="BT17" s="596"/>
      <c r="BU17" s="596"/>
      <c r="BV17" s="596"/>
      <c r="BW17" s="597"/>
      <c r="BX17" s="597"/>
      <c r="BY17" s="597"/>
      <c r="BZ17" s="597"/>
      <c r="CA17" s="597"/>
      <c r="CB17" s="597"/>
      <c r="CC17" s="597"/>
      <c r="CD17" s="597"/>
      <c r="CE17" s="597"/>
      <c r="CF17" s="597"/>
      <c r="CG17" s="597"/>
      <c r="CH17" s="597"/>
      <c r="CI17" s="597"/>
      <c r="CJ17" s="597"/>
      <c r="CK17" s="597"/>
      <c r="CL17" s="597"/>
      <c r="CM17" s="597"/>
      <c r="CN17" s="597"/>
      <c r="CO17" s="597"/>
      <c r="CP17" s="597"/>
      <c r="CQ17" s="597"/>
      <c r="CR17" s="597"/>
      <c r="CS17" s="597"/>
      <c r="CT17" s="597"/>
      <c r="CU17" s="597"/>
      <c r="CV17" s="597"/>
      <c r="CW17" s="597"/>
      <c r="CX17" s="597"/>
      <c r="CY17" s="597"/>
      <c r="CZ17" s="597"/>
      <c r="DA17" s="597"/>
      <c r="DB17" s="597"/>
      <c r="DC17" s="597"/>
      <c r="DD17" s="597"/>
      <c r="DE17" s="597"/>
      <c r="DF17" s="597"/>
      <c r="DG17" s="597"/>
      <c r="DH17" s="597"/>
      <c r="DI17" s="597"/>
      <c r="DJ17" s="597"/>
      <c r="DK17" s="597"/>
      <c r="DL17" s="597"/>
      <c r="DM17" s="597"/>
      <c r="DN17" s="597"/>
    </row>
    <row r="18" customFormat="false" ht="16.5" hidden="false" customHeight="false" outlineLevel="0" collapsed="false">
      <c r="A18" s="559" t="n">
        <v>36891</v>
      </c>
      <c r="B18" s="598" t="n">
        <v>36861</v>
      </c>
      <c r="C18" s="562" t="n">
        <f aca="false">'Revenues &amp; Expenses'!M18</f>
        <v>0.061294834601901</v>
      </c>
      <c r="D18" s="562" t="n">
        <f aca="false">C18+$C$3</f>
        <v>0.083794834601901</v>
      </c>
      <c r="G18" s="591" t="s">
        <v>303</v>
      </c>
      <c r="AD18" s="572"/>
      <c r="AE18" s="573" t="n">
        <f aca="false">AH18-30</f>
        <v>42339.75</v>
      </c>
      <c r="AF18" s="574" t="n">
        <f aca="false">VLOOKUP(AE18,'Revenues &amp; Expenses'!$K$9:$N$258,4)</f>
        <v>0.315453651409921</v>
      </c>
      <c r="AH18" s="575" t="n">
        <f aca="false">AH17+365.25</f>
        <v>42369.75</v>
      </c>
      <c r="AI18" s="576" t="n">
        <v>0.0485</v>
      </c>
      <c r="AJ18" s="388" t="n">
        <f aca="false">$AJ$2*AI18</f>
        <v>5729062.5</v>
      </c>
      <c r="AK18" s="577" t="n">
        <f aca="false">$AJ$2-SUM($AJ$3:AJ18)</f>
        <v>29235937.5</v>
      </c>
      <c r="AM18" s="407" t="n">
        <f aca="false">VLOOKUP(AH18,$A$8:$C$246,3)+$C$3</f>
        <v>0.08689309991328</v>
      </c>
      <c r="AN18" s="388" t="n">
        <f aca="false">AM18*AK17</f>
        <v>3038217.23846784</v>
      </c>
      <c r="AO18" s="388"/>
      <c r="AP18" s="577"/>
      <c r="AR18" s="579" t="s">
        <v>292</v>
      </c>
      <c r="AS18" s="610" t="n">
        <f aca="false">'Debt Amortization'!I11</f>
        <v>0.086879877198238</v>
      </c>
      <c r="AT18" s="610" t="n">
        <f aca="false">'Debt Amortization'!J11</f>
        <v>0.088644939848451</v>
      </c>
      <c r="AU18" s="610" t="n">
        <f aca="false">'Debt Amortization'!K11</f>
        <v>0.089026089068365</v>
      </c>
      <c r="AV18" s="610" t="n">
        <f aca="false">'Debt Amortization'!L11</f>
        <v>0.088459695227423</v>
      </c>
      <c r="AW18" s="610" t="n">
        <f aca="false">'Debt Amortization'!M11</f>
        <v>0.088303851294265</v>
      </c>
      <c r="AX18" s="610" t="n">
        <f aca="false">'Debt Amortization'!N11</f>
        <v>0.088148007530096</v>
      </c>
      <c r="AY18" s="610" t="n">
        <f aca="false">'Debt Amortization'!O11</f>
        <v>0.087992163934928</v>
      </c>
      <c r="AZ18" s="610" t="n">
        <f aca="false">'Debt Amortization'!P11</f>
        <v>0.087780999020832</v>
      </c>
      <c r="BA18" s="610" t="n">
        <f aca="false">'Debt Amortization'!Q11</f>
        <v>0.086372881644976</v>
      </c>
      <c r="BB18" s="610" t="n">
        <f aca="false">'Debt Amortization'!R11</f>
        <v>0.086209103799484</v>
      </c>
      <c r="BC18" s="610" t="n">
        <f aca="false">'Debt Amortization'!S11</f>
        <v>0.086345827844272</v>
      </c>
      <c r="BD18" s="610" t="n">
        <f aca="false">'Debt Amortization'!T11</f>
        <v>0.08648292660621</v>
      </c>
      <c r="BE18" s="610" t="n">
        <f aca="false">'Debt Amortization'!U11</f>
        <v>0.086619650911728</v>
      </c>
      <c r="BF18" s="610" t="n">
        <f aca="false">'Debt Amortization'!V11</f>
        <v>0.086756375347421</v>
      </c>
      <c r="BG18" s="610" t="n">
        <f aca="false">'Debt Amortization'!W11</f>
        <v>0.08689309991328</v>
      </c>
      <c r="BH18" s="610" t="n">
        <f aca="false">'Debt Amortization'!X11</f>
        <v>0.087030199197684</v>
      </c>
      <c r="BI18" s="610" t="n">
        <f aca="false">'Debt Amortization'!Y11</f>
        <v>0.087166924024206</v>
      </c>
      <c r="BJ18" s="610" t="n">
        <f aca="false">'Debt Amortization'!Z11</f>
        <v>0.08730364898087</v>
      </c>
      <c r="BK18" s="610" t="n">
        <f aca="false">'Debt Amortization'!AA11</f>
        <v>0.087440374067667</v>
      </c>
      <c r="BL18" s="610" t="n">
        <f aca="false">'Debt Amortization'!AB11</f>
        <v>0.087440374067667</v>
      </c>
      <c r="BM18" s="596"/>
      <c r="BN18" s="596"/>
      <c r="BO18" s="596"/>
      <c r="BP18" s="596"/>
      <c r="BQ18" s="596"/>
      <c r="BR18" s="596"/>
      <c r="BS18" s="596"/>
      <c r="BT18" s="596"/>
      <c r="BU18" s="596"/>
      <c r="BV18" s="596"/>
      <c r="BW18" s="597"/>
      <c r="BX18" s="597"/>
      <c r="BY18" s="597"/>
      <c r="BZ18" s="597"/>
      <c r="CA18" s="597"/>
      <c r="CB18" s="597"/>
      <c r="CC18" s="597"/>
      <c r="CD18" s="597"/>
      <c r="CE18" s="597"/>
      <c r="CF18" s="597"/>
      <c r="CG18" s="597"/>
      <c r="CH18" s="597"/>
      <c r="CI18" s="597"/>
      <c r="CJ18" s="597"/>
      <c r="CK18" s="597"/>
      <c r="CL18" s="597"/>
      <c r="CM18" s="597"/>
      <c r="CN18" s="597"/>
      <c r="CO18" s="597"/>
      <c r="CP18" s="597"/>
      <c r="CQ18" s="597"/>
      <c r="CR18" s="597"/>
      <c r="CS18" s="597"/>
      <c r="CT18" s="597"/>
      <c r="CU18" s="597"/>
      <c r="CV18" s="597"/>
      <c r="CW18" s="597"/>
      <c r="CX18" s="597"/>
      <c r="CY18" s="597"/>
      <c r="CZ18" s="597"/>
      <c r="DA18" s="597"/>
      <c r="DB18" s="597"/>
      <c r="DC18" s="597"/>
      <c r="DD18" s="597"/>
      <c r="DE18" s="597"/>
      <c r="DF18" s="597"/>
      <c r="DG18" s="597"/>
      <c r="DH18" s="597"/>
      <c r="DI18" s="597"/>
      <c r="DJ18" s="597"/>
      <c r="DK18" s="597"/>
      <c r="DL18" s="597"/>
      <c r="DM18" s="597"/>
      <c r="DN18" s="597"/>
    </row>
    <row r="19" customFormat="false" ht="15.75" hidden="false" customHeight="false" outlineLevel="0" collapsed="false">
      <c r="A19" s="559" t="n">
        <v>36922</v>
      </c>
      <c r="B19" s="598" t="n">
        <v>36892</v>
      </c>
      <c r="C19" s="562" t="n">
        <f aca="false">'Revenues &amp; Expenses'!M19</f>
        <v>0.061416130616978</v>
      </c>
      <c r="D19" s="562" t="n">
        <f aca="false">C19+$C$3</f>
        <v>0.083916130616978</v>
      </c>
      <c r="G19" s="558" t="s">
        <v>304</v>
      </c>
      <c r="H19" s="388" t="n">
        <f aca="false">AVERAGE(I15:M15)</f>
        <v>12709679.2834372</v>
      </c>
      <c r="I19" s="388" t="n">
        <f aca="false">AVERAGE(J15:N15)</f>
        <v>12709679.2834372</v>
      </c>
      <c r="J19" s="388" t="n">
        <f aca="false">AVERAGE(K15:O15)</f>
        <v>12709679.2834372</v>
      </c>
      <c r="K19" s="388" t="n">
        <f aca="false">AVERAGE(L15:P15)</f>
        <v>12709679.2834372</v>
      </c>
      <c r="L19" s="388" t="n">
        <f aca="false">AVERAGE(M15:Q15)</f>
        <v>12709679.2834372</v>
      </c>
      <c r="M19" s="388" t="n">
        <f aca="false">AVERAGE(N15:R15)</f>
        <v>12709679.2834372</v>
      </c>
      <c r="N19" s="388" t="n">
        <f aca="false">AVERAGE(O15:S15)</f>
        <v>12709679.2834372</v>
      </c>
      <c r="O19" s="388" t="n">
        <f aca="false">AVERAGE(P15:T15)</f>
        <v>12709679.2834372</v>
      </c>
      <c r="P19" s="388" t="n">
        <f aca="false">AVERAGE(Q15:U15)</f>
        <v>12709679.2834372</v>
      </c>
      <c r="Q19" s="388" t="n">
        <f aca="false">AVERAGE(R15:V15)</f>
        <v>12709679.2834372</v>
      </c>
      <c r="R19" s="388" t="n">
        <f aca="false">AVERAGE(S15:W15)</f>
        <v>12709679.2834372</v>
      </c>
      <c r="S19" s="388" t="n">
        <f aca="false">AVERAGE(T15:X15)</f>
        <v>12709679.2834372</v>
      </c>
      <c r="T19" s="388" t="n">
        <f aca="false">AVERAGE(U15:Y15)</f>
        <v>12709679.2834372</v>
      </c>
      <c r="U19" s="388" t="n">
        <f aca="false">AVERAGE(V15:Z15)</f>
        <v>12709679.2834372</v>
      </c>
      <c r="V19" s="388" t="n">
        <f aca="false">AVERAGE(W15:AA15)</f>
        <v>12709679.2834372</v>
      </c>
      <c r="W19" s="388" t="n">
        <f aca="false">AVERAGE(X15:AB15)</f>
        <v>12709679.2834372</v>
      </c>
      <c r="X19" s="388" t="n">
        <f aca="false">AVERAGE(Y15:AC15)</f>
        <v>12709679.2834372</v>
      </c>
      <c r="Y19" s="388" t="n">
        <f aca="false">AVERAGE(Z15:AE15)</f>
        <v>9542570.46257793</v>
      </c>
      <c r="Z19" s="388" t="n">
        <f aca="false">AVERAGE(AA15:AE15)</f>
        <v>8486867.5222915</v>
      </c>
      <c r="AA19" s="388" t="n">
        <f aca="false">AVERAGE(AB15:AF15)</f>
        <v>4250307.89162014</v>
      </c>
      <c r="AB19" s="388" t="n">
        <v>0</v>
      </c>
      <c r="AE19" s="573" t="n">
        <f aca="false">AH19-30</f>
        <v>42705</v>
      </c>
      <c r="AF19" s="574" t="n">
        <f aca="false">VLOOKUP(AE19,'Revenues &amp; Expenses'!$K$9:$N$258,4)</f>
        <v>0.293572471312034</v>
      </c>
      <c r="AH19" s="575" t="n">
        <f aca="false">AH18+365.25</f>
        <v>42735</v>
      </c>
      <c r="AI19" s="576" t="n">
        <v>0.046</v>
      </c>
      <c r="AJ19" s="388" t="n">
        <f aca="false">$AJ$2*AI19</f>
        <v>5433750</v>
      </c>
      <c r="AK19" s="577" t="n">
        <f aca="false">$AJ$2-SUM($AJ$3:AJ19)</f>
        <v>23802187.5</v>
      </c>
      <c r="AM19" s="407" t="n">
        <f aca="false">VLOOKUP(AH19,$A$8:$C$246,3)+$C$3</f>
        <v>0.087030199197684</v>
      </c>
      <c r="AN19" s="388" t="n">
        <f aca="false">AM19*AK18</f>
        <v>2544409.46435604</v>
      </c>
      <c r="AO19" s="388"/>
      <c r="AP19" s="577"/>
      <c r="AR19" s="611"/>
      <c r="AS19" s="579" t="n">
        <f aca="false">AS13+AS14</f>
        <v>12709679.2834372</v>
      </c>
      <c r="AT19" s="579" t="n">
        <f aca="false">AT13+AT14</f>
        <v>12709679.2834372</v>
      </c>
      <c r="AU19" s="579" t="n">
        <f aca="false">AU13+AU14</f>
        <v>12709679.2834372</v>
      </c>
      <c r="AV19" s="579" t="n">
        <f aca="false">AV13+AV14</f>
        <v>12709679.2834372</v>
      </c>
      <c r="AW19" s="579" t="n">
        <f aca="false">AW13+AW14</f>
        <v>12709679.2834372</v>
      </c>
      <c r="AX19" s="579" t="n">
        <f aca="false">AX13+AX14</f>
        <v>12709679.2834372</v>
      </c>
      <c r="AY19" s="579" t="n">
        <f aca="false">AY13+AY14</f>
        <v>12709679.2834372</v>
      </c>
      <c r="AZ19" s="579" t="n">
        <f aca="false">AZ13+AZ14</f>
        <v>12709679.2834372</v>
      </c>
      <c r="BA19" s="579" t="n">
        <f aca="false">BA13+BA14</f>
        <v>12709679.2834372</v>
      </c>
      <c r="BB19" s="579" t="n">
        <f aca="false">BB13+BB14</f>
        <v>12709679.2834372</v>
      </c>
      <c r="BC19" s="579" t="n">
        <f aca="false">BC13+BC14</f>
        <v>12709679.2834372</v>
      </c>
      <c r="BD19" s="579" t="n">
        <f aca="false">BD13+BD14</f>
        <v>12709679.2834372</v>
      </c>
      <c r="BE19" s="579" t="n">
        <f aca="false">BE13+BE14</f>
        <v>12709679.2834372</v>
      </c>
      <c r="BF19" s="579" t="n">
        <f aca="false">BF13+BF14</f>
        <v>12709679.2834372</v>
      </c>
      <c r="BG19" s="579" t="n">
        <f aca="false">BG13+BG14</f>
        <v>12709679.2834372</v>
      </c>
      <c r="BH19" s="579" t="n">
        <f aca="false">BH13+BH14</f>
        <v>12709679.2834372</v>
      </c>
      <c r="BI19" s="579" t="n">
        <f aca="false">BI13+BI14</f>
        <v>12709679.2834372</v>
      </c>
      <c r="BJ19" s="579" t="n">
        <f aca="false">BJ13+BJ14</f>
        <v>12709679.2834372</v>
      </c>
      <c r="BK19" s="579" t="n">
        <f aca="false">BK13+BK14</f>
        <v>12709679.2834372</v>
      </c>
      <c r="BL19" s="579" t="n">
        <f aca="false">BL13+BL14</f>
        <v>12709679.2834372</v>
      </c>
      <c r="BM19" s="580"/>
      <c r="BN19" s="596"/>
      <c r="BO19" s="596"/>
      <c r="BP19" s="596"/>
      <c r="BQ19" s="580"/>
      <c r="BR19" s="596"/>
      <c r="BS19" s="596"/>
      <c r="BT19" s="596"/>
      <c r="BU19" s="596"/>
      <c r="BV19" s="596"/>
      <c r="BW19" s="597"/>
      <c r="BX19" s="597"/>
      <c r="BY19" s="597"/>
      <c r="BZ19" s="597"/>
      <c r="CA19" s="597"/>
      <c r="CB19" s="597"/>
      <c r="CC19" s="597"/>
      <c r="CD19" s="597"/>
      <c r="CE19" s="597"/>
      <c r="CF19" s="597"/>
      <c r="CG19" s="597"/>
      <c r="CH19" s="597"/>
      <c r="CI19" s="597"/>
      <c r="CJ19" s="597"/>
      <c r="CK19" s="597"/>
      <c r="CL19" s="597"/>
      <c r="CM19" s="597"/>
      <c r="CN19" s="597"/>
      <c r="CO19" s="597"/>
      <c r="CP19" s="597"/>
      <c r="CQ19" s="597"/>
      <c r="CR19" s="597"/>
      <c r="CS19" s="597"/>
      <c r="CT19" s="597"/>
      <c r="CU19" s="597"/>
      <c r="CV19" s="597"/>
      <c r="CW19" s="597"/>
      <c r="CX19" s="597"/>
      <c r="CY19" s="597"/>
      <c r="CZ19" s="597"/>
      <c r="DA19" s="597"/>
      <c r="DB19" s="597"/>
      <c r="DC19" s="597"/>
      <c r="DD19" s="597"/>
      <c r="DE19" s="597"/>
      <c r="DF19" s="597"/>
      <c r="DG19" s="597"/>
      <c r="DH19" s="597"/>
      <c r="DI19" s="597"/>
      <c r="DJ19" s="597"/>
      <c r="DK19" s="597"/>
      <c r="DL19" s="597"/>
      <c r="DM19" s="597"/>
      <c r="DN19" s="597"/>
    </row>
    <row r="20" customFormat="false" ht="15.75" hidden="false" customHeight="false" outlineLevel="0" collapsed="false">
      <c r="A20" s="559" t="n">
        <v>36950</v>
      </c>
      <c r="B20" s="598" t="n">
        <v>36923</v>
      </c>
      <c r="C20" s="562" t="n">
        <f aca="false">'Revenues &amp; Expenses'!M20</f>
        <v>0.061537426734644</v>
      </c>
      <c r="D20" s="562" t="n">
        <f aca="false">C20+$C$3</f>
        <v>0.084037426734644</v>
      </c>
      <c r="G20" s="558" t="s">
        <v>305</v>
      </c>
      <c r="H20" s="612" t="n">
        <v>0.008</v>
      </c>
      <c r="I20" s="613" t="n">
        <v>0.008</v>
      </c>
      <c r="J20" s="613" t="n">
        <v>0.008</v>
      </c>
      <c r="K20" s="613" t="n">
        <v>0.008</v>
      </c>
      <c r="L20" s="613" t="n">
        <v>0.008</v>
      </c>
      <c r="M20" s="613" t="n">
        <v>0.008</v>
      </c>
      <c r="N20" s="613" t="n">
        <v>0.008</v>
      </c>
      <c r="O20" s="613" t="n">
        <v>0.008</v>
      </c>
      <c r="P20" s="613" t="n">
        <v>0.008</v>
      </c>
      <c r="Q20" s="613" t="n">
        <v>0.008</v>
      </c>
      <c r="R20" s="613" t="n">
        <v>0.008</v>
      </c>
      <c r="S20" s="613" t="n">
        <v>0.008</v>
      </c>
      <c r="T20" s="613" t="n">
        <v>0.008</v>
      </c>
      <c r="U20" s="613" t="n">
        <v>0.008</v>
      </c>
      <c r="V20" s="613" t="n">
        <v>0.008</v>
      </c>
      <c r="W20" s="613" t="n">
        <v>0.008</v>
      </c>
      <c r="X20" s="613" t="n">
        <v>0.008</v>
      </c>
      <c r="Y20" s="613" t="n">
        <v>0.008</v>
      </c>
      <c r="Z20" s="613" t="n">
        <v>0.008</v>
      </c>
      <c r="AA20" s="613" t="n">
        <v>0.008</v>
      </c>
      <c r="AB20" s="613" t="n">
        <v>0.008</v>
      </c>
      <c r="AE20" s="573" t="n">
        <f aca="false">AH20-30</f>
        <v>43070.25</v>
      </c>
      <c r="AF20" s="574" t="n">
        <f aca="false">VLOOKUP(AE20,'Revenues &amp; Expenses'!$K$9:$N$258,4)</f>
        <v>0.273294862689371</v>
      </c>
      <c r="AH20" s="575" t="n">
        <f aca="false">AH19+365.25</f>
        <v>43100.25</v>
      </c>
      <c r="AI20" s="576" t="n">
        <v>0.04</v>
      </c>
      <c r="AJ20" s="388" t="n">
        <f aca="false">$AJ$2*AI20</f>
        <v>4725000</v>
      </c>
      <c r="AK20" s="577" t="n">
        <f aca="false">$AJ$2-SUM($AJ$3:AJ20)</f>
        <v>19077187.5</v>
      </c>
      <c r="AM20" s="407" t="n">
        <f aca="false">VLOOKUP(AH20,$A$8:$C$246,3)+$C$3</f>
        <v>0.087166924024206</v>
      </c>
      <c r="AN20" s="388" t="n">
        <f aca="false">AM20*AK19</f>
        <v>2074763.46942241</v>
      </c>
      <c r="AO20" s="388"/>
      <c r="AP20" s="577"/>
      <c r="AR20" s="611"/>
      <c r="AS20" s="388"/>
      <c r="AT20" s="388"/>
      <c r="AU20" s="388"/>
      <c r="AV20" s="388"/>
      <c r="AW20" s="388"/>
      <c r="AX20" s="388"/>
      <c r="AY20" s="388"/>
      <c r="AZ20" s="388"/>
      <c r="BA20" s="388"/>
      <c r="BB20" s="388"/>
      <c r="BC20" s="388"/>
      <c r="BD20" s="388"/>
      <c r="BE20" s="388"/>
      <c r="BF20" s="388"/>
      <c r="BG20" s="388"/>
      <c r="BH20" s="388"/>
      <c r="BI20" s="388"/>
      <c r="BJ20" s="388"/>
      <c r="BK20" s="388"/>
      <c r="BL20" s="388"/>
      <c r="BM20" s="581"/>
      <c r="BN20" s="579"/>
      <c r="BO20" s="579"/>
      <c r="BP20" s="579"/>
      <c r="BQ20" s="581"/>
      <c r="BR20" s="579"/>
      <c r="BS20" s="579"/>
      <c r="BT20" s="579"/>
      <c r="BU20" s="579"/>
      <c r="BV20" s="579"/>
    </row>
    <row r="21" customFormat="false" ht="15.75" hidden="false" customHeight="false" outlineLevel="0" collapsed="false">
      <c r="A21" s="559" t="n">
        <v>36981</v>
      </c>
      <c r="B21" s="598" t="n">
        <v>36951</v>
      </c>
      <c r="C21" s="562" t="n">
        <f aca="false">'Revenues &amp; Expenses'!M21</f>
        <v>0.061646984606513</v>
      </c>
      <c r="D21" s="562" t="n">
        <f aca="false">C21+$C$3</f>
        <v>0.084146984606513</v>
      </c>
      <c r="H21" s="388" t="n">
        <v>0</v>
      </c>
      <c r="I21" s="388" t="n">
        <f aca="false">I19*I20</f>
        <v>101677.434267498</v>
      </c>
      <c r="J21" s="388" t="n">
        <f aca="false">J19*J20</f>
        <v>101677.434267498</v>
      </c>
      <c r="K21" s="388" t="n">
        <f aca="false">K19*K20</f>
        <v>101677.434267498</v>
      </c>
      <c r="L21" s="388" t="n">
        <f aca="false">L19*L20</f>
        <v>101677.434267498</v>
      </c>
      <c r="M21" s="388" t="n">
        <f aca="false">M19*M20</f>
        <v>101677.434267498</v>
      </c>
      <c r="N21" s="388" t="n">
        <f aca="false">N19*N20</f>
        <v>101677.434267498</v>
      </c>
      <c r="O21" s="388" t="n">
        <f aca="false">O19*O20</f>
        <v>101677.434267498</v>
      </c>
      <c r="P21" s="388" t="n">
        <f aca="false">P19*P20</f>
        <v>101677.434267498</v>
      </c>
      <c r="Q21" s="388" t="n">
        <f aca="false">Q19*Q20</f>
        <v>101677.434267498</v>
      </c>
      <c r="R21" s="388" t="n">
        <f aca="false">R19*R20</f>
        <v>101677.434267498</v>
      </c>
      <c r="S21" s="388" t="n">
        <f aca="false">S19*S20</f>
        <v>101677.434267498</v>
      </c>
      <c r="T21" s="388" t="n">
        <f aca="false">T19*T20</f>
        <v>101677.434267498</v>
      </c>
      <c r="U21" s="388" t="n">
        <f aca="false">U19*U20</f>
        <v>101677.434267498</v>
      </c>
      <c r="V21" s="388" t="n">
        <f aca="false">V19*V20</f>
        <v>101677.434267498</v>
      </c>
      <c r="W21" s="388" t="n">
        <f aca="false">W19*W20</f>
        <v>101677.434267498</v>
      </c>
      <c r="X21" s="388" t="n">
        <f aca="false">X19*X20</f>
        <v>101677.434267498</v>
      </c>
      <c r="Y21" s="388" t="n">
        <f aca="false">Y19*Y20</f>
        <v>76340.5637006235</v>
      </c>
      <c r="Z21" s="388" t="n">
        <f aca="false">Z19*Z20</f>
        <v>67894.940178332</v>
      </c>
      <c r="AA21" s="388" t="n">
        <f aca="false">AA19*AA20</f>
        <v>34002.4631329611</v>
      </c>
      <c r="AB21" s="388" t="n">
        <f aca="false">AB19*AB20</f>
        <v>0</v>
      </c>
      <c r="AE21" s="573" t="n">
        <f aca="false">AH21-30</f>
        <v>43435.5</v>
      </c>
      <c r="AF21" s="574" t="n">
        <f aca="false">VLOOKUP(AE21,'Revenues &amp; Expenses'!$K$9:$N$258,4)</f>
        <v>0.25444774583403</v>
      </c>
      <c r="AH21" s="575" t="n">
        <f aca="false">AH20+365.25</f>
        <v>43465.5</v>
      </c>
      <c r="AI21" s="576" t="n">
        <v>0.05</v>
      </c>
      <c r="AJ21" s="388" t="n">
        <f aca="false">$AJ$2*AI21</f>
        <v>5906250</v>
      </c>
      <c r="AK21" s="577" t="n">
        <f aca="false">$AJ$2-SUM($AJ$3:AJ21)</f>
        <v>13170937.5</v>
      </c>
      <c r="AM21" s="407" t="n">
        <f aca="false">VLOOKUP(AH21,$A$8:$C$246,3)+$C$3</f>
        <v>0.08730364898087</v>
      </c>
      <c r="AN21" s="388" t="n">
        <f aca="false">AM21*AK20</f>
        <v>1665508.08104224</v>
      </c>
      <c r="AO21" s="388"/>
      <c r="AP21" s="577"/>
      <c r="AR21" s="611" t="s">
        <v>306</v>
      </c>
      <c r="AS21" s="614" t="n">
        <f aca="false">AS19/315000</f>
        <v>40.3481882013881</v>
      </c>
      <c r="AT21" s="615" t="n">
        <f aca="false">AT19/315000</f>
        <v>40.3481882013881</v>
      </c>
      <c r="AU21" s="615" t="n">
        <f aca="false">AU19/315000</f>
        <v>40.3481882013881</v>
      </c>
      <c r="AV21" s="615" t="n">
        <f aca="false">AV19/315000</f>
        <v>40.3481882013881</v>
      </c>
      <c r="AW21" s="615" t="n">
        <f aca="false">AW19/315000</f>
        <v>40.3481882013881</v>
      </c>
      <c r="AX21" s="615" t="n">
        <f aca="false">AX19/315000</f>
        <v>40.3481882013881</v>
      </c>
      <c r="AY21" s="615" t="n">
        <f aca="false">AY19/315000</f>
        <v>40.3481882013881</v>
      </c>
      <c r="AZ21" s="615" t="n">
        <f aca="false">AZ19/315000</f>
        <v>40.3481882013881</v>
      </c>
      <c r="BA21" s="615" t="n">
        <f aca="false">BA19/315000</f>
        <v>40.3481882013881</v>
      </c>
      <c r="BB21" s="615" t="n">
        <f aca="false">BB19/315000</f>
        <v>40.3481882013881</v>
      </c>
      <c r="BC21" s="615" t="n">
        <f aca="false">BC19/315000</f>
        <v>40.3481882013881</v>
      </c>
      <c r="BD21" s="615" t="n">
        <f aca="false">BD19/315000</f>
        <v>40.3481882013881</v>
      </c>
      <c r="BE21" s="615" t="n">
        <f aca="false">BE19/315000</f>
        <v>40.3481882013881</v>
      </c>
      <c r="BF21" s="615" t="n">
        <f aca="false">BF19/315000</f>
        <v>40.3481882013881</v>
      </c>
      <c r="BG21" s="615" t="n">
        <f aca="false">BG19/315000</f>
        <v>40.3481882013881</v>
      </c>
      <c r="BH21" s="615" t="n">
        <f aca="false">BH19/315000</f>
        <v>40.3481882013881</v>
      </c>
      <c r="BI21" s="615" t="n">
        <f aca="false">BI19/315000</f>
        <v>40.3481882013881</v>
      </c>
      <c r="BJ21" s="615" t="n">
        <f aca="false">BJ19/315000</f>
        <v>40.3481882013881</v>
      </c>
      <c r="BK21" s="615" t="n">
        <f aca="false">BK19/315000</f>
        <v>40.3481882013881</v>
      </c>
      <c r="BL21" s="615" t="n">
        <f aca="false">BL19/315000</f>
        <v>40.3481882013881</v>
      </c>
      <c r="BM21" s="581"/>
      <c r="BN21" s="579"/>
      <c r="BO21" s="579"/>
      <c r="BP21" s="579"/>
      <c r="BQ21" s="581"/>
      <c r="BR21" s="579"/>
      <c r="BS21" s="579"/>
      <c r="BT21" s="579"/>
      <c r="BU21" s="579"/>
      <c r="BV21" s="579"/>
    </row>
    <row r="22" customFormat="false" ht="15.75" hidden="false" customHeight="false" outlineLevel="0" collapsed="false">
      <c r="A22" s="559" t="n">
        <v>37011</v>
      </c>
      <c r="B22" s="598" t="n">
        <v>36982</v>
      </c>
      <c r="C22" s="562" t="n">
        <f aca="false">'Revenues &amp; Expenses'!M22</f>
        <v>0.061949688268952</v>
      </c>
      <c r="D22" s="562" t="n">
        <f aca="false">C22+$C$3</f>
        <v>0.084449688268952</v>
      </c>
      <c r="AE22" s="573" t="n">
        <f aca="false">AH22-30</f>
        <v>43800.75</v>
      </c>
      <c r="AF22" s="574" t="n">
        <f aca="false">VLOOKUP(AE22,'Revenues &amp; Expenses'!$K$9:$N$258,4)</f>
        <v>0.236928197415367</v>
      </c>
      <c r="AH22" s="575" t="n">
        <f aca="false">AH21+365.25</f>
        <v>43830.75</v>
      </c>
      <c r="AI22" s="576" t="n">
        <v>0.05</v>
      </c>
      <c r="AJ22" s="388" t="n">
        <f aca="false">$AJ$2*AI22</f>
        <v>5906250</v>
      </c>
      <c r="AK22" s="577" t="n">
        <f aca="false">$AJ$2-SUM($AJ$3:AJ22)</f>
        <v>7264687.5</v>
      </c>
      <c r="AM22" s="407" t="n">
        <f aca="false">VLOOKUP(AH22,$A$8:$C$246,3)+$C$3</f>
        <v>0.087440374067667</v>
      </c>
      <c r="AN22" s="388" t="n">
        <f aca="false">AM22*AK21</f>
        <v>1151671.70182186</v>
      </c>
      <c r="AO22" s="388"/>
      <c r="AP22" s="577"/>
    </row>
    <row r="23" customFormat="false" ht="15.75" hidden="false" customHeight="false" outlineLevel="0" collapsed="false">
      <c r="A23" s="559" t="n">
        <v>37042</v>
      </c>
      <c r="B23" s="598" t="n">
        <v>37012</v>
      </c>
      <c r="C23" s="562" t="n">
        <f aca="false">'Revenues &amp; Expenses'!M23</f>
        <v>0.062248479771043</v>
      </c>
      <c r="D23" s="562" t="n">
        <f aca="false">C23+$C$3</f>
        <v>0.084748479771043</v>
      </c>
      <c r="AD23" s="572"/>
      <c r="AE23" s="573" t="n">
        <f aca="false">AH23-30</f>
        <v>44166</v>
      </c>
      <c r="AF23" s="574" t="n">
        <f aca="false">VLOOKUP(AE23,'Revenues &amp; Expenses'!$K$9:$N$258,4)</f>
        <v>0.22086572693959</v>
      </c>
      <c r="AH23" s="616" t="n">
        <f aca="false">AH22+365.25</f>
        <v>44196</v>
      </c>
      <c r="AI23" s="617" t="n">
        <v>0.0614999999999997</v>
      </c>
      <c r="AJ23" s="618" t="n">
        <f aca="false">$AJ$2*AI23</f>
        <v>7264687.49999996</v>
      </c>
      <c r="AK23" s="577" t="n">
        <f aca="false">$AJ$2-SUM($AJ$3:AJ23)</f>
        <v>0</v>
      </c>
      <c r="AM23" s="407" t="n">
        <f aca="false">VLOOKUP(AH23,$A$8:$C$246,3)+$C$3</f>
        <v>0.087440374067667</v>
      </c>
      <c r="AN23" s="388" t="n">
        <f aca="false">AM23*AK22</f>
        <v>635226.992484705</v>
      </c>
      <c r="AO23" s="388"/>
      <c r="AP23" s="577"/>
      <c r="AS23" s="388" t="n">
        <f aca="false">AS19-AS20</f>
        <v>12709679.2834372</v>
      </c>
      <c r="AT23" s="388" t="n">
        <f aca="false">AT19-AT20</f>
        <v>12709679.2834372</v>
      </c>
      <c r="AU23" s="388" t="n">
        <f aca="false">AU19-AU20</f>
        <v>12709679.2834372</v>
      </c>
      <c r="AV23" s="388" t="n">
        <f aca="false">AV19-AV20</f>
        <v>12709679.2834372</v>
      </c>
      <c r="AW23" s="388" t="n">
        <f aca="false">AW19-AW20</f>
        <v>12709679.2834372</v>
      </c>
      <c r="AX23" s="388" t="n">
        <f aca="false">AX19-AX20</f>
        <v>12709679.2834372</v>
      </c>
      <c r="AY23" s="388" t="n">
        <f aca="false">AY19-AY20</f>
        <v>12709679.2834372</v>
      </c>
      <c r="AZ23" s="388" t="n">
        <f aca="false">AZ19-AZ20</f>
        <v>12709679.2834372</v>
      </c>
      <c r="BA23" s="388" t="n">
        <f aca="false">BA19-BA20</f>
        <v>12709679.2834372</v>
      </c>
      <c r="BB23" s="388" t="n">
        <f aca="false">BB19-BB20</f>
        <v>12709679.2834372</v>
      </c>
      <c r="BC23" s="388" t="n">
        <f aca="false">BC19-BC20</f>
        <v>12709679.2834372</v>
      </c>
      <c r="BD23" s="388" t="n">
        <f aca="false">BD19-BD20</f>
        <v>12709679.2834372</v>
      </c>
      <c r="BE23" s="388" t="n">
        <f aca="false">BE19-BE20</f>
        <v>12709679.2834372</v>
      </c>
      <c r="BF23" s="388" t="n">
        <f aca="false">BF19-BF20</f>
        <v>12709679.2834372</v>
      </c>
      <c r="BG23" s="388" t="n">
        <f aca="false">BG19-BG20</f>
        <v>12709679.2834372</v>
      </c>
      <c r="BH23" s="388" t="n">
        <f aca="false">BH19-BH20</f>
        <v>12709679.2834372</v>
      </c>
      <c r="BI23" s="388" t="n">
        <f aca="false">BI19-BI20</f>
        <v>12709679.2834372</v>
      </c>
      <c r="BJ23" s="388" t="n">
        <f aca="false">BJ19-BJ20</f>
        <v>12709679.2834372</v>
      </c>
      <c r="BK23" s="388" t="n">
        <f aca="false">BK19-BK20</f>
        <v>12709679.2834372</v>
      </c>
      <c r="BL23" s="388" t="n">
        <f aca="false">BL19-BL20</f>
        <v>12709679.2834372</v>
      </c>
    </row>
    <row r="24" customFormat="false" ht="15.75" hidden="false" customHeight="false" outlineLevel="0" collapsed="false">
      <c r="A24" s="559" t="n">
        <v>37072</v>
      </c>
      <c r="B24" s="598" t="n">
        <v>37043</v>
      </c>
      <c r="C24" s="562" t="n">
        <f aca="false">'Revenues &amp; Expenses'!M24</f>
        <v>0.062557231643578</v>
      </c>
      <c r="D24" s="562" t="n">
        <f aca="false">C24+$C$3</f>
        <v>0.085057231643578</v>
      </c>
      <c r="AJ24" s="619" t="n">
        <f aca="false">SUM(AJ3:AJ23)</f>
        <v>118125000</v>
      </c>
      <c r="AN24" s="388" t="n">
        <f aca="false">SUM(AN3:AN23)</f>
        <v>120067143.548963</v>
      </c>
      <c r="AS24" s="577" t="n">
        <f aca="false">SUM(AS23:BL23)</f>
        <v>254193585.668745</v>
      </c>
    </row>
    <row r="25" customFormat="false" ht="15.75" hidden="false" customHeight="false" outlineLevel="0" collapsed="false">
      <c r="A25" s="559" t="n">
        <v>37103</v>
      </c>
      <c r="B25" s="598" t="n">
        <v>37073</v>
      </c>
      <c r="C25" s="562" t="n">
        <f aca="false">'Revenues &amp; Expenses'!M25</f>
        <v>0.06285602441082</v>
      </c>
      <c r="D25" s="562" t="n">
        <f aca="false">C25+$C$3</f>
        <v>0.08535602441082</v>
      </c>
      <c r="AN25" s="388" t="n">
        <f aca="false">SUM('Debt Amortization'!H13:AB13)</f>
        <v>136068585.668745</v>
      </c>
      <c r="AS25" s="388" t="n">
        <f aca="false">AS21*315000</f>
        <v>12709679.2834372</v>
      </c>
    </row>
    <row r="26" customFormat="false" ht="15.75" hidden="false" customHeight="false" outlineLevel="0" collapsed="false">
      <c r="A26" s="559" t="n">
        <v>37134</v>
      </c>
      <c r="B26" s="598" t="n">
        <v>37104</v>
      </c>
      <c r="C26" s="562" t="n">
        <f aca="false">'Revenues &amp; Expenses'!M26</f>
        <v>0.063164777590491</v>
      </c>
      <c r="D26" s="562" t="n">
        <f aca="false">C26+$C$3</f>
        <v>0.085664777590491</v>
      </c>
    </row>
    <row r="27" customFormat="false" ht="15.75" hidden="false" customHeight="false" outlineLevel="0" collapsed="false">
      <c r="A27" s="559" t="n">
        <v>37164</v>
      </c>
      <c r="B27" s="598" t="n">
        <v>37135</v>
      </c>
      <c r="C27" s="562" t="n">
        <f aca="false">'Revenues &amp; Expenses'!M27</f>
        <v>0.063473531434301</v>
      </c>
      <c r="D27" s="562" t="n">
        <f aca="false">C27+$C$3</f>
        <v>0.085973531434301</v>
      </c>
    </row>
    <row r="28" customFormat="false" ht="15.75" hidden="false" customHeight="false" outlineLevel="0" collapsed="false">
      <c r="A28" s="559" t="n">
        <v>37195</v>
      </c>
      <c r="B28" s="598" t="n">
        <v>37165</v>
      </c>
      <c r="C28" s="562" t="n">
        <f aca="false">'Revenues &amp; Expenses'!M28</f>
        <v>0.063772326108956</v>
      </c>
      <c r="D28" s="562" t="n">
        <f aca="false">C28+$C$3</f>
        <v>0.086272326108956</v>
      </c>
    </row>
    <row r="29" customFormat="false" ht="15.75" hidden="false" customHeight="false" outlineLevel="0" collapsed="false">
      <c r="A29" s="559" t="n">
        <v>37225</v>
      </c>
      <c r="B29" s="598" t="n">
        <v>37196</v>
      </c>
      <c r="C29" s="562" t="n">
        <f aca="false">'Revenues &amp; Expenses'!M29</f>
        <v>0.064081081259339</v>
      </c>
      <c r="D29" s="562" t="n">
        <f aca="false">C29+$C$3</f>
        <v>0.086581081259339</v>
      </c>
    </row>
    <row r="30" customFormat="false" ht="15.75" hidden="false" customHeight="false" outlineLevel="0" collapsed="false">
      <c r="A30" s="559" t="n">
        <v>37256</v>
      </c>
      <c r="B30" s="598" t="n">
        <v>37226</v>
      </c>
      <c r="C30" s="562" t="n">
        <f aca="false">'Revenues &amp; Expenses'!M30</f>
        <v>0.064379877198238</v>
      </c>
      <c r="D30" s="562" t="n">
        <f aca="false">C30+$C$3</f>
        <v>0.086879877198238</v>
      </c>
    </row>
    <row r="31" customFormat="false" ht="15.75" hidden="false" customHeight="false" outlineLevel="0" collapsed="false">
      <c r="A31" s="559" t="n">
        <v>37287</v>
      </c>
      <c r="B31" s="598" t="n">
        <v>37257</v>
      </c>
      <c r="C31" s="562" t="n">
        <f aca="false">'Revenues &amp; Expenses'!M31</f>
        <v>0.06468863365482</v>
      </c>
      <c r="D31" s="562" t="n">
        <f aca="false">C31+$C$3</f>
        <v>0.08718863365482</v>
      </c>
    </row>
    <row r="32" customFormat="false" ht="15.75" hidden="false" customHeight="false" outlineLevel="0" collapsed="false">
      <c r="A32" s="559" t="n">
        <v>37315</v>
      </c>
      <c r="B32" s="598" t="n">
        <v>37288</v>
      </c>
      <c r="C32" s="562" t="n">
        <f aca="false">'Revenues &amp; Expenses'!M32</f>
        <v>0.064997390775064</v>
      </c>
      <c r="D32" s="562" t="n">
        <f aca="false">C32+$C$3</f>
        <v>0.087497390775064</v>
      </c>
    </row>
    <row r="33" customFormat="false" ht="15.75" hidden="false" customHeight="false" outlineLevel="0" collapsed="false">
      <c r="A33" s="559" t="n">
        <v>37346</v>
      </c>
      <c r="B33" s="598" t="n">
        <v>37316</v>
      </c>
      <c r="C33" s="562" t="n">
        <f aca="false">'Revenues &amp; Expenses'!M33</f>
        <v>0.065286398820917</v>
      </c>
      <c r="D33" s="562" t="n">
        <f aca="false">C33+$C$3</f>
        <v>0.087786398820917</v>
      </c>
    </row>
    <row r="34" customFormat="false" ht="15.75" hidden="false" customHeight="false" outlineLevel="0" collapsed="false">
      <c r="A34" s="559" t="n">
        <v>37376</v>
      </c>
      <c r="B34" s="598" t="n">
        <v>37347</v>
      </c>
      <c r="C34" s="562" t="n">
        <f aca="false">'Revenues &amp; Expenses'!M34</f>
        <v>0.065890144769161</v>
      </c>
      <c r="D34" s="562" t="n">
        <f aca="false">C34+$C$3</f>
        <v>0.088390144769161</v>
      </c>
    </row>
    <row r="35" customFormat="false" ht="15.75" hidden="false" customHeight="false" outlineLevel="0" collapsed="false">
      <c r="A35" s="559" t="n">
        <v>37407</v>
      </c>
      <c r="B35" s="598" t="n">
        <v>37377</v>
      </c>
      <c r="C35" s="562" t="n">
        <f aca="false">'Revenues &amp; Expenses'!M35</f>
        <v>0.065921472008656</v>
      </c>
      <c r="D35" s="562" t="n">
        <f aca="false">C35+$C$3</f>
        <v>0.088421472008656</v>
      </c>
    </row>
    <row r="36" customFormat="false" ht="15.75" hidden="false" customHeight="false" outlineLevel="0" collapsed="false">
      <c r="A36" s="559" t="n">
        <v>37437</v>
      </c>
      <c r="B36" s="598" t="n">
        <v>37408</v>
      </c>
      <c r="C36" s="562" t="n">
        <f aca="false">'Revenues &amp; Expenses'!M36</f>
        <v>0.06595384349664</v>
      </c>
      <c r="D36" s="562" t="n">
        <f aca="false">C36+$C$3</f>
        <v>0.08845384349664</v>
      </c>
    </row>
    <row r="37" customFormat="false" ht="15.75" hidden="false" customHeight="false" outlineLevel="0" collapsed="false">
      <c r="A37" s="559" t="n">
        <v>37468</v>
      </c>
      <c r="B37" s="598" t="n">
        <v>37438</v>
      </c>
      <c r="C37" s="562" t="n">
        <f aca="false">'Revenues &amp; Expenses'!M37</f>
        <v>0.065985170750018</v>
      </c>
      <c r="D37" s="562" t="n">
        <f aca="false">C37+$C$3</f>
        <v>0.088485170750018</v>
      </c>
    </row>
    <row r="38" customFormat="false" ht="15.75" hidden="false" customHeight="false" outlineLevel="0" collapsed="false">
      <c r="A38" s="559" t="n">
        <v>37499</v>
      </c>
      <c r="B38" s="598" t="n">
        <v>37469</v>
      </c>
      <c r="C38" s="562" t="n">
        <f aca="false">'Revenues &amp; Expenses'!M38</f>
        <v>0.066017542252348</v>
      </c>
      <c r="D38" s="562" t="n">
        <f aca="false">C38+$C$3</f>
        <v>0.088517542252348</v>
      </c>
    </row>
    <row r="39" customFormat="false" ht="15.75" hidden="false" customHeight="false" outlineLevel="0" collapsed="false">
      <c r="A39" s="559" t="n">
        <v>37529</v>
      </c>
      <c r="B39" s="598" t="n">
        <v>37500</v>
      </c>
      <c r="C39" s="562" t="n">
        <f aca="false">'Revenues &amp; Expenses'!M39</f>
        <v>0.066049913761969</v>
      </c>
      <c r="D39" s="562" t="n">
        <f aca="false">C39+$C$3</f>
        <v>0.088549913761969</v>
      </c>
    </row>
    <row r="40" customFormat="false" ht="15.75" hidden="false" customHeight="false" outlineLevel="0" collapsed="false">
      <c r="A40" s="559" t="n">
        <v>37560</v>
      </c>
      <c r="B40" s="598" t="n">
        <v>37530</v>
      </c>
      <c r="C40" s="562" t="n">
        <f aca="false">'Revenues &amp; Expenses'!M40</f>
        <v>0.066081241036285</v>
      </c>
      <c r="D40" s="562" t="n">
        <f aca="false">C40+$C$3</f>
        <v>0.088581241036285</v>
      </c>
    </row>
    <row r="41" customFormat="false" ht="15.75" hidden="false" customHeight="false" outlineLevel="0" collapsed="false">
      <c r="A41" s="559" t="n">
        <v>37590</v>
      </c>
      <c r="B41" s="598" t="n">
        <v>37561</v>
      </c>
      <c r="C41" s="562" t="n">
        <f aca="false">'Revenues &amp; Expenses'!M41</f>
        <v>0.066113612560252</v>
      </c>
      <c r="D41" s="562" t="n">
        <f aca="false">C41+$C$3</f>
        <v>0.088613612560252</v>
      </c>
    </row>
    <row r="42" customFormat="false" ht="15.75" hidden="false" customHeight="false" outlineLevel="0" collapsed="false">
      <c r="A42" s="559" t="n">
        <v>37621</v>
      </c>
      <c r="B42" s="598" t="n">
        <v>37591</v>
      </c>
      <c r="C42" s="562" t="n">
        <f aca="false">'Revenues &amp; Expenses'!M42</f>
        <v>0.066144939848451</v>
      </c>
      <c r="D42" s="562" t="n">
        <f aca="false">C42+$C$3</f>
        <v>0.088644939848451</v>
      </c>
    </row>
    <row r="43" customFormat="false" ht="15.75" hidden="false" customHeight="false" outlineLevel="0" collapsed="false">
      <c r="A43" s="559" t="n">
        <v>37652</v>
      </c>
      <c r="B43" s="598" t="n">
        <v>37622</v>
      </c>
      <c r="C43" s="562" t="n">
        <f aca="false">'Revenues &amp; Expenses'!M43</f>
        <v>0.066177311386763</v>
      </c>
      <c r="D43" s="562" t="n">
        <f aca="false">C43+$C$3</f>
        <v>0.088677311386763</v>
      </c>
    </row>
    <row r="44" customFormat="false" ht="15.75" hidden="false" customHeight="false" outlineLevel="0" collapsed="false">
      <c r="A44" s="559" t="n">
        <v>37680</v>
      </c>
      <c r="B44" s="598" t="n">
        <v>37653</v>
      </c>
      <c r="C44" s="562" t="n">
        <f aca="false">'Revenues &amp; Expenses'!M44</f>
        <v>0.066209682932364</v>
      </c>
      <c r="D44" s="562" t="n">
        <f aca="false">C44+$C$3</f>
        <v>0.088709682932364</v>
      </c>
    </row>
    <row r="45" customFormat="false" ht="15.75" hidden="false" customHeight="false" outlineLevel="0" collapsed="false">
      <c r="A45" s="559" t="n">
        <v>37711</v>
      </c>
      <c r="B45" s="598" t="n">
        <v>37681</v>
      </c>
      <c r="C45" s="562" t="n">
        <f aca="false">'Revenues &amp; Expenses'!M45</f>
        <v>0.066238921754012</v>
      </c>
      <c r="D45" s="562" t="n">
        <f aca="false">C45+$C$3</f>
        <v>0.088738921754012</v>
      </c>
    </row>
    <row r="46" customFormat="false" ht="15.75" hidden="false" customHeight="false" outlineLevel="0" collapsed="false">
      <c r="A46" s="559" t="n">
        <v>37741</v>
      </c>
      <c r="B46" s="598" t="n">
        <v>37712</v>
      </c>
      <c r="C46" s="562" t="n">
        <f aca="false">'Revenues &amp; Expenses'!M46</f>
        <v>0.066271293313488</v>
      </c>
      <c r="D46" s="562" t="n">
        <f aca="false">C46+$C$3</f>
        <v>0.088771293313488</v>
      </c>
    </row>
    <row r="47" customFormat="false" ht="15.75" hidden="false" customHeight="false" outlineLevel="0" collapsed="false">
      <c r="A47" s="559" t="n">
        <v>37772</v>
      </c>
      <c r="B47" s="598" t="n">
        <v>37742</v>
      </c>
      <c r="C47" s="562" t="n">
        <f aca="false">'Revenues &amp; Expenses'!M47</f>
        <v>0.066302620636051</v>
      </c>
      <c r="D47" s="562" t="n">
        <f aca="false">C47+$C$3</f>
        <v>0.088802620636051</v>
      </c>
    </row>
    <row r="48" customFormat="false" ht="15.75" hidden="false" customHeight="false" outlineLevel="0" collapsed="false">
      <c r="A48" s="559" t="n">
        <v>37802</v>
      </c>
      <c r="B48" s="598" t="n">
        <v>37773</v>
      </c>
      <c r="C48" s="562" t="n">
        <f aca="false">'Revenues &amp; Expenses'!M48</f>
        <v>0.066334992209871</v>
      </c>
      <c r="D48" s="562" t="n">
        <f aca="false">C48+$C$3</f>
        <v>0.088834992209871</v>
      </c>
    </row>
    <row r="49" customFormat="false" ht="15.75" hidden="false" customHeight="false" outlineLevel="0" collapsed="false">
      <c r="A49" s="559" t="n">
        <v>37833</v>
      </c>
      <c r="B49" s="598" t="n">
        <v>37803</v>
      </c>
      <c r="C49" s="562" t="n">
        <f aca="false">'Revenues &amp; Expenses'!M49</f>
        <v>0.066366319546315</v>
      </c>
      <c r="D49" s="562" t="n">
        <f aca="false">C49+$C$3</f>
        <v>0.088866319546315</v>
      </c>
    </row>
    <row r="50" customFormat="false" ht="15.75" hidden="false" customHeight="false" outlineLevel="0" collapsed="false">
      <c r="A50" s="559" t="n">
        <v>37864</v>
      </c>
      <c r="B50" s="598" t="n">
        <v>37834</v>
      </c>
      <c r="C50" s="562" t="n">
        <f aca="false">'Revenues &amp; Expenses'!M50</f>
        <v>0.066398691134478</v>
      </c>
      <c r="D50" s="562" t="n">
        <f aca="false">C50+$C$3</f>
        <v>0.088898691134478</v>
      </c>
    </row>
    <row r="51" customFormat="false" ht="15.75" hidden="false" customHeight="false" outlineLevel="0" collapsed="false">
      <c r="A51" s="559" t="n">
        <v>37894</v>
      </c>
      <c r="B51" s="598" t="n">
        <v>37865</v>
      </c>
      <c r="C51" s="562" t="n">
        <f aca="false">'Revenues &amp; Expenses'!M51</f>
        <v>0.066431062729931</v>
      </c>
      <c r="D51" s="562" t="n">
        <f aca="false">C51+$C$3</f>
        <v>0.088931062729931</v>
      </c>
    </row>
    <row r="52" customFormat="false" ht="15.75" hidden="false" customHeight="false" outlineLevel="0" collapsed="false">
      <c r="A52" s="559" t="n">
        <v>37925</v>
      </c>
      <c r="B52" s="598" t="n">
        <v>37895</v>
      </c>
      <c r="C52" s="562" t="n">
        <f aca="false">'Revenues &amp; Expenses'!M52</f>
        <v>0.06646239008731</v>
      </c>
      <c r="D52" s="562" t="n">
        <f aca="false">C52+$C$3</f>
        <v>0.08896239008731</v>
      </c>
    </row>
    <row r="53" customFormat="false" ht="15.75" hidden="false" customHeight="false" outlineLevel="0" collapsed="false">
      <c r="A53" s="559" t="n">
        <v>37955</v>
      </c>
      <c r="B53" s="598" t="n">
        <v>37926</v>
      </c>
      <c r="C53" s="562" t="n">
        <f aca="false">'Revenues &amp; Expenses'!M53</f>
        <v>0.066494761697106</v>
      </c>
      <c r="D53" s="562" t="n">
        <f aca="false">C53+$C$3</f>
        <v>0.088994761697106</v>
      </c>
    </row>
    <row r="54" customFormat="false" ht="15.75" hidden="false" customHeight="false" outlineLevel="0" collapsed="false">
      <c r="A54" s="559" t="n">
        <v>37986</v>
      </c>
      <c r="B54" s="598" t="n">
        <v>37956</v>
      </c>
      <c r="C54" s="562" t="n">
        <f aca="false">'Revenues &amp; Expenses'!M54</f>
        <v>0.066526089068365</v>
      </c>
      <c r="D54" s="562" t="n">
        <f aca="false">C54+$C$3</f>
        <v>0.089026089068365</v>
      </c>
    </row>
    <row r="55" customFormat="false" ht="15.75" hidden="false" customHeight="false" outlineLevel="0" collapsed="false">
      <c r="A55" s="559" t="n">
        <v>38017</v>
      </c>
      <c r="B55" s="598" t="n">
        <v>37987</v>
      </c>
      <c r="C55" s="562" t="n">
        <f aca="false">'Revenues &amp; Expenses'!M55</f>
        <v>0.066558460692503</v>
      </c>
      <c r="D55" s="562" t="n">
        <f aca="false">C55+$C$3</f>
        <v>0.089058460692503</v>
      </c>
    </row>
    <row r="56" customFormat="false" ht="15.75" hidden="false" customHeight="false" outlineLevel="0" collapsed="false">
      <c r="A56" s="559" t="n">
        <v>38046</v>
      </c>
      <c r="B56" s="598" t="n">
        <v>38018</v>
      </c>
      <c r="C56" s="562" t="n">
        <f aca="false">'Revenues &amp; Expenses'!M56</f>
        <v>0.066590832323931</v>
      </c>
      <c r="D56" s="562" t="n">
        <f aca="false">C56+$C$3</f>
        <v>0.089090832323931</v>
      </c>
    </row>
    <row r="57" customFormat="false" ht="15.75" hidden="false" customHeight="false" outlineLevel="0" collapsed="false">
      <c r="A57" s="559" t="n">
        <v>38077</v>
      </c>
      <c r="B57" s="598" t="n">
        <v>38047</v>
      </c>
      <c r="C57" s="562" t="n">
        <f aca="false">'Revenues &amp; Expenses'!M57</f>
        <v>0.066621115469606</v>
      </c>
      <c r="D57" s="562" t="n">
        <f aca="false">C57+$C$3</f>
        <v>0.089121115469606</v>
      </c>
    </row>
    <row r="58" customFormat="false" ht="15.75" hidden="false" customHeight="false" outlineLevel="0" collapsed="false">
      <c r="A58" s="559" t="n">
        <v>38107</v>
      </c>
      <c r="B58" s="598" t="n">
        <v>38078</v>
      </c>
      <c r="C58" s="562" t="n">
        <f aca="false">'Revenues &amp; Expenses'!M58</f>
        <v>0.06665348711514</v>
      </c>
      <c r="D58" s="562" t="n">
        <f aca="false">C58+$C$3</f>
        <v>0.08915348711514</v>
      </c>
    </row>
    <row r="59" customFormat="false" ht="15.75" hidden="false" customHeight="false" outlineLevel="0" collapsed="false">
      <c r="A59" s="559" t="n">
        <v>38138</v>
      </c>
      <c r="B59" s="598" t="n">
        <v>38108</v>
      </c>
      <c r="C59" s="562" t="n">
        <f aca="false">'Revenues &amp; Expenses'!M59</f>
        <v>0.066684814520984</v>
      </c>
      <c r="D59" s="562" t="n">
        <f aca="false">C59+$C$3</f>
        <v>0.089184814520984</v>
      </c>
    </row>
    <row r="60" customFormat="false" ht="15.75" hidden="false" customHeight="false" outlineLevel="0" collapsed="false">
      <c r="A60" s="559" t="n">
        <v>38168</v>
      </c>
      <c r="B60" s="598" t="n">
        <v>38139</v>
      </c>
      <c r="C60" s="562" t="n">
        <f aca="false">'Revenues &amp; Expenses'!M60</f>
        <v>0.06671718618086</v>
      </c>
      <c r="D60" s="562" t="n">
        <f aca="false">C60+$C$3</f>
        <v>0.08921718618086</v>
      </c>
    </row>
    <row r="61" customFormat="false" ht="15.75" hidden="false" customHeight="false" outlineLevel="0" collapsed="false">
      <c r="A61" s="559" t="n">
        <v>38199</v>
      </c>
      <c r="B61" s="598" t="n">
        <v>38169</v>
      </c>
      <c r="C61" s="562" t="n">
        <f aca="false">'Revenues &amp; Expenses'!M61</f>
        <v>0.066748513600582</v>
      </c>
      <c r="D61" s="562" t="n">
        <f aca="false">C61+$C$3</f>
        <v>0.089248513600582</v>
      </c>
    </row>
    <row r="62" customFormat="false" ht="15.75" hidden="false" customHeight="false" outlineLevel="0" collapsed="false">
      <c r="A62" s="559" t="n">
        <v>38230</v>
      </c>
      <c r="B62" s="598" t="n">
        <v>38200</v>
      </c>
      <c r="C62" s="562" t="n">
        <f aca="false">'Revenues &amp; Expenses'!M62</f>
        <v>0.066780885274799</v>
      </c>
      <c r="D62" s="562" t="n">
        <f aca="false">C62+$C$3</f>
        <v>0.089280885274799</v>
      </c>
    </row>
    <row r="63" customFormat="false" ht="15.75" hidden="false" customHeight="false" outlineLevel="0" collapsed="false">
      <c r="A63" s="559" t="n">
        <v>38260</v>
      </c>
      <c r="B63" s="598" t="n">
        <v>38231</v>
      </c>
      <c r="C63" s="562" t="n">
        <f aca="false">'Revenues &amp; Expenses'!M63</f>
        <v>0.06664232366614</v>
      </c>
      <c r="D63" s="562" t="n">
        <f aca="false">C63+$C$3</f>
        <v>0.08914232366614</v>
      </c>
    </row>
    <row r="64" customFormat="false" ht="15.75" hidden="false" customHeight="false" outlineLevel="0" collapsed="false">
      <c r="A64" s="559" t="n">
        <v>38291</v>
      </c>
      <c r="B64" s="598" t="n">
        <v>38261</v>
      </c>
      <c r="C64" s="562" t="n">
        <f aca="false">'Revenues &amp; Expenses'!M64</f>
        <v>0.066372004516924</v>
      </c>
      <c r="D64" s="562" t="n">
        <f aca="false">C64+$C$3</f>
        <v>0.088872004516924</v>
      </c>
    </row>
    <row r="65" customFormat="false" ht="15.75" hidden="false" customHeight="false" outlineLevel="0" collapsed="false">
      <c r="A65" s="559" t="n">
        <v>38321</v>
      </c>
      <c r="B65" s="598" t="n">
        <v>38292</v>
      </c>
      <c r="C65" s="562" t="n">
        <f aca="false">'Revenues &amp; Expenses'!M65</f>
        <v>0.06609267526339</v>
      </c>
      <c r="D65" s="562" t="n">
        <f aca="false">C65+$C$3</f>
        <v>0.08859267526339</v>
      </c>
    </row>
    <row r="66" customFormat="false" ht="15.75" hidden="false" customHeight="false" outlineLevel="0" collapsed="false">
      <c r="A66" s="559" t="n">
        <v>38352</v>
      </c>
      <c r="B66" s="598" t="n">
        <v>38322</v>
      </c>
      <c r="C66" s="562" t="n">
        <f aca="false">'Revenues &amp; Expenses'!M66</f>
        <v>0.065959695227423</v>
      </c>
      <c r="D66" s="562" t="n">
        <f aca="false">C66+$C$3</f>
        <v>0.088459695227423</v>
      </c>
    </row>
    <row r="67" customFormat="false" ht="15.75" hidden="false" customHeight="false" outlineLevel="0" collapsed="false">
      <c r="A67" s="559" t="n">
        <v>38383</v>
      </c>
      <c r="B67" s="598" t="n">
        <v>38353</v>
      </c>
      <c r="C67" s="562" t="n">
        <f aca="false">'Revenues &amp; Expenses'!M67</f>
        <v>0.065946459160781</v>
      </c>
      <c r="D67" s="562" t="n">
        <f aca="false">C67+$C$3</f>
        <v>0.088446459160781</v>
      </c>
    </row>
    <row r="68" customFormat="false" ht="15.75" hidden="false" customHeight="false" outlineLevel="0" collapsed="false">
      <c r="A68" s="559" t="n">
        <v>38411</v>
      </c>
      <c r="B68" s="598" t="n">
        <v>38384</v>
      </c>
      <c r="C68" s="562" t="n">
        <f aca="false">'Revenues &amp; Expenses'!M68</f>
        <v>0.065933223095356</v>
      </c>
      <c r="D68" s="562" t="n">
        <f aca="false">C68+$C$3</f>
        <v>0.088433223095356</v>
      </c>
    </row>
    <row r="69" customFormat="false" ht="15.75" hidden="false" customHeight="false" outlineLevel="0" collapsed="false">
      <c r="A69" s="559" t="n">
        <v>38442</v>
      </c>
      <c r="B69" s="598" t="n">
        <v>38412</v>
      </c>
      <c r="C69" s="562" t="n">
        <f aca="false">'Revenues &amp; Expenses'!M69</f>
        <v>0.065921267940538</v>
      </c>
      <c r="D69" s="562" t="n">
        <f aca="false">C69+$C$3</f>
        <v>0.088421267940538</v>
      </c>
    </row>
    <row r="70" customFormat="false" ht="15.75" hidden="false" customHeight="false" outlineLevel="0" collapsed="false">
      <c r="A70" s="559" t="n">
        <v>38472</v>
      </c>
      <c r="B70" s="598" t="n">
        <v>38443</v>
      </c>
      <c r="C70" s="562" t="n">
        <f aca="false">'Revenues &amp; Expenses'!M70</f>
        <v>0.065908031877433</v>
      </c>
      <c r="D70" s="562" t="n">
        <f aca="false">C70+$C$3</f>
        <v>0.088408031877433</v>
      </c>
    </row>
    <row r="71" customFormat="false" ht="15.75" hidden="false" customHeight="false" outlineLevel="0" collapsed="false">
      <c r="A71" s="559" t="n">
        <v>38503</v>
      </c>
      <c r="B71" s="598" t="n">
        <v>38473</v>
      </c>
      <c r="C71" s="562" t="n">
        <f aca="false">'Revenues &amp; Expenses'!M71</f>
        <v>0.065895222785267</v>
      </c>
      <c r="D71" s="562" t="n">
        <f aca="false">C71+$C$3</f>
        <v>0.088395222785267</v>
      </c>
    </row>
    <row r="72" customFormat="false" ht="15.75" hidden="false" customHeight="false" outlineLevel="0" collapsed="false">
      <c r="A72" s="559" t="n">
        <v>38533</v>
      </c>
      <c r="B72" s="598" t="n">
        <v>38504</v>
      </c>
      <c r="C72" s="562" t="n">
        <f aca="false">'Revenues &amp; Expenses'!M72</f>
        <v>0.065881986724561</v>
      </c>
      <c r="D72" s="562" t="n">
        <f aca="false">C72+$C$3</f>
        <v>0.088381986724561</v>
      </c>
    </row>
    <row r="73" customFormat="false" ht="15.75" hidden="false" customHeight="false" outlineLevel="0" collapsed="false">
      <c r="A73" s="559" t="n">
        <v>38564</v>
      </c>
      <c r="B73" s="598" t="n">
        <v>38534</v>
      </c>
      <c r="C73" s="562" t="n">
        <f aca="false">'Revenues &amp; Expenses'!M73</f>
        <v>0.065869177634716</v>
      </c>
      <c r="D73" s="562" t="n">
        <f aca="false">C73+$C$3</f>
        <v>0.088369177634716</v>
      </c>
    </row>
    <row r="74" customFormat="false" ht="15.75" hidden="false" customHeight="false" outlineLevel="0" collapsed="false">
      <c r="A74" s="559" t="n">
        <v>38595</v>
      </c>
      <c r="B74" s="598" t="n">
        <v>38565</v>
      </c>
      <c r="C74" s="562" t="n">
        <f aca="false">'Revenues &amp; Expenses'!M74</f>
        <v>0.065855941576409</v>
      </c>
      <c r="D74" s="562" t="n">
        <f aca="false">C74+$C$3</f>
        <v>0.088355941576409</v>
      </c>
    </row>
    <row r="75" customFormat="false" ht="15.75" hidden="false" customHeight="false" outlineLevel="0" collapsed="false">
      <c r="A75" s="559" t="n">
        <v>38625</v>
      </c>
      <c r="B75" s="598" t="n">
        <v>38596</v>
      </c>
      <c r="C75" s="562" t="n">
        <f aca="false">'Revenues &amp; Expenses'!M75</f>
        <v>0.065842705519321</v>
      </c>
      <c r="D75" s="562" t="n">
        <f aca="false">C75+$C$3</f>
        <v>0.088342705519321</v>
      </c>
    </row>
    <row r="76" customFormat="false" ht="15.75" hidden="false" customHeight="false" outlineLevel="0" collapsed="false">
      <c r="A76" s="559" t="n">
        <v>38656</v>
      </c>
      <c r="B76" s="598" t="n">
        <v>38626</v>
      </c>
      <c r="C76" s="562" t="n">
        <f aca="false">'Revenues &amp; Expenses'!M76</f>
        <v>0.065829896432977</v>
      </c>
      <c r="D76" s="562" t="n">
        <f aca="false">C76+$C$3</f>
        <v>0.088329896432977</v>
      </c>
    </row>
    <row r="77" customFormat="false" ht="15.75" hidden="false" customHeight="false" outlineLevel="0" collapsed="false">
      <c r="A77" s="559" t="n">
        <v>38686</v>
      </c>
      <c r="B77" s="598" t="n">
        <v>38657</v>
      </c>
      <c r="C77" s="562" t="n">
        <f aca="false">'Revenues &amp; Expenses'!M77</f>
        <v>0.065816660378287</v>
      </c>
      <c r="D77" s="562" t="n">
        <f aca="false">C77+$C$3</f>
        <v>0.088316660378287</v>
      </c>
    </row>
    <row r="78" customFormat="false" ht="15.75" hidden="false" customHeight="false" outlineLevel="0" collapsed="false">
      <c r="A78" s="559" t="n">
        <v>38717</v>
      </c>
      <c r="B78" s="598" t="n">
        <v>38687</v>
      </c>
      <c r="C78" s="562" t="n">
        <f aca="false">'Revenues &amp; Expenses'!M78</f>
        <v>0.065803851294265</v>
      </c>
      <c r="D78" s="562" t="n">
        <f aca="false">C78+$C$3</f>
        <v>0.088303851294265</v>
      </c>
    </row>
    <row r="79" customFormat="false" ht="15.75" hidden="false" customHeight="false" outlineLevel="0" collapsed="false">
      <c r="A79" s="559" t="n">
        <v>38748</v>
      </c>
      <c r="B79" s="598" t="n">
        <v>38718</v>
      </c>
      <c r="C79" s="562" t="n">
        <f aca="false">'Revenues &amp; Expenses'!M79</f>
        <v>0.065790615241974</v>
      </c>
      <c r="D79" s="562" t="n">
        <f aca="false">C79+$C$3</f>
        <v>0.088290615241974</v>
      </c>
    </row>
    <row r="80" customFormat="false" ht="15.75" hidden="false" customHeight="false" outlineLevel="0" collapsed="false">
      <c r="A80" s="559" t="n">
        <v>38776</v>
      </c>
      <c r="B80" s="598" t="n">
        <v>38749</v>
      </c>
      <c r="C80" s="562" t="n">
        <f aca="false">'Revenues &amp; Expenses'!M80</f>
        <v>0.065777379190902</v>
      </c>
      <c r="D80" s="562" t="n">
        <f aca="false">C80+$C$3</f>
        <v>0.088277379190902</v>
      </c>
    </row>
    <row r="81" customFormat="false" ht="15.75" hidden="false" customHeight="false" outlineLevel="0" collapsed="false">
      <c r="A81" s="559" t="n">
        <v>38807</v>
      </c>
      <c r="B81" s="598" t="n">
        <v>38777</v>
      </c>
      <c r="C81" s="562" t="n">
        <f aca="false">'Revenues &amp; Expenses'!M81</f>
        <v>0.065765424049046</v>
      </c>
      <c r="D81" s="562" t="n">
        <f aca="false">C81+$C$3</f>
        <v>0.088265424049046</v>
      </c>
    </row>
    <row r="82" customFormat="false" ht="15.75" hidden="false" customHeight="false" outlineLevel="0" collapsed="false">
      <c r="A82" s="559" t="n">
        <v>38837</v>
      </c>
      <c r="B82" s="598" t="n">
        <v>38808</v>
      </c>
      <c r="C82" s="562" t="n">
        <f aca="false">'Revenues &amp; Expenses'!M82</f>
        <v>0.065752188000294</v>
      </c>
      <c r="D82" s="562" t="n">
        <f aca="false">C82+$C$3</f>
        <v>0.088252188000294</v>
      </c>
    </row>
    <row r="83" customFormat="false" ht="15.75" hidden="false" customHeight="false" outlineLevel="0" collapsed="false">
      <c r="A83" s="559" t="n">
        <v>38868</v>
      </c>
      <c r="B83" s="598" t="n">
        <v>38838</v>
      </c>
      <c r="C83" s="562" t="n">
        <f aca="false">'Revenues &amp; Expenses'!M83</f>
        <v>0.065739378922018</v>
      </c>
      <c r="D83" s="562" t="n">
        <f aca="false">C83+$C$3</f>
        <v>0.088239378922018</v>
      </c>
    </row>
    <row r="84" customFormat="false" ht="15.75" hidden="false" customHeight="false" outlineLevel="0" collapsed="false">
      <c r="A84" s="559" t="n">
        <v>38898</v>
      </c>
      <c r="B84" s="598" t="n">
        <v>38869</v>
      </c>
      <c r="C84" s="562" t="n">
        <f aca="false">'Revenues &amp; Expenses'!M84</f>
        <v>0.065726142875664</v>
      </c>
      <c r="D84" s="562" t="n">
        <f aca="false">C84+$C$3</f>
        <v>0.088226142875664</v>
      </c>
    </row>
    <row r="85" customFormat="false" ht="15.75" hidden="false" customHeight="false" outlineLevel="0" collapsed="false">
      <c r="A85" s="559" t="n">
        <v>38929</v>
      </c>
      <c r="B85" s="598" t="n">
        <v>38899</v>
      </c>
      <c r="C85" s="562" t="n">
        <f aca="false">'Revenues &amp; Expenses'!M85</f>
        <v>0.065713333799709</v>
      </c>
      <c r="D85" s="562" t="n">
        <f aca="false">C85+$C$3</f>
        <v>0.088213333799709</v>
      </c>
    </row>
    <row r="86" customFormat="false" ht="15.75" hidden="false" customHeight="false" outlineLevel="0" collapsed="false">
      <c r="A86" s="559" t="n">
        <v>38960</v>
      </c>
      <c r="B86" s="598" t="n">
        <v>38930</v>
      </c>
      <c r="C86" s="562" t="n">
        <f aca="false">'Revenues &amp; Expenses'!M86</f>
        <v>0.065700097755754</v>
      </c>
      <c r="D86" s="562" t="n">
        <f aca="false">C86+$C$3</f>
        <v>0.088200097755754</v>
      </c>
    </row>
    <row r="87" customFormat="false" ht="15.75" hidden="false" customHeight="false" outlineLevel="0" collapsed="false">
      <c r="A87" s="559" t="n">
        <v>38990</v>
      </c>
      <c r="B87" s="598" t="n">
        <v>38961</v>
      </c>
      <c r="C87" s="562" t="n">
        <f aca="false">'Revenues &amp; Expenses'!M87</f>
        <v>0.065686861713019</v>
      </c>
      <c r="D87" s="562" t="n">
        <f aca="false">C87+$C$3</f>
        <v>0.088186861713019</v>
      </c>
    </row>
    <row r="88" customFormat="false" ht="15.75" hidden="false" customHeight="false" outlineLevel="0" collapsed="false">
      <c r="A88" s="559" t="n">
        <v>39021</v>
      </c>
      <c r="B88" s="598" t="n">
        <v>38991</v>
      </c>
      <c r="C88" s="562" t="n">
        <f aca="false">'Revenues &amp; Expenses'!M88</f>
        <v>0.065674052640565</v>
      </c>
      <c r="D88" s="562" t="n">
        <f aca="false">C88+$C$3</f>
        <v>0.088174052640565</v>
      </c>
    </row>
    <row r="89" customFormat="false" ht="15.75" hidden="false" customHeight="false" outlineLevel="0" collapsed="false">
      <c r="A89" s="559" t="n">
        <v>39051</v>
      </c>
      <c r="B89" s="598" t="n">
        <v>39022</v>
      </c>
      <c r="C89" s="562" t="n">
        <f aca="false">'Revenues &amp; Expenses'!M89</f>
        <v>0.065660816600228</v>
      </c>
      <c r="D89" s="562" t="n">
        <f aca="false">C89+$C$3</f>
        <v>0.088160816600228</v>
      </c>
    </row>
    <row r="90" customFormat="false" ht="15.75" hidden="false" customHeight="false" outlineLevel="0" collapsed="false">
      <c r="A90" s="559" t="n">
        <v>39082</v>
      </c>
      <c r="B90" s="598" t="n">
        <v>39052</v>
      </c>
      <c r="C90" s="562" t="n">
        <f aca="false">'Revenues &amp; Expenses'!M90</f>
        <v>0.065648007530096</v>
      </c>
      <c r="D90" s="562" t="n">
        <f aca="false">C90+$C$3</f>
        <v>0.088148007530096</v>
      </c>
    </row>
    <row r="91" customFormat="false" ht="15.75" hidden="false" customHeight="false" outlineLevel="0" collapsed="false">
      <c r="A91" s="559" t="n">
        <v>39113</v>
      </c>
      <c r="B91" s="598" t="n">
        <v>39083</v>
      </c>
      <c r="C91" s="562" t="n">
        <f aca="false">'Revenues &amp; Expenses'!M91</f>
        <v>0.065634771492158</v>
      </c>
      <c r="D91" s="562" t="n">
        <f aca="false">C91+$C$3</f>
        <v>0.088134771492158</v>
      </c>
    </row>
    <row r="92" customFormat="false" ht="15.75" hidden="false" customHeight="false" outlineLevel="0" collapsed="false">
      <c r="A92" s="559" t="n">
        <v>39141</v>
      </c>
      <c r="B92" s="598" t="n">
        <v>39114</v>
      </c>
      <c r="C92" s="562" t="n">
        <f aca="false">'Revenues &amp; Expenses'!M92</f>
        <v>0.065621535455439</v>
      </c>
      <c r="D92" s="562" t="n">
        <f aca="false">C92+$C$3</f>
        <v>0.088121535455439</v>
      </c>
    </row>
    <row r="93" customFormat="false" ht="15.75" hidden="false" customHeight="false" outlineLevel="0" collapsed="false">
      <c r="A93" s="559" t="n">
        <v>39172</v>
      </c>
      <c r="B93" s="598" t="n">
        <v>39142</v>
      </c>
      <c r="C93" s="562" t="n">
        <f aca="false">'Revenues &amp; Expenses'!M93</f>
        <v>0.065609580326547</v>
      </c>
      <c r="D93" s="562" t="n">
        <f aca="false">C93+$C$3</f>
        <v>0.088109580326547</v>
      </c>
    </row>
    <row r="94" customFormat="false" ht="15.75" hidden="false" customHeight="false" outlineLevel="0" collapsed="false">
      <c r="A94" s="559" t="n">
        <v>39202</v>
      </c>
      <c r="B94" s="598" t="n">
        <v>39173</v>
      </c>
      <c r="C94" s="562" t="n">
        <f aca="false">'Revenues &amp; Expenses'!M94</f>
        <v>0.065596344292149</v>
      </c>
      <c r="D94" s="562" t="n">
        <f aca="false">C94+$C$3</f>
        <v>0.088096344292149</v>
      </c>
    </row>
    <row r="95" customFormat="false" ht="15.75" hidden="false" customHeight="false" outlineLevel="0" collapsed="false">
      <c r="A95" s="559" t="n">
        <v>39233</v>
      </c>
      <c r="B95" s="598" t="n">
        <v>39203</v>
      </c>
      <c r="C95" s="562" t="n">
        <f aca="false">'Revenues &amp; Expenses'!M95</f>
        <v>0.065583535227763</v>
      </c>
      <c r="D95" s="562" t="n">
        <f aca="false">C95+$C$3</f>
        <v>0.088083535227763</v>
      </c>
    </row>
    <row r="96" customFormat="false" ht="15.75" hidden="false" customHeight="false" outlineLevel="0" collapsed="false">
      <c r="A96" s="559" t="n">
        <v>39263</v>
      </c>
      <c r="B96" s="598" t="n">
        <v>39234</v>
      </c>
      <c r="C96" s="562" t="n">
        <f aca="false">'Revenues &amp; Expenses'!M96</f>
        <v>0.065570299195763</v>
      </c>
      <c r="D96" s="562" t="n">
        <f aca="false">C96+$C$3</f>
        <v>0.088070299195763</v>
      </c>
    </row>
    <row r="97" customFormat="false" ht="15.75" hidden="false" customHeight="false" outlineLevel="0" collapsed="false">
      <c r="A97" s="559" t="n">
        <v>39294</v>
      </c>
      <c r="B97" s="598" t="n">
        <v>39264</v>
      </c>
      <c r="C97" s="562" t="n">
        <f aca="false">'Revenues &amp; Expenses'!M97</f>
        <v>0.065557490133698</v>
      </c>
      <c r="D97" s="562" t="n">
        <f aca="false">C97+$C$3</f>
        <v>0.088057490133698</v>
      </c>
    </row>
    <row r="98" customFormat="false" ht="15.75" hidden="false" customHeight="false" outlineLevel="0" collapsed="false">
      <c r="A98" s="559" t="n">
        <v>39325</v>
      </c>
      <c r="B98" s="598" t="n">
        <v>39295</v>
      </c>
      <c r="C98" s="562" t="n">
        <f aca="false">'Revenues &amp; Expenses'!M98</f>
        <v>0.065544254104097</v>
      </c>
      <c r="D98" s="562" t="n">
        <f aca="false">C98+$C$3</f>
        <v>0.088044254104097</v>
      </c>
    </row>
    <row r="99" customFormat="false" ht="15.75" hidden="false" customHeight="false" outlineLevel="0" collapsed="false">
      <c r="A99" s="559" t="n">
        <v>39355</v>
      </c>
      <c r="B99" s="598" t="n">
        <v>39326</v>
      </c>
      <c r="C99" s="562" t="n">
        <f aca="false">'Revenues &amp; Expenses'!M99</f>
        <v>0.065531018075715</v>
      </c>
      <c r="D99" s="562" t="n">
        <f aca="false">C99+$C$3</f>
        <v>0.088031018075715</v>
      </c>
    </row>
    <row r="100" customFormat="false" ht="15.75" hidden="false" customHeight="false" outlineLevel="0" collapsed="false">
      <c r="A100" s="559" t="n">
        <v>39386</v>
      </c>
      <c r="B100" s="598" t="n">
        <v>39356</v>
      </c>
      <c r="C100" s="562" t="n">
        <f aca="false">'Revenues &amp; Expenses'!M100</f>
        <v>0.065518209017152</v>
      </c>
      <c r="D100" s="562" t="n">
        <f aca="false">C100+$C$3</f>
        <v>0.088018209017152</v>
      </c>
    </row>
    <row r="101" customFormat="false" ht="15.75" hidden="false" customHeight="false" outlineLevel="0" collapsed="false">
      <c r="A101" s="559" t="n">
        <v>39416</v>
      </c>
      <c r="B101" s="598" t="n">
        <v>39387</v>
      </c>
      <c r="C101" s="562" t="n">
        <f aca="false">'Revenues &amp; Expenses'!M101</f>
        <v>0.06550497299117</v>
      </c>
      <c r="D101" s="562" t="n">
        <f aca="false">C101+$C$3</f>
        <v>0.08800497299117</v>
      </c>
    </row>
    <row r="102" customFormat="false" ht="15.75" hidden="false" customHeight="false" outlineLevel="0" collapsed="false">
      <c r="A102" s="559" t="n">
        <v>39447</v>
      </c>
      <c r="B102" s="598" t="n">
        <v>39417</v>
      </c>
      <c r="C102" s="562" t="n">
        <f aca="false">'Revenues &amp; Expenses'!M102</f>
        <v>0.065492163934928</v>
      </c>
      <c r="D102" s="562" t="n">
        <f aca="false">C102+$C$3</f>
        <v>0.087992163934928</v>
      </c>
    </row>
    <row r="103" customFormat="false" ht="15.75" hidden="false" customHeight="false" outlineLevel="0" collapsed="false">
      <c r="A103" s="559" t="n">
        <v>39478</v>
      </c>
      <c r="B103" s="598" t="n">
        <v>39448</v>
      </c>
      <c r="C103" s="562" t="n">
        <f aca="false">'Revenues &amp; Expenses'!M103</f>
        <v>0.065478927911344</v>
      </c>
      <c r="D103" s="562" t="n">
        <f aca="false">C103+$C$3</f>
        <v>0.087978927911344</v>
      </c>
    </row>
    <row r="104" customFormat="false" ht="15.75" hidden="false" customHeight="false" outlineLevel="0" collapsed="false">
      <c r="A104" s="559" t="n">
        <v>39507</v>
      </c>
      <c r="B104" s="598" t="n">
        <v>39479</v>
      </c>
      <c r="C104" s="562" t="n">
        <f aca="false">'Revenues &amp; Expenses'!M104</f>
        <v>0.065465691888979</v>
      </c>
      <c r="D104" s="562" t="n">
        <f aca="false">C104+$C$3</f>
        <v>0.087965691888979</v>
      </c>
    </row>
    <row r="105" customFormat="false" ht="15.75" hidden="false" customHeight="false" outlineLevel="0" collapsed="false">
      <c r="A105" s="559" t="n">
        <v>39538</v>
      </c>
      <c r="B105" s="598" t="n">
        <v>39508</v>
      </c>
      <c r="C105" s="562" t="n">
        <f aca="false">'Revenues &amp; Expenses'!M105</f>
        <v>0.065453309804646</v>
      </c>
      <c r="D105" s="562" t="n">
        <f aca="false">C105+$C$3</f>
        <v>0.087953309804646</v>
      </c>
    </row>
    <row r="106" customFormat="false" ht="15.75" hidden="false" customHeight="false" outlineLevel="0" collapsed="false">
      <c r="A106" s="559" t="n">
        <v>39568</v>
      </c>
      <c r="B106" s="598" t="n">
        <v>39539</v>
      </c>
      <c r="C106" s="562" t="n">
        <f aca="false">'Revenues &amp; Expenses'!M106</f>
        <v>0.065440073784641</v>
      </c>
      <c r="D106" s="562" t="n">
        <f aca="false">C106+$C$3</f>
        <v>0.087940073784641</v>
      </c>
    </row>
    <row r="107" customFormat="false" ht="15.75" hidden="false" customHeight="false" outlineLevel="0" collapsed="false">
      <c r="A107" s="559" t="n">
        <v>39599</v>
      </c>
      <c r="B107" s="598" t="n">
        <v>39569</v>
      </c>
      <c r="C107" s="562" t="n">
        <f aca="false">'Revenues &amp; Expenses'!M107</f>
        <v>0.065427264734184</v>
      </c>
      <c r="D107" s="562" t="n">
        <f aca="false">C107+$C$3</f>
        <v>0.087927264734184</v>
      </c>
    </row>
    <row r="108" customFormat="false" ht="15.75" hidden="false" customHeight="false" outlineLevel="0" collapsed="false">
      <c r="A108" s="559" t="n">
        <v>39629</v>
      </c>
      <c r="B108" s="598" t="n">
        <v>39600</v>
      </c>
      <c r="C108" s="562" t="n">
        <f aca="false">'Revenues &amp; Expenses'!M108</f>
        <v>0.065414028716578</v>
      </c>
      <c r="D108" s="562" t="n">
        <f aca="false">C108+$C$3</f>
        <v>0.087914028716578</v>
      </c>
    </row>
    <row r="109" customFormat="false" ht="15.75" hidden="false" customHeight="false" outlineLevel="0" collapsed="false">
      <c r="A109" s="559" t="n">
        <v>39660</v>
      </c>
      <c r="B109" s="598" t="n">
        <v>39630</v>
      </c>
      <c r="C109" s="562" t="n">
        <f aca="false">'Revenues &amp; Expenses'!M109</f>
        <v>0.065401219668443</v>
      </c>
      <c r="D109" s="562" t="n">
        <f aca="false">C109+$C$3</f>
        <v>0.087901219668443</v>
      </c>
    </row>
    <row r="110" customFormat="false" ht="15.75" hidden="false" customHeight="false" outlineLevel="0" collapsed="false">
      <c r="A110" s="559" t="n">
        <v>39691</v>
      </c>
      <c r="B110" s="598" t="n">
        <v>39661</v>
      </c>
      <c r="C110" s="562" t="n">
        <f aca="false">'Revenues &amp; Expenses'!M110</f>
        <v>0.065387983653237</v>
      </c>
      <c r="D110" s="562" t="n">
        <f aca="false">C110+$C$3</f>
        <v>0.087887983653237</v>
      </c>
    </row>
    <row r="111" customFormat="false" ht="15.75" hidden="false" customHeight="false" outlineLevel="0" collapsed="false">
      <c r="A111" s="559" t="n">
        <v>39721</v>
      </c>
      <c r="B111" s="598" t="n">
        <v>39692</v>
      </c>
      <c r="C111" s="562" t="n">
        <f aca="false">'Revenues &amp; Expenses'!M111</f>
        <v>0.065374747639249</v>
      </c>
      <c r="D111" s="562" t="n">
        <f aca="false">C111+$C$3</f>
        <v>0.087874747639249</v>
      </c>
    </row>
    <row r="112" customFormat="false" ht="15.75" hidden="false" customHeight="false" outlineLevel="0" collapsed="false">
      <c r="A112" s="559" t="n">
        <v>39752</v>
      </c>
      <c r="B112" s="598" t="n">
        <v>39722</v>
      </c>
      <c r="C112" s="562" t="n">
        <f aca="false">'Revenues &amp; Expenses'!M112</f>
        <v>0.065361938594616</v>
      </c>
      <c r="D112" s="562" t="n">
        <f aca="false">C112+$C$3</f>
        <v>0.087861938594616</v>
      </c>
    </row>
    <row r="113" customFormat="false" ht="15.75" hidden="false" customHeight="false" outlineLevel="0" collapsed="false">
      <c r="A113" s="559" t="n">
        <v>39782</v>
      </c>
      <c r="B113" s="598" t="n">
        <v>39753</v>
      </c>
      <c r="C113" s="562" t="n">
        <f aca="false">'Revenues &amp; Expenses'!M113</f>
        <v>0.065348702583027</v>
      </c>
      <c r="D113" s="562" t="n">
        <f aca="false">C113+$C$3</f>
        <v>0.087848702583027</v>
      </c>
    </row>
    <row r="114" customFormat="false" ht="15.75" hidden="false" customHeight="false" outlineLevel="0" collapsed="false">
      <c r="A114" s="559" t="n">
        <v>39813</v>
      </c>
      <c r="B114" s="598" t="n">
        <v>39783</v>
      </c>
      <c r="C114" s="562" t="n">
        <f aca="false">'Revenues &amp; Expenses'!M114</f>
        <v>0.065280999020832</v>
      </c>
      <c r="D114" s="562" t="n">
        <f aca="false">C114+$C$3</f>
        <v>0.087780999020832</v>
      </c>
    </row>
    <row r="115" customFormat="false" ht="15.75" hidden="false" customHeight="false" outlineLevel="0" collapsed="false">
      <c r="A115" s="559" t="n">
        <v>39844</v>
      </c>
      <c r="B115" s="598" t="n">
        <v>39814</v>
      </c>
      <c r="C115" s="562" t="n">
        <f aca="false">'Revenues &amp; Expenses'!M115</f>
        <v>0.065161404953905</v>
      </c>
      <c r="D115" s="562" t="n">
        <f aca="false">C115+$C$3</f>
        <v>0.087661404953905</v>
      </c>
    </row>
    <row r="116" customFormat="false" ht="15.75" hidden="false" customHeight="false" outlineLevel="0" collapsed="false">
      <c r="A116" s="559" t="n">
        <v>39872</v>
      </c>
      <c r="B116" s="598" t="n">
        <v>39845</v>
      </c>
      <c r="C116" s="562" t="n">
        <f aca="false">'Revenues &amp; Expenses'!M116</f>
        <v>0.065041810986527</v>
      </c>
      <c r="D116" s="562" t="n">
        <f aca="false">C116+$C$3</f>
        <v>0.087541810986527</v>
      </c>
    </row>
    <row r="117" customFormat="false" ht="15.75" hidden="false" customHeight="false" outlineLevel="0" collapsed="false">
      <c r="A117" s="559" t="n">
        <v>39903</v>
      </c>
      <c r="B117" s="598" t="n">
        <v>39873</v>
      </c>
      <c r="C117" s="562" t="n">
        <f aca="false">'Revenues &amp; Expenses'!M117</f>
        <v>0.064933790714463</v>
      </c>
      <c r="D117" s="562" t="n">
        <f aca="false">C117+$C$3</f>
        <v>0.087433790714463</v>
      </c>
    </row>
    <row r="118" customFormat="false" ht="15.75" hidden="false" customHeight="false" outlineLevel="0" collapsed="false">
      <c r="A118" s="559" t="n">
        <v>39933</v>
      </c>
      <c r="B118" s="598" t="n">
        <v>39904</v>
      </c>
      <c r="C118" s="562" t="n">
        <f aca="false">'Revenues &amp; Expenses'!M118</f>
        <v>0.064814196936563</v>
      </c>
      <c r="D118" s="562" t="n">
        <f aca="false">C118+$C$3</f>
        <v>0.087314196936563</v>
      </c>
    </row>
    <row r="119" customFormat="false" ht="15.75" hidden="false" customHeight="false" outlineLevel="0" collapsed="false">
      <c r="A119" s="559" t="n">
        <v>39964</v>
      </c>
      <c r="B119" s="598" t="n">
        <v>39934</v>
      </c>
      <c r="C119" s="562" t="n">
        <f aca="false">'Revenues &amp; Expenses'!M119</f>
        <v>0.064698461117264</v>
      </c>
      <c r="D119" s="562" t="n">
        <f aca="false">C119+$C$3</f>
        <v>0.087198461117264</v>
      </c>
    </row>
    <row r="120" customFormat="false" ht="15.75" hidden="false" customHeight="false" outlineLevel="0" collapsed="false">
      <c r="A120" s="559" t="n">
        <v>39994</v>
      </c>
      <c r="B120" s="598" t="n">
        <v>39965</v>
      </c>
      <c r="C120" s="562" t="n">
        <f aca="false">'Revenues &amp; Expenses'!M120</f>
        <v>0.064578867535287</v>
      </c>
      <c r="D120" s="562" t="n">
        <f aca="false">C120+$C$3</f>
        <v>0.087078867535287</v>
      </c>
    </row>
    <row r="121" customFormat="false" ht="15.75" hidden="false" customHeight="false" outlineLevel="0" collapsed="false">
      <c r="A121" s="559" t="n">
        <v>40025</v>
      </c>
      <c r="B121" s="598" t="n">
        <v>39995</v>
      </c>
      <c r="C121" s="562" t="n">
        <f aca="false">'Revenues &amp; Expenses'!M121</f>
        <v>0.064463131905601</v>
      </c>
      <c r="D121" s="562" t="n">
        <f aca="false">C121+$C$3</f>
        <v>0.086963131905601</v>
      </c>
    </row>
    <row r="122" customFormat="false" ht="15.75" hidden="false" customHeight="false" outlineLevel="0" collapsed="false">
      <c r="A122" s="559" t="n">
        <v>40056</v>
      </c>
      <c r="B122" s="598" t="n">
        <v>40026</v>
      </c>
      <c r="C122" s="562" t="n">
        <f aca="false">'Revenues &amp; Expenses'!M122</f>
        <v>0.064343538519569</v>
      </c>
      <c r="D122" s="562" t="n">
        <f aca="false">C122+$C$3</f>
        <v>0.086843538519569</v>
      </c>
    </row>
    <row r="123" customFormat="false" ht="15.75" hidden="false" customHeight="false" outlineLevel="0" collapsed="false">
      <c r="A123" s="559" t="n">
        <v>40086</v>
      </c>
      <c r="B123" s="598" t="n">
        <v>40057</v>
      </c>
      <c r="C123" s="562" t="n">
        <f aca="false">'Revenues &amp; Expenses'!M123</f>
        <v>0.064223945233122</v>
      </c>
      <c r="D123" s="562" t="n">
        <f aca="false">C123+$C$3</f>
        <v>0.086723945233122</v>
      </c>
    </row>
    <row r="124" customFormat="false" ht="15.75" hidden="false" customHeight="false" outlineLevel="0" collapsed="false">
      <c r="A124" s="559" t="n">
        <v>40117</v>
      </c>
      <c r="B124" s="598" t="n">
        <v>40087</v>
      </c>
      <c r="C124" s="562" t="n">
        <f aca="false">'Revenues &amp; Expenses'!M124</f>
        <v>0.064108209889451</v>
      </c>
      <c r="D124" s="562" t="n">
        <f aca="false">C124+$C$3</f>
        <v>0.086608209889451</v>
      </c>
    </row>
    <row r="125" customFormat="false" ht="15.75" hidden="false" customHeight="false" outlineLevel="0" collapsed="false">
      <c r="A125" s="559" t="n">
        <v>40147</v>
      </c>
      <c r="B125" s="598" t="n">
        <v>40118</v>
      </c>
      <c r="C125" s="562" t="n">
        <f aca="false">'Revenues &amp; Expenses'!M125</f>
        <v>0.063988616798981</v>
      </c>
      <c r="D125" s="562" t="n">
        <f aca="false">C125+$C$3</f>
        <v>0.086488616798981</v>
      </c>
    </row>
    <row r="126" customFormat="false" ht="15.75" hidden="false" customHeight="false" outlineLevel="0" collapsed="false">
      <c r="A126" s="559" t="n">
        <v>40178</v>
      </c>
      <c r="B126" s="598" t="n">
        <v>40148</v>
      </c>
      <c r="C126" s="562" t="n">
        <f aca="false">'Revenues &amp; Expenses'!M126</f>
        <v>0.063872881644976</v>
      </c>
      <c r="D126" s="562" t="n">
        <f aca="false">C126+$C$3</f>
        <v>0.086372881644976</v>
      </c>
    </row>
    <row r="127" customFormat="false" ht="15.75" hidden="false" customHeight="false" outlineLevel="0" collapsed="false">
      <c r="A127" s="559" t="n">
        <v>40209</v>
      </c>
      <c r="B127" s="598" t="n">
        <v>40179</v>
      </c>
      <c r="C127" s="562" t="n">
        <f aca="false">'Revenues &amp; Expenses'!M127</f>
        <v>0.063753288750505</v>
      </c>
      <c r="D127" s="562" t="n">
        <f aca="false">C127+$C$3</f>
        <v>0.086253288750505</v>
      </c>
    </row>
    <row r="128" customFormat="false" ht="15.75" hidden="false" customHeight="false" outlineLevel="0" collapsed="false">
      <c r="A128" s="559" t="n">
        <v>40237</v>
      </c>
      <c r="B128" s="598" t="n">
        <v>40210</v>
      </c>
      <c r="C128" s="562" t="n">
        <f aca="false">'Revenues &amp; Expenses'!M128</f>
        <v>0.063633695955649</v>
      </c>
      <c r="D128" s="562" t="n">
        <f aca="false">C128+$C$3</f>
        <v>0.086133695955649</v>
      </c>
    </row>
    <row r="129" customFormat="false" ht="15.75" hidden="false" customHeight="false" outlineLevel="0" collapsed="false">
      <c r="A129" s="559" t="n">
        <v>40268</v>
      </c>
      <c r="B129" s="598" t="n">
        <v>40238</v>
      </c>
      <c r="C129" s="562" t="n">
        <f aca="false">'Revenues &amp; Expenses'!M129</f>
        <v>0.063606092618865</v>
      </c>
      <c r="D129" s="562" t="n">
        <f aca="false">C129+$C$3</f>
        <v>0.086106092618865</v>
      </c>
    </row>
    <row r="130" customFormat="false" ht="15.75" hidden="false" customHeight="false" outlineLevel="0" collapsed="false">
      <c r="A130" s="559" t="n">
        <v>40298</v>
      </c>
      <c r="B130" s="598" t="n">
        <v>40269</v>
      </c>
      <c r="C130" s="562" t="n">
        <f aca="false">'Revenues &amp; Expenses'!M130</f>
        <v>0.06361770478462</v>
      </c>
      <c r="D130" s="562" t="n">
        <f aca="false">C130+$C$3</f>
        <v>0.08611770478462</v>
      </c>
    </row>
    <row r="131" customFormat="false" ht="15.75" hidden="false" customHeight="false" outlineLevel="0" collapsed="false">
      <c r="A131" s="559" t="n">
        <v>40329</v>
      </c>
      <c r="B131" s="598" t="n">
        <v>40299</v>
      </c>
      <c r="C131" s="562" t="n">
        <f aca="false">'Revenues &amp; Expenses'!M131</f>
        <v>0.063628942365278</v>
      </c>
      <c r="D131" s="562" t="n">
        <f aca="false">C131+$C$3</f>
        <v>0.086128942365278</v>
      </c>
    </row>
    <row r="132" customFormat="false" ht="15.75" hidden="false" customHeight="false" outlineLevel="0" collapsed="false">
      <c r="A132" s="559" t="n">
        <v>40359</v>
      </c>
      <c r="B132" s="598" t="n">
        <v>40330</v>
      </c>
      <c r="C132" s="562" t="n">
        <f aca="false">'Revenues &amp; Expenses'!M132</f>
        <v>0.063640554532881</v>
      </c>
      <c r="D132" s="562" t="n">
        <f aca="false">C132+$C$3</f>
        <v>0.086140554532881</v>
      </c>
    </row>
    <row r="133" customFormat="false" ht="15.75" hidden="false" customHeight="false" outlineLevel="0" collapsed="false">
      <c r="A133" s="559" t="n">
        <v>40390</v>
      </c>
      <c r="B133" s="598" t="n">
        <v>40360</v>
      </c>
      <c r="C133" s="562" t="n">
        <f aca="false">'Revenues &amp; Expenses'!M133</f>
        <v>0.063651792115327</v>
      </c>
      <c r="D133" s="562" t="n">
        <f aca="false">C133+$C$3</f>
        <v>0.086151792115327</v>
      </c>
    </row>
    <row r="134" customFormat="false" ht="15.75" hidden="false" customHeight="false" outlineLevel="0" collapsed="false">
      <c r="A134" s="559" t="n">
        <v>40421</v>
      </c>
      <c r="B134" s="598" t="n">
        <v>40391</v>
      </c>
      <c r="C134" s="562" t="n">
        <f aca="false">'Revenues &amp; Expenses'!M134</f>
        <v>0.063663404284779</v>
      </c>
      <c r="D134" s="562" t="n">
        <f aca="false">C134+$C$3</f>
        <v>0.086163404284779</v>
      </c>
    </row>
    <row r="135" customFormat="false" ht="15.75" hidden="false" customHeight="false" outlineLevel="0" collapsed="false">
      <c r="A135" s="559" t="n">
        <v>40451</v>
      </c>
      <c r="B135" s="598" t="n">
        <v>40422</v>
      </c>
      <c r="C135" s="562" t="n">
        <f aca="false">'Revenues &amp; Expenses'!M135</f>
        <v>0.06367501645517</v>
      </c>
      <c r="D135" s="562" t="n">
        <f aca="false">C135+$C$3</f>
        <v>0.08617501645517</v>
      </c>
    </row>
    <row r="136" customFormat="false" ht="15.75" hidden="false" customHeight="false" outlineLevel="0" collapsed="false">
      <c r="A136" s="559" t="n">
        <v>40482</v>
      </c>
      <c r="B136" s="598" t="n">
        <v>40452</v>
      </c>
      <c r="C136" s="562" t="n">
        <f aca="false">'Revenues &amp; Expenses'!M136</f>
        <v>0.063686254040313</v>
      </c>
      <c r="D136" s="562" t="n">
        <f aca="false">C136+$C$3</f>
        <v>0.086186254040313</v>
      </c>
    </row>
    <row r="137" customFormat="false" ht="15.75" hidden="false" customHeight="false" outlineLevel="0" collapsed="false">
      <c r="A137" s="559" t="n">
        <v>40512</v>
      </c>
      <c r="B137" s="598" t="n">
        <v>40483</v>
      </c>
      <c r="C137" s="562" t="n">
        <f aca="false">'Revenues &amp; Expenses'!M137</f>
        <v>0.063697866212553</v>
      </c>
      <c r="D137" s="562" t="n">
        <f aca="false">C137+$C$3</f>
        <v>0.086197866212553</v>
      </c>
    </row>
    <row r="138" customFormat="false" ht="15.75" hidden="false" customHeight="false" outlineLevel="0" collapsed="false">
      <c r="A138" s="559" t="n">
        <v>40543</v>
      </c>
      <c r="B138" s="598" t="n">
        <v>40513</v>
      </c>
      <c r="C138" s="562" t="n">
        <f aca="false">'Revenues &amp; Expenses'!M138</f>
        <v>0.063709103799484</v>
      </c>
      <c r="D138" s="562" t="n">
        <f aca="false">C138+$C$3</f>
        <v>0.086209103799484</v>
      </c>
    </row>
    <row r="139" customFormat="false" ht="15.75" hidden="false" customHeight="false" outlineLevel="0" collapsed="false">
      <c r="A139" s="559" t="n">
        <v>40574</v>
      </c>
      <c r="B139" s="598" t="n">
        <v>40544</v>
      </c>
      <c r="C139" s="562" t="n">
        <f aca="false">'Revenues &amp; Expenses'!M139</f>
        <v>0.063720715973571</v>
      </c>
      <c r="D139" s="562" t="n">
        <f aca="false">C139+$C$3</f>
        <v>0.086220715973571</v>
      </c>
    </row>
    <row r="140" customFormat="false" ht="15.75" hidden="false" customHeight="false" outlineLevel="0" collapsed="false">
      <c r="A140" s="559" t="n">
        <v>40602</v>
      </c>
      <c r="B140" s="598" t="n">
        <v>40575</v>
      </c>
      <c r="C140" s="562" t="n">
        <f aca="false">'Revenues &amp; Expenses'!M140</f>
        <v>0.063732328148597</v>
      </c>
      <c r="D140" s="562" t="n">
        <f aca="false">C140+$C$3</f>
        <v>0.086232328148597</v>
      </c>
    </row>
    <row r="141" customFormat="false" ht="15.75" hidden="false" customHeight="false" outlineLevel="0" collapsed="false">
      <c r="A141" s="559" t="n">
        <v>40633</v>
      </c>
      <c r="B141" s="598" t="n">
        <v>40603</v>
      </c>
      <c r="C141" s="562" t="n">
        <f aca="false">'Revenues &amp; Expenses'!M141</f>
        <v>0.063742816565557</v>
      </c>
      <c r="D141" s="562" t="n">
        <f aca="false">C141+$C$3</f>
        <v>0.086242816565557</v>
      </c>
    </row>
    <row r="142" customFormat="false" ht="15.75" hidden="false" customHeight="false" outlineLevel="0" collapsed="false">
      <c r="A142" s="559" t="n">
        <v>40663</v>
      </c>
      <c r="B142" s="598" t="n">
        <v>40634</v>
      </c>
      <c r="C142" s="562" t="n">
        <f aca="false">'Revenues &amp; Expenses'!M142</f>
        <v>0.063754428742371</v>
      </c>
      <c r="D142" s="562" t="n">
        <f aca="false">C142+$C$3</f>
        <v>0.086254428742371</v>
      </c>
    </row>
    <row r="143" customFormat="false" ht="15.75" hidden="false" customHeight="false" outlineLevel="0" collapsed="false">
      <c r="A143" s="559" t="n">
        <v>40694</v>
      </c>
      <c r="B143" s="598" t="n">
        <v>40664</v>
      </c>
      <c r="C143" s="562" t="n">
        <f aca="false">'Revenues &amp; Expenses'!M143</f>
        <v>0.06376566633373</v>
      </c>
      <c r="D143" s="562" t="n">
        <f aca="false">C143+$C$3</f>
        <v>0.08626566633373</v>
      </c>
    </row>
    <row r="144" customFormat="false" ht="15.75" hidden="false" customHeight="false" outlineLevel="0" collapsed="false">
      <c r="A144" s="559" t="n">
        <v>40724</v>
      </c>
      <c r="B144" s="598" t="n">
        <v>40695</v>
      </c>
      <c r="C144" s="562" t="n">
        <f aca="false">'Revenues &amp; Expenses'!M144</f>
        <v>0.063777278512391</v>
      </c>
      <c r="D144" s="562" t="n">
        <f aca="false">C144+$C$3</f>
        <v>0.086277278512391</v>
      </c>
    </row>
    <row r="145" customFormat="false" ht="15.75" hidden="false" customHeight="false" outlineLevel="0" collapsed="false">
      <c r="A145" s="559" t="n">
        <v>40755</v>
      </c>
      <c r="B145" s="598" t="n">
        <v>40725</v>
      </c>
      <c r="C145" s="562" t="n">
        <f aca="false">'Revenues &amp; Expenses'!M145</f>
        <v>0.063788516105539</v>
      </c>
      <c r="D145" s="562" t="n">
        <f aca="false">C145+$C$3</f>
        <v>0.086288516105539</v>
      </c>
    </row>
    <row r="146" customFormat="false" ht="15.75" hidden="false" customHeight="false" outlineLevel="0" collapsed="false">
      <c r="A146" s="559" t="n">
        <v>40786</v>
      </c>
      <c r="B146" s="598" t="n">
        <v>40756</v>
      </c>
      <c r="C146" s="562" t="n">
        <f aca="false">'Revenues &amp; Expenses'!M146</f>
        <v>0.063800128286049</v>
      </c>
      <c r="D146" s="562" t="n">
        <f aca="false">C146+$C$3</f>
        <v>0.086300128286049</v>
      </c>
    </row>
    <row r="147" customFormat="false" ht="15.75" hidden="false" customHeight="false" outlineLevel="0" collapsed="false">
      <c r="A147" s="559" t="n">
        <v>40816</v>
      </c>
      <c r="B147" s="598" t="n">
        <v>40787</v>
      </c>
      <c r="C147" s="562" t="n">
        <f aca="false">'Revenues &amp; Expenses'!M147</f>
        <v>0.063811740467497</v>
      </c>
      <c r="D147" s="562" t="n">
        <f aca="false">C147+$C$3</f>
        <v>0.086311740467497</v>
      </c>
    </row>
    <row r="148" customFormat="false" ht="15.75" hidden="false" customHeight="false" outlineLevel="0" collapsed="false">
      <c r="A148" s="559" t="n">
        <v>40847</v>
      </c>
      <c r="B148" s="598" t="n">
        <v>40817</v>
      </c>
      <c r="C148" s="562" t="n">
        <f aca="false">'Revenues &amp; Expenses'!M148</f>
        <v>0.063822978063342</v>
      </c>
      <c r="D148" s="562" t="n">
        <f aca="false">C148+$C$3</f>
        <v>0.086322978063342</v>
      </c>
    </row>
    <row r="149" customFormat="false" ht="15.75" hidden="false" customHeight="false" outlineLevel="0" collapsed="false">
      <c r="A149" s="559" t="n">
        <v>40877</v>
      </c>
      <c r="B149" s="598" t="n">
        <v>40848</v>
      </c>
      <c r="C149" s="562" t="n">
        <f aca="false">'Revenues &amp; Expenses'!M149</f>
        <v>0.063834590246639</v>
      </c>
      <c r="D149" s="562" t="n">
        <f aca="false">C149+$C$3</f>
        <v>0.086334590246639</v>
      </c>
    </row>
    <row r="150" customFormat="false" ht="15.75" hidden="false" customHeight="false" outlineLevel="0" collapsed="false">
      <c r="A150" s="559" t="n">
        <v>40908</v>
      </c>
      <c r="B150" s="598" t="n">
        <v>40878</v>
      </c>
      <c r="C150" s="562" t="n">
        <f aca="false">'Revenues &amp; Expenses'!M150</f>
        <v>0.063845827844272</v>
      </c>
      <c r="D150" s="562" t="n">
        <f aca="false">C150+$C$3</f>
        <v>0.086345827844272</v>
      </c>
    </row>
    <row r="151" customFormat="false" ht="15.75" hidden="false" customHeight="false" outlineLevel="0" collapsed="false">
      <c r="A151" s="559" t="n">
        <v>40939</v>
      </c>
      <c r="B151" s="598" t="n">
        <v>40909</v>
      </c>
      <c r="C151" s="562" t="n">
        <f aca="false">'Revenues &amp; Expenses'!M151</f>
        <v>0.063857440029416</v>
      </c>
      <c r="D151" s="562" t="n">
        <f aca="false">C151+$C$3</f>
        <v>0.086357440029416</v>
      </c>
    </row>
    <row r="152" customFormat="false" ht="15.75" hidden="false" customHeight="false" outlineLevel="0" collapsed="false">
      <c r="A152" s="559" t="n">
        <v>40968</v>
      </c>
      <c r="B152" s="598" t="n">
        <v>40940</v>
      </c>
      <c r="C152" s="562" t="n">
        <f aca="false">'Revenues &amp; Expenses'!M152</f>
        <v>0.0638690522155</v>
      </c>
      <c r="D152" s="562" t="n">
        <f aca="false">C152+$C$3</f>
        <v>0.0863690522155</v>
      </c>
    </row>
    <row r="153" customFormat="false" ht="15.75" hidden="false" customHeight="false" outlineLevel="0" collapsed="false">
      <c r="A153" s="559" t="n">
        <v>40999</v>
      </c>
      <c r="B153" s="598" t="n">
        <v>40969</v>
      </c>
      <c r="C153" s="562" t="n">
        <f aca="false">'Revenues &amp; Expenses'!M153</f>
        <v>0.063879915229138</v>
      </c>
      <c r="D153" s="562" t="n">
        <f aca="false">C153+$C$3</f>
        <v>0.086379915229138</v>
      </c>
    </row>
    <row r="154" customFormat="false" ht="15.75" hidden="false" customHeight="false" outlineLevel="0" collapsed="false">
      <c r="A154" s="559" t="n">
        <v>41029</v>
      </c>
      <c r="B154" s="598" t="n">
        <v>41000</v>
      </c>
      <c r="C154" s="562" t="n">
        <f aca="false">'Revenues &amp; Expenses'!M154</f>
        <v>0.063891527417039</v>
      </c>
      <c r="D154" s="562" t="n">
        <f aca="false">C154+$C$3</f>
        <v>0.086391527417039</v>
      </c>
    </row>
    <row r="155" customFormat="false" ht="15.75" hidden="false" customHeight="false" outlineLevel="0" collapsed="false">
      <c r="A155" s="559" t="n">
        <v>41060</v>
      </c>
      <c r="B155" s="598" t="n">
        <v>41030</v>
      </c>
      <c r="C155" s="562" t="n">
        <f aca="false">'Revenues &amp; Expenses'!M155</f>
        <v>0.063902765019129</v>
      </c>
      <c r="D155" s="562" t="n">
        <f aca="false">C155+$C$3</f>
        <v>0.086402765019129</v>
      </c>
    </row>
    <row r="156" customFormat="false" ht="15.75" hidden="false" customHeight="false" outlineLevel="0" collapsed="false">
      <c r="A156" s="559" t="n">
        <v>41090</v>
      </c>
      <c r="B156" s="598" t="n">
        <v>41061</v>
      </c>
      <c r="C156" s="562" t="n">
        <f aca="false">'Revenues &amp; Expenses'!M156</f>
        <v>0.063914377208878</v>
      </c>
      <c r="D156" s="562" t="n">
        <f aca="false">C156+$C$3</f>
        <v>0.086414377208878</v>
      </c>
    </row>
    <row r="157" customFormat="false" ht="15.75" hidden="false" customHeight="false" outlineLevel="0" collapsed="false">
      <c r="A157" s="559" t="n">
        <v>41121</v>
      </c>
      <c r="B157" s="598" t="n">
        <v>41091</v>
      </c>
      <c r="C157" s="562" t="n">
        <f aca="false">'Revenues &amp; Expenses'!M157</f>
        <v>0.063925614812756</v>
      </c>
      <c r="D157" s="562" t="n">
        <f aca="false">C157+$C$3</f>
        <v>0.086425614812756</v>
      </c>
    </row>
    <row r="158" customFormat="false" ht="15.75" hidden="false" customHeight="false" outlineLevel="0" collapsed="false">
      <c r="A158" s="559" t="n">
        <v>41152</v>
      </c>
      <c r="B158" s="598" t="n">
        <v>41122</v>
      </c>
      <c r="C158" s="562" t="n">
        <f aca="false">'Revenues &amp; Expenses'!M158</f>
        <v>0.063937227004352</v>
      </c>
      <c r="D158" s="562" t="n">
        <f aca="false">C158+$C$3</f>
        <v>0.086437227004352</v>
      </c>
    </row>
    <row r="159" customFormat="false" ht="15.75" hidden="false" customHeight="false" outlineLevel="0" collapsed="false">
      <c r="A159" s="559" t="n">
        <v>41182</v>
      </c>
      <c r="B159" s="598" t="n">
        <v>41153</v>
      </c>
      <c r="C159" s="562" t="n">
        <f aca="false">'Revenues &amp; Expenses'!M159</f>
        <v>0.063948839196889</v>
      </c>
      <c r="D159" s="562" t="n">
        <f aca="false">C159+$C$3</f>
        <v>0.086448839196889</v>
      </c>
    </row>
    <row r="160" customFormat="false" ht="15.75" hidden="false" customHeight="false" outlineLevel="0" collapsed="false">
      <c r="A160" s="559" t="n">
        <v>41213</v>
      </c>
      <c r="B160" s="598" t="n">
        <v>41183</v>
      </c>
      <c r="C160" s="562" t="n">
        <f aca="false">'Revenues &amp; Expenses'!M160</f>
        <v>0.063960076803463</v>
      </c>
      <c r="D160" s="562" t="n">
        <f aca="false">C160+$C$3</f>
        <v>0.086460076803463</v>
      </c>
    </row>
    <row r="161" customFormat="false" ht="15.75" hidden="false" customHeight="false" outlineLevel="0" collapsed="false">
      <c r="A161" s="559" t="n">
        <v>41243</v>
      </c>
      <c r="B161" s="598" t="n">
        <v>41214</v>
      </c>
      <c r="C161" s="562" t="n">
        <f aca="false">'Revenues &amp; Expenses'!M161</f>
        <v>0.063971688997847</v>
      </c>
      <c r="D161" s="562" t="n">
        <f aca="false">C161+$C$3</f>
        <v>0.086471688997847</v>
      </c>
    </row>
    <row r="162" customFormat="false" ht="15.75" hidden="false" customHeight="false" outlineLevel="0" collapsed="false">
      <c r="A162" s="559" t="n">
        <v>41274</v>
      </c>
      <c r="B162" s="598" t="n">
        <v>41244</v>
      </c>
      <c r="C162" s="562" t="n">
        <f aca="false">'Revenues &amp; Expenses'!M162</f>
        <v>0.06398292660621</v>
      </c>
      <c r="D162" s="562" t="n">
        <f aca="false">C162+$C$3</f>
        <v>0.08648292660621</v>
      </c>
    </row>
    <row r="163" customFormat="false" ht="15.75" hidden="false" customHeight="false" outlineLevel="0" collapsed="false">
      <c r="A163" s="559" t="n">
        <v>41305</v>
      </c>
      <c r="B163" s="598" t="n">
        <v>41275</v>
      </c>
      <c r="C163" s="562" t="n">
        <f aca="false">'Revenues &amp; Expenses'!M163</f>
        <v>0.063994538802442</v>
      </c>
      <c r="D163" s="562" t="n">
        <f aca="false">C163+$C$3</f>
        <v>0.086494538802442</v>
      </c>
    </row>
    <row r="164" customFormat="false" ht="15.75" hidden="false" customHeight="false" outlineLevel="0" collapsed="false">
      <c r="A164" s="559" t="n">
        <v>41333</v>
      </c>
      <c r="B164" s="598" t="n">
        <v>41306</v>
      </c>
      <c r="C164" s="562" t="n">
        <f aca="false">'Revenues &amp; Expenses'!M164</f>
        <v>0.064006150999613</v>
      </c>
      <c r="D164" s="562" t="n">
        <f aca="false">C164+$C$3</f>
        <v>0.086506150999613</v>
      </c>
    </row>
    <row r="165" customFormat="false" ht="15.75" hidden="false" customHeight="false" outlineLevel="0" collapsed="false">
      <c r="A165" s="559" t="n">
        <v>41364</v>
      </c>
      <c r="B165" s="598" t="n">
        <v>41334</v>
      </c>
      <c r="C165" s="562" t="n">
        <f aca="false">'Revenues &amp; Expenses'!M165</f>
        <v>0.064016639436574</v>
      </c>
      <c r="D165" s="562" t="n">
        <f aca="false">C165+$C$3</f>
        <v>0.086516639436574</v>
      </c>
    </row>
    <row r="166" customFormat="false" ht="15.75" hidden="false" customHeight="false" outlineLevel="0" collapsed="false">
      <c r="A166" s="559" t="n">
        <v>41394</v>
      </c>
      <c r="B166" s="598" t="n">
        <v>41365</v>
      </c>
      <c r="C166" s="562" t="n">
        <f aca="false">'Revenues &amp; Expenses'!M166</f>
        <v>0.064028251635532</v>
      </c>
      <c r="D166" s="562" t="n">
        <f aca="false">C166+$C$3</f>
        <v>0.086528251635532</v>
      </c>
    </row>
    <row r="167" customFormat="false" ht="15.75" hidden="false" customHeight="false" outlineLevel="0" collapsed="false">
      <c r="A167" s="559" t="n">
        <v>41425</v>
      </c>
      <c r="B167" s="598" t="n">
        <v>41395</v>
      </c>
      <c r="C167" s="562" t="n">
        <f aca="false">'Revenues &amp; Expenses'!M167</f>
        <v>0.064039489248322</v>
      </c>
      <c r="D167" s="562" t="n">
        <f aca="false">C167+$C$3</f>
        <v>0.086539489248322</v>
      </c>
    </row>
    <row r="168" customFormat="false" ht="15.75" hidden="false" customHeight="false" outlineLevel="0" collapsed="false">
      <c r="A168" s="559" t="n">
        <v>41455</v>
      </c>
      <c r="B168" s="598" t="n">
        <v>41426</v>
      </c>
      <c r="C168" s="562" t="n">
        <f aca="false">'Revenues &amp; Expenses'!M168</f>
        <v>0.064051101449128</v>
      </c>
      <c r="D168" s="562" t="n">
        <f aca="false">C168+$C$3</f>
        <v>0.086551101449128</v>
      </c>
    </row>
    <row r="169" customFormat="false" ht="15.75" hidden="false" customHeight="false" outlineLevel="0" collapsed="false">
      <c r="A169" s="559" t="n">
        <v>41486</v>
      </c>
      <c r="B169" s="598" t="n">
        <v>41456</v>
      </c>
      <c r="C169" s="562" t="n">
        <f aca="false">'Revenues &amp; Expenses'!M169</f>
        <v>0.064062339063705</v>
      </c>
      <c r="D169" s="562" t="n">
        <f aca="false">C169+$C$3</f>
        <v>0.086562339063705</v>
      </c>
    </row>
    <row r="170" customFormat="false" ht="15.75" hidden="false" customHeight="false" outlineLevel="0" collapsed="false">
      <c r="A170" s="559" t="n">
        <v>41517</v>
      </c>
      <c r="B170" s="598" t="n">
        <v>41487</v>
      </c>
      <c r="C170" s="562" t="n">
        <f aca="false">'Revenues &amp; Expenses'!M170</f>
        <v>0.064073951266359</v>
      </c>
      <c r="D170" s="562" t="n">
        <f aca="false">C170+$C$3</f>
        <v>0.086573951266359</v>
      </c>
    </row>
    <row r="171" customFormat="false" ht="15.75" hidden="false" customHeight="false" outlineLevel="0" collapsed="false">
      <c r="A171" s="559" t="n">
        <v>41547</v>
      </c>
      <c r="B171" s="598" t="n">
        <v>41518</v>
      </c>
      <c r="C171" s="562" t="n">
        <f aca="false">'Revenues &amp; Expenses'!M171</f>
        <v>0.064085563469952</v>
      </c>
      <c r="D171" s="562" t="n">
        <f aca="false">C171+$C$3</f>
        <v>0.086585563469952</v>
      </c>
    </row>
    <row r="172" customFormat="false" ht="15.75" hidden="false" customHeight="false" outlineLevel="0" collapsed="false">
      <c r="A172" s="559" t="n">
        <v>41578</v>
      </c>
      <c r="B172" s="598" t="n">
        <v>41548</v>
      </c>
      <c r="C172" s="562" t="n">
        <f aca="false">'Revenues &amp; Expenses'!M172</f>
        <v>0.064096801087225</v>
      </c>
      <c r="D172" s="562" t="n">
        <f aca="false">C172+$C$3</f>
        <v>0.086596801087225</v>
      </c>
    </row>
    <row r="173" customFormat="false" ht="15.75" hidden="false" customHeight="false" outlineLevel="0" collapsed="false">
      <c r="A173" s="559" t="n">
        <v>41608</v>
      </c>
      <c r="B173" s="598" t="n">
        <v>41579</v>
      </c>
      <c r="C173" s="562" t="n">
        <f aca="false">'Revenues &amp; Expenses'!M173</f>
        <v>0.064108413292666</v>
      </c>
      <c r="D173" s="562" t="n">
        <f aca="false">C173+$C$3</f>
        <v>0.086608413292666</v>
      </c>
    </row>
    <row r="174" customFormat="false" ht="15.75" hidden="false" customHeight="false" outlineLevel="0" collapsed="false">
      <c r="A174" s="559" t="n">
        <v>41639</v>
      </c>
      <c r="B174" s="598" t="n">
        <v>41609</v>
      </c>
      <c r="C174" s="562" t="n">
        <f aca="false">'Revenues &amp; Expenses'!M174</f>
        <v>0.064119650911728</v>
      </c>
      <c r="D174" s="562" t="n">
        <f aca="false">C174+$C$3</f>
        <v>0.086619650911728</v>
      </c>
    </row>
    <row r="175" customFormat="false" ht="15.75" hidden="false" customHeight="false" outlineLevel="0" collapsed="false">
      <c r="A175" s="559" t="n">
        <v>41670</v>
      </c>
      <c r="B175" s="598" t="n">
        <v>41640</v>
      </c>
      <c r="C175" s="562" t="n">
        <f aca="false">'Revenues &amp; Expenses'!M175</f>
        <v>0.064131263119016</v>
      </c>
      <c r="D175" s="562" t="n">
        <f aca="false">C175+$C$3</f>
        <v>0.086631263119016</v>
      </c>
    </row>
    <row r="176" customFormat="false" ht="15.75" hidden="false" customHeight="false" outlineLevel="0" collapsed="false">
      <c r="A176" s="559" t="n">
        <v>41698</v>
      </c>
      <c r="B176" s="598" t="n">
        <v>41671</v>
      </c>
      <c r="C176" s="562" t="n">
        <f aca="false">'Revenues &amp; Expenses'!M176</f>
        <v>0.064142875327243</v>
      </c>
      <c r="D176" s="562" t="n">
        <f aca="false">C176+$C$3</f>
        <v>0.086642875327243</v>
      </c>
    </row>
    <row r="177" customFormat="false" ht="15.75" hidden="false" customHeight="false" outlineLevel="0" collapsed="false">
      <c r="A177" s="559" t="n">
        <v>41729</v>
      </c>
      <c r="B177" s="598" t="n">
        <v>41699</v>
      </c>
      <c r="C177" s="562" t="n">
        <f aca="false">'Revenues &amp; Expenses'!M177</f>
        <v>0.064153363774191</v>
      </c>
      <c r="D177" s="562" t="n">
        <f aca="false">C177+$C$3</f>
        <v>0.086653363774191</v>
      </c>
    </row>
    <row r="178" customFormat="false" ht="15.75" hidden="false" customHeight="false" outlineLevel="0" collapsed="false">
      <c r="A178" s="559" t="n">
        <v>41759</v>
      </c>
      <c r="B178" s="598" t="n">
        <v>41730</v>
      </c>
      <c r="C178" s="562" t="n">
        <f aca="false">'Revenues &amp; Expenses'!M178</f>
        <v>0.064164975984205</v>
      </c>
      <c r="D178" s="562" t="n">
        <f aca="false">C178+$C$3</f>
        <v>0.086664975984205</v>
      </c>
    </row>
    <row r="179" customFormat="false" ht="15.75" hidden="false" customHeight="false" outlineLevel="0" collapsed="false">
      <c r="A179" s="559" t="n">
        <v>41790</v>
      </c>
      <c r="B179" s="598" t="n">
        <v>41760</v>
      </c>
      <c r="C179" s="562" t="n">
        <f aca="false">'Revenues &amp; Expenses'!M179</f>
        <v>0.064176213607694</v>
      </c>
      <c r="D179" s="562" t="n">
        <f aca="false">C179+$C$3</f>
        <v>0.086676213607694</v>
      </c>
    </row>
    <row r="180" customFormat="false" ht="15.75" hidden="false" customHeight="false" outlineLevel="0" collapsed="false">
      <c r="A180" s="559" t="n">
        <v>41820</v>
      </c>
      <c r="B180" s="598" t="n">
        <v>41791</v>
      </c>
      <c r="C180" s="562" t="n">
        <f aca="false">'Revenues &amp; Expenses'!M180</f>
        <v>0.064187825819556</v>
      </c>
      <c r="D180" s="562" t="n">
        <f aca="false">C180+$C$3</f>
        <v>0.086687825819556</v>
      </c>
    </row>
    <row r="181" customFormat="false" ht="15.75" hidden="false" customHeight="false" outlineLevel="0" collapsed="false">
      <c r="A181" s="559" t="n">
        <v>41851</v>
      </c>
      <c r="B181" s="598" t="n">
        <v>41821</v>
      </c>
      <c r="C181" s="562" t="n">
        <f aca="false">'Revenues &amp; Expenses'!M181</f>
        <v>0.064199063444832</v>
      </c>
      <c r="D181" s="562" t="n">
        <f aca="false">C181+$C$3</f>
        <v>0.086699063444832</v>
      </c>
    </row>
    <row r="182" customFormat="false" ht="15.75" hidden="false" customHeight="false" outlineLevel="0" collapsed="false">
      <c r="A182" s="559" t="n">
        <v>41882</v>
      </c>
      <c r="B182" s="598" t="n">
        <v>41852</v>
      </c>
      <c r="C182" s="562" t="n">
        <f aca="false">'Revenues &amp; Expenses'!M182</f>
        <v>0.064210675658542</v>
      </c>
      <c r="D182" s="562" t="n">
        <f aca="false">C182+$C$3</f>
        <v>0.086710675658542</v>
      </c>
    </row>
    <row r="183" customFormat="false" ht="15.75" hidden="false" customHeight="false" outlineLevel="0" collapsed="false">
      <c r="A183" s="559" t="n">
        <v>41912</v>
      </c>
      <c r="B183" s="598" t="n">
        <v>41883</v>
      </c>
      <c r="C183" s="562" t="n">
        <f aca="false">'Revenues &amp; Expenses'!M183</f>
        <v>0.064222287873191</v>
      </c>
      <c r="D183" s="562" t="n">
        <f aca="false">C183+$C$3</f>
        <v>0.086722287873191</v>
      </c>
    </row>
    <row r="184" customFormat="false" ht="15.75" hidden="false" customHeight="false" outlineLevel="0" collapsed="false">
      <c r="A184" s="559" t="n">
        <v>41943</v>
      </c>
      <c r="B184" s="598" t="n">
        <v>41913</v>
      </c>
      <c r="C184" s="562" t="n">
        <f aca="false">'Revenues &amp; Expenses'!M184</f>
        <v>0.064233525501164</v>
      </c>
      <c r="D184" s="562" t="n">
        <f aca="false">C184+$C$3</f>
        <v>0.086733525501164</v>
      </c>
    </row>
    <row r="185" customFormat="false" ht="15.75" hidden="false" customHeight="false" outlineLevel="0" collapsed="false">
      <c r="A185" s="559" t="n">
        <v>41973</v>
      </c>
      <c r="B185" s="598" t="n">
        <v>41944</v>
      </c>
      <c r="C185" s="562" t="n">
        <f aca="false">'Revenues &amp; Expenses'!M185</f>
        <v>0.06424513771766</v>
      </c>
      <c r="D185" s="562" t="n">
        <f aca="false">C185+$C$3</f>
        <v>0.08674513771766</v>
      </c>
    </row>
    <row r="186" customFormat="false" ht="15.75" hidden="false" customHeight="false" outlineLevel="0" collapsed="false">
      <c r="A186" s="559" t="n">
        <v>42004</v>
      </c>
      <c r="B186" s="598" t="n">
        <v>41974</v>
      </c>
      <c r="C186" s="562" t="n">
        <f aca="false">'Revenues &amp; Expenses'!M186</f>
        <v>0.064256375347421</v>
      </c>
      <c r="D186" s="562" t="n">
        <f aca="false">C186+$C$3</f>
        <v>0.086756375347421</v>
      </c>
    </row>
    <row r="187" customFormat="false" ht="15.75" hidden="false" customHeight="false" outlineLevel="0" collapsed="false">
      <c r="A187" s="559" t="n">
        <v>42035</v>
      </c>
      <c r="B187" s="598" t="n">
        <v>42005</v>
      </c>
      <c r="C187" s="562" t="n">
        <f aca="false">'Revenues &amp; Expenses'!M187</f>
        <v>0.064267987565764</v>
      </c>
      <c r="D187" s="562" t="n">
        <f aca="false">C187+$C$3</f>
        <v>0.086767987565764</v>
      </c>
    </row>
    <row r="188" customFormat="false" ht="15.75" hidden="false" customHeight="false" outlineLevel="0" collapsed="false">
      <c r="A188" s="559" t="n">
        <v>42063</v>
      </c>
      <c r="B188" s="598" t="n">
        <v>42036</v>
      </c>
      <c r="C188" s="562" t="n">
        <f aca="false">'Revenues &amp; Expenses'!M188</f>
        <v>0.064279599785047</v>
      </c>
      <c r="D188" s="562" t="n">
        <f aca="false">C188+$C$3</f>
        <v>0.086779599785047</v>
      </c>
    </row>
    <row r="189" customFormat="false" ht="15.75" hidden="false" customHeight="false" outlineLevel="0" collapsed="false">
      <c r="A189" s="559" t="n">
        <v>42094</v>
      </c>
      <c r="B189" s="598" t="n">
        <v>42064</v>
      </c>
      <c r="C189" s="562" t="n">
        <f aca="false">'Revenues &amp; Expenses'!M189</f>
        <v>0.06429008824198</v>
      </c>
      <c r="D189" s="562" t="n">
        <f aca="false">C189+$C$3</f>
        <v>0.08679008824198</v>
      </c>
    </row>
    <row r="190" customFormat="false" ht="15.75" hidden="false" customHeight="false" outlineLevel="0" collapsed="false">
      <c r="A190" s="559" t="n">
        <v>42124</v>
      </c>
      <c r="B190" s="598" t="n">
        <v>42095</v>
      </c>
      <c r="C190" s="562" t="n">
        <f aca="false">'Revenues &amp; Expenses'!M190</f>
        <v>0.06430170046305</v>
      </c>
      <c r="D190" s="562" t="n">
        <f aca="false">C190+$C$3</f>
        <v>0.08680170046305</v>
      </c>
    </row>
    <row r="191" customFormat="false" ht="15.75" hidden="false" customHeight="false" outlineLevel="0" collapsed="false">
      <c r="A191" s="559" t="n">
        <v>42155</v>
      </c>
      <c r="B191" s="598" t="n">
        <v>42125</v>
      </c>
      <c r="C191" s="562" t="n">
        <f aca="false">'Revenues &amp; Expenses'!M191</f>
        <v>0.064312938097237</v>
      </c>
      <c r="D191" s="562" t="n">
        <f aca="false">C191+$C$3</f>
        <v>0.086812938097237</v>
      </c>
    </row>
    <row r="192" customFormat="false" ht="15.75" hidden="false" customHeight="false" outlineLevel="0" collapsed="false">
      <c r="A192" s="559" t="n">
        <v>42185</v>
      </c>
      <c r="B192" s="598" t="n">
        <v>42156</v>
      </c>
      <c r="C192" s="562" t="n">
        <f aca="false">'Revenues &amp; Expenses'!M192</f>
        <v>0.064324550320154</v>
      </c>
      <c r="D192" s="562" t="n">
        <f aca="false">C192+$C$3</f>
        <v>0.086824550320154</v>
      </c>
    </row>
    <row r="193" customFormat="false" ht="15.75" hidden="false" customHeight="false" outlineLevel="0" collapsed="false">
      <c r="A193" s="559" t="n">
        <v>42216</v>
      </c>
      <c r="B193" s="598" t="n">
        <v>42186</v>
      </c>
      <c r="C193" s="562" t="n">
        <f aca="false">'Revenues &amp; Expenses'!M193</f>
        <v>0.064335787956129</v>
      </c>
      <c r="D193" s="562" t="n">
        <f aca="false">C193+$C$3</f>
        <v>0.086835787956129</v>
      </c>
    </row>
    <row r="194" customFormat="false" ht="15.75" hidden="false" customHeight="false" outlineLevel="0" collapsed="false">
      <c r="A194" s="559" t="n">
        <v>42247</v>
      </c>
      <c r="B194" s="598" t="n">
        <v>42217</v>
      </c>
      <c r="C194" s="562" t="n">
        <f aca="false">'Revenues &amp; Expenses'!M194</f>
        <v>0.064347400180894</v>
      </c>
      <c r="D194" s="562" t="n">
        <f aca="false">C194+$C$3</f>
        <v>0.086847400180894</v>
      </c>
    </row>
    <row r="195" customFormat="false" ht="15.75" hidden="false" customHeight="false" outlineLevel="0" collapsed="false">
      <c r="A195" s="559" t="n">
        <v>42277</v>
      </c>
      <c r="B195" s="598" t="n">
        <v>42248</v>
      </c>
      <c r="C195" s="562" t="n">
        <f aca="false">'Revenues &amp; Expenses'!M195</f>
        <v>0.064359012406598</v>
      </c>
      <c r="D195" s="562" t="n">
        <f aca="false">C195+$C$3</f>
        <v>0.086859012406598</v>
      </c>
    </row>
    <row r="196" customFormat="false" ht="15.75" hidden="false" customHeight="false" outlineLevel="0" collapsed="false">
      <c r="A196" s="559" t="n">
        <v>42308</v>
      </c>
      <c r="B196" s="598" t="n">
        <v>42278</v>
      </c>
      <c r="C196" s="562" t="n">
        <f aca="false">'Revenues &amp; Expenses'!M196</f>
        <v>0.06437025004527</v>
      </c>
      <c r="D196" s="562" t="n">
        <f aca="false">C196+$C$3</f>
        <v>0.08687025004527</v>
      </c>
    </row>
    <row r="197" customFormat="false" ht="15.75" hidden="false" customHeight="false" outlineLevel="0" collapsed="false">
      <c r="A197" s="559" t="n">
        <v>42338</v>
      </c>
      <c r="B197" s="598" t="n">
        <v>42309</v>
      </c>
      <c r="C197" s="562" t="n">
        <f aca="false">'Revenues &amp; Expenses'!M197</f>
        <v>0.06438186227282</v>
      </c>
      <c r="D197" s="562" t="n">
        <f aca="false">C197+$C$3</f>
        <v>0.08688186227282</v>
      </c>
    </row>
    <row r="198" customFormat="false" ht="15.75" hidden="false" customHeight="false" outlineLevel="0" collapsed="false">
      <c r="A198" s="559" t="n">
        <v>42369</v>
      </c>
      <c r="B198" s="598" t="n">
        <v>42339</v>
      </c>
      <c r="C198" s="562" t="n">
        <f aca="false">'Revenues &amp; Expenses'!M198</f>
        <v>0.06439309991328</v>
      </c>
      <c r="D198" s="562" t="n">
        <f aca="false">C198+$C$3</f>
        <v>0.08689309991328</v>
      </c>
    </row>
    <row r="199" customFormat="false" ht="15.75" hidden="false" customHeight="false" outlineLevel="0" collapsed="false">
      <c r="A199" s="559" t="n">
        <v>42400</v>
      </c>
      <c r="B199" s="598" t="n">
        <v>42370</v>
      </c>
      <c r="C199" s="562" t="n">
        <f aca="false">'Revenues &amp; Expenses'!M199</f>
        <v>0.064404712142678</v>
      </c>
      <c r="D199" s="562" t="n">
        <f aca="false">C199+$C$3</f>
        <v>0.086904712142678</v>
      </c>
    </row>
    <row r="200" customFormat="false" ht="15.75" hidden="false" customHeight="false" outlineLevel="0" collapsed="false">
      <c r="A200" s="559" t="n">
        <v>42429</v>
      </c>
      <c r="B200" s="598" t="n">
        <v>42401</v>
      </c>
      <c r="C200" s="562" t="n">
        <f aca="false">'Revenues &amp; Expenses'!M200</f>
        <v>0.064416324373016</v>
      </c>
      <c r="D200" s="562" t="n">
        <f aca="false">C200+$C$3</f>
        <v>0.086916324373016</v>
      </c>
    </row>
    <row r="201" customFormat="false" ht="15.75" hidden="false" customHeight="false" outlineLevel="0" collapsed="false">
      <c r="A201" s="559" t="n">
        <v>42460</v>
      </c>
      <c r="B201" s="598" t="n">
        <v>42430</v>
      </c>
      <c r="C201" s="562" t="n">
        <f aca="false">'Revenues &amp; Expenses'!M201</f>
        <v>0.064427187428052</v>
      </c>
      <c r="D201" s="562" t="n">
        <f aca="false">C201+$C$3</f>
        <v>0.086927187428052</v>
      </c>
    </row>
    <row r="202" customFormat="false" ht="15.75" hidden="false" customHeight="false" outlineLevel="0" collapsed="false">
      <c r="A202" s="559" t="n">
        <v>42490</v>
      </c>
      <c r="B202" s="598" t="n">
        <v>42461</v>
      </c>
      <c r="C202" s="562" t="n">
        <f aca="false">'Revenues &amp; Expenses'!M202</f>
        <v>0.064438799660207</v>
      </c>
      <c r="D202" s="562" t="n">
        <f aca="false">C202+$C$3</f>
        <v>0.086938799660207</v>
      </c>
    </row>
    <row r="203" customFormat="false" ht="15.75" hidden="false" customHeight="false" outlineLevel="0" collapsed="false">
      <c r="A203" s="559" t="n">
        <v>42521</v>
      </c>
      <c r="B203" s="598" t="n">
        <v>42491</v>
      </c>
      <c r="C203" s="562" t="n">
        <f aca="false">'Revenues &amp; Expenses'!M203</f>
        <v>0.064450037305121</v>
      </c>
      <c r="D203" s="562" t="n">
        <f aca="false">C203+$C$3</f>
        <v>0.086950037305121</v>
      </c>
    </row>
    <row r="204" customFormat="false" ht="15.75" hidden="false" customHeight="false" outlineLevel="0" collapsed="false">
      <c r="A204" s="559" t="n">
        <v>42551</v>
      </c>
      <c r="B204" s="598" t="n">
        <v>42522</v>
      </c>
      <c r="C204" s="562" t="n">
        <f aca="false">'Revenues &amp; Expenses'!M204</f>
        <v>0.064461649539123</v>
      </c>
      <c r="D204" s="562" t="n">
        <f aca="false">C204+$C$3</f>
        <v>0.086961649539123</v>
      </c>
    </row>
    <row r="205" customFormat="false" ht="15.75" hidden="false" customHeight="false" outlineLevel="0" collapsed="false">
      <c r="A205" s="559" t="n">
        <v>42582</v>
      </c>
      <c r="B205" s="598" t="n">
        <v>42552</v>
      </c>
      <c r="C205" s="562" t="n">
        <f aca="false">'Revenues &amp; Expenses'!M205</f>
        <v>0.064472887185825</v>
      </c>
      <c r="D205" s="562" t="n">
        <f aca="false">C205+$C$3</f>
        <v>0.086972887185825</v>
      </c>
    </row>
    <row r="206" customFormat="false" ht="15.75" hidden="false" customHeight="false" outlineLevel="0" collapsed="false">
      <c r="A206" s="559" t="n">
        <v>42613</v>
      </c>
      <c r="B206" s="598" t="n">
        <v>42583</v>
      </c>
      <c r="C206" s="562" t="n">
        <f aca="false">'Revenues &amp; Expenses'!M206</f>
        <v>0.064484499421675</v>
      </c>
      <c r="D206" s="562" t="n">
        <f aca="false">C206+$C$3</f>
        <v>0.086984499421675</v>
      </c>
    </row>
    <row r="207" customFormat="false" ht="15.75" hidden="false" customHeight="false" outlineLevel="0" collapsed="false">
      <c r="A207" s="559" t="n">
        <v>42643</v>
      </c>
      <c r="B207" s="598" t="n">
        <v>42614</v>
      </c>
      <c r="C207" s="562" t="n">
        <f aca="false">'Revenues &amp; Expenses'!M207</f>
        <v>0.064496111658463</v>
      </c>
      <c r="D207" s="562" t="n">
        <f aca="false">C207+$C$3</f>
        <v>0.086996111658463</v>
      </c>
    </row>
    <row r="208" customFormat="false" ht="15.75" hidden="false" customHeight="false" outlineLevel="0" collapsed="false">
      <c r="A208" s="559" t="n">
        <v>42674</v>
      </c>
      <c r="B208" s="598" t="n">
        <v>42644</v>
      </c>
      <c r="C208" s="562" t="n">
        <f aca="false">'Revenues &amp; Expenses'!M208</f>
        <v>0.064507349307862</v>
      </c>
      <c r="D208" s="562" t="n">
        <f aca="false">C208+$C$3</f>
        <v>0.087007349307862</v>
      </c>
    </row>
    <row r="209" customFormat="false" ht="15.75" hidden="false" customHeight="false" outlineLevel="0" collapsed="false">
      <c r="A209" s="559" t="n">
        <v>42704</v>
      </c>
      <c r="B209" s="598" t="n">
        <v>42675</v>
      </c>
      <c r="C209" s="562" t="n">
        <f aca="false">'Revenues &amp; Expenses'!M209</f>
        <v>0.064518961546497</v>
      </c>
      <c r="D209" s="562" t="n">
        <f aca="false">C209+$C$3</f>
        <v>0.087018961546497</v>
      </c>
    </row>
    <row r="210" customFormat="false" ht="15.75" hidden="false" customHeight="false" outlineLevel="0" collapsed="false">
      <c r="A210" s="559" t="n">
        <v>42735</v>
      </c>
      <c r="B210" s="598" t="n">
        <v>42705</v>
      </c>
      <c r="C210" s="562" t="n">
        <f aca="false">'Revenues &amp; Expenses'!M210</f>
        <v>0.064530199197684</v>
      </c>
      <c r="D210" s="562" t="n">
        <f aca="false">C210+$C$3</f>
        <v>0.087030199197684</v>
      </c>
    </row>
    <row r="211" customFormat="false" ht="15.75" hidden="false" customHeight="false" outlineLevel="0" collapsed="false">
      <c r="A211" s="559" t="n">
        <v>42766</v>
      </c>
      <c r="B211" s="598" t="n">
        <v>42736</v>
      </c>
      <c r="C211" s="562" t="n">
        <f aca="false">'Revenues &amp; Expenses'!M211</f>
        <v>0.064541811438167</v>
      </c>
      <c r="D211" s="562" t="n">
        <f aca="false">C211+$C$3</f>
        <v>0.087041811438167</v>
      </c>
    </row>
    <row r="212" customFormat="false" ht="15.75" hidden="false" customHeight="false" outlineLevel="0" collapsed="false">
      <c r="A212" s="559" t="n">
        <v>42794</v>
      </c>
      <c r="B212" s="598" t="n">
        <v>42767</v>
      </c>
      <c r="C212" s="562" t="n">
        <f aca="false">'Revenues &amp; Expenses'!M212</f>
        <v>0.064553423679588</v>
      </c>
      <c r="D212" s="562" t="n">
        <f aca="false">C212+$C$3</f>
        <v>0.087053423679588</v>
      </c>
    </row>
    <row r="213" customFormat="false" ht="15.75" hidden="false" customHeight="false" outlineLevel="0" collapsed="false">
      <c r="A213" s="559" t="n">
        <v>42825</v>
      </c>
      <c r="B213" s="598" t="n">
        <v>42795</v>
      </c>
      <c r="C213" s="562" t="n">
        <f aca="false">'Revenues &amp; Expenses'!M213</f>
        <v>0.064563912156518</v>
      </c>
      <c r="D213" s="562" t="n">
        <f aca="false">C213+$C$3</f>
        <v>0.087063912156518</v>
      </c>
    </row>
    <row r="214" customFormat="false" ht="15.75" hidden="false" customHeight="false" outlineLevel="0" collapsed="false">
      <c r="A214" s="559" t="n">
        <v>42855</v>
      </c>
      <c r="B214" s="598" t="n">
        <v>42826</v>
      </c>
      <c r="C214" s="562" t="n">
        <f aca="false">'Revenues &amp; Expenses'!M214</f>
        <v>0.064575524399727</v>
      </c>
      <c r="D214" s="562" t="n">
        <f aca="false">C214+$C$3</f>
        <v>0.087075524399727</v>
      </c>
    </row>
    <row r="215" customFormat="false" ht="15.75" hidden="false" customHeight="false" outlineLevel="0" collapsed="false">
      <c r="A215" s="559" t="n">
        <v>42886</v>
      </c>
      <c r="B215" s="598" t="n">
        <v>42856</v>
      </c>
      <c r="C215" s="562" t="n">
        <f aca="false">'Revenues &amp; Expenses'!M215</f>
        <v>0.064586762055339</v>
      </c>
      <c r="D215" s="562" t="n">
        <f aca="false">C215+$C$3</f>
        <v>0.087086762055339</v>
      </c>
    </row>
    <row r="216" customFormat="false" ht="15.75" hidden="false" customHeight="false" outlineLevel="0" collapsed="false">
      <c r="A216" s="559" t="n">
        <v>42916</v>
      </c>
      <c r="B216" s="598" t="n">
        <v>42887</v>
      </c>
      <c r="C216" s="562" t="n">
        <f aca="false">'Revenues &amp; Expenses'!M216</f>
        <v>0.064598374300394</v>
      </c>
      <c r="D216" s="562" t="n">
        <f aca="false">C216+$C$3</f>
        <v>0.087098374300394</v>
      </c>
    </row>
    <row r="217" customFormat="false" ht="15.75" hidden="false" customHeight="false" outlineLevel="0" collapsed="false">
      <c r="A217" s="559" t="n">
        <v>42947</v>
      </c>
      <c r="B217" s="598" t="n">
        <v>42917</v>
      </c>
      <c r="C217" s="562" t="n">
        <f aca="false">'Revenues &amp; Expenses'!M217</f>
        <v>0.064609611957794</v>
      </c>
      <c r="D217" s="562" t="n">
        <f aca="false">C217+$C$3</f>
        <v>0.087109611957794</v>
      </c>
    </row>
    <row r="218" customFormat="false" ht="15.75" hidden="false" customHeight="false" outlineLevel="0" collapsed="false">
      <c r="A218" s="559" t="n">
        <v>42978</v>
      </c>
      <c r="B218" s="598" t="n">
        <v>42948</v>
      </c>
      <c r="C218" s="562" t="n">
        <f aca="false">'Revenues &amp; Expenses'!M218</f>
        <v>0.064621224204697</v>
      </c>
      <c r="D218" s="562" t="n">
        <f aca="false">C218+$C$3</f>
        <v>0.087121224204697</v>
      </c>
    </row>
    <row r="219" customFormat="false" ht="15.75" hidden="false" customHeight="false" outlineLevel="0" collapsed="false">
      <c r="A219" s="559" t="n">
        <v>43008</v>
      </c>
      <c r="B219" s="598" t="n">
        <v>42979</v>
      </c>
      <c r="C219" s="562" t="n">
        <f aca="false">'Revenues &amp; Expenses'!M219</f>
        <v>0.064632836452538</v>
      </c>
      <c r="D219" s="562" t="n">
        <f aca="false">C219+$C$3</f>
        <v>0.087132836452538</v>
      </c>
    </row>
    <row r="220" customFormat="false" ht="15.75" hidden="false" customHeight="false" outlineLevel="0" collapsed="false">
      <c r="A220" s="559" t="n">
        <v>43039</v>
      </c>
      <c r="B220" s="598" t="n">
        <v>43009</v>
      </c>
      <c r="C220" s="562" t="n">
        <f aca="false">'Revenues &amp; Expenses'!M220</f>
        <v>0.064644074112634</v>
      </c>
      <c r="D220" s="562" t="n">
        <f aca="false">C220+$C$3</f>
        <v>0.087144074112634</v>
      </c>
    </row>
    <row r="221" customFormat="false" ht="15.75" hidden="false" customHeight="false" outlineLevel="0" collapsed="false">
      <c r="A221" s="559" t="n">
        <v>43069</v>
      </c>
      <c r="B221" s="598" t="n">
        <v>43040</v>
      </c>
      <c r="C221" s="562" t="n">
        <f aca="false">'Revenues &amp; Expenses'!M221</f>
        <v>0.064655686362323</v>
      </c>
      <c r="D221" s="562" t="n">
        <f aca="false">C221+$C$3</f>
        <v>0.087155686362323</v>
      </c>
    </row>
    <row r="222" customFormat="false" ht="15.75" hidden="false" customHeight="false" outlineLevel="0" collapsed="false">
      <c r="A222" s="559" t="n">
        <v>43100</v>
      </c>
      <c r="B222" s="598" t="n">
        <v>43070</v>
      </c>
      <c r="C222" s="562" t="n">
        <f aca="false">'Revenues &amp; Expenses'!M222</f>
        <v>0.064666924024206</v>
      </c>
      <c r="D222" s="562" t="n">
        <f aca="false">C222+$C$3</f>
        <v>0.087166924024206</v>
      </c>
    </row>
    <row r="223" customFormat="false" ht="15.75" hidden="false" customHeight="false" outlineLevel="0" collapsed="false">
      <c r="A223" s="559" t="n">
        <v>43131</v>
      </c>
      <c r="B223" s="598" t="n">
        <v>43101</v>
      </c>
      <c r="C223" s="562" t="n">
        <f aca="false">'Revenues &amp; Expenses'!M223</f>
        <v>0.064678536275743</v>
      </c>
      <c r="D223" s="562" t="n">
        <f aca="false">C223+$C$3</f>
        <v>0.087178536275743</v>
      </c>
    </row>
    <row r="224" customFormat="false" ht="15.75" hidden="false" customHeight="false" outlineLevel="0" collapsed="false">
      <c r="A224" s="559" t="n">
        <v>43159</v>
      </c>
      <c r="B224" s="598" t="n">
        <v>43132</v>
      </c>
      <c r="C224" s="562" t="n">
        <f aca="false">'Revenues &amp; Expenses'!M224</f>
        <v>0.064690148528218</v>
      </c>
      <c r="D224" s="562" t="n">
        <f aca="false">C224+$C$3</f>
        <v>0.087190148528218</v>
      </c>
    </row>
    <row r="225" customFormat="false" ht="15.75" hidden="false" customHeight="false" outlineLevel="0" collapsed="false">
      <c r="A225" s="559" t="n">
        <v>43190</v>
      </c>
      <c r="B225" s="598" t="n">
        <v>43160</v>
      </c>
      <c r="C225" s="562" t="n">
        <f aca="false">'Revenues &amp; Expenses'!M225</f>
        <v>0.064700637015131</v>
      </c>
      <c r="D225" s="562" t="n">
        <f aca="false">C225+$C$3</f>
        <v>0.087200637015131</v>
      </c>
    </row>
    <row r="226" customFormat="false" ht="15.75" hidden="false" customHeight="false" outlineLevel="0" collapsed="false">
      <c r="A226" s="559" t="n">
        <v>43220</v>
      </c>
      <c r="B226" s="598" t="n">
        <v>43191</v>
      </c>
      <c r="C226" s="562" t="n">
        <f aca="false">'Revenues &amp; Expenses'!M226</f>
        <v>0.064712249269393</v>
      </c>
      <c r="D226" s="562" t="n">
        <f aca="false">C226+$C$3</f>
        <v>0.087212249269393</v>
      </c>
    </row>
    <row r="227" customFormat="false" ht="15.75" hidden="false" customHeight="false" outlineLevel="0" collapsed="false">
      <c r="A227" s="559" t="n">
        <v>43251</v>
      </c>
      <c r="B227" s="598" t="n">
        <v>43221</v>
      </c>
      <c r="C227" s="562" t="n">
        <f aca="false">'Revenues &amp; Expenses'!M227</f>
        <v>0.064723486935701</v>
      </c>
      <c r="D227" s="562" t="n">
        <f aca="false">C227+$C$3</f>
        <v>0.087223486935701</v>
      </c>
    </row>
    <row r="228" customFormat="false" ht="15.75" hidden="false" customHeight="false" outlineLevel="0" collapsed="false">
      <c r="A228" s="559" t="n">
        <v>43281</v>
      </c>
      <c r="B228" s="598" t="n">
        <v>43252</v>
      </c>
      <c r="C228" s="562" t="n">
        <f aca="false">'Revenues &amp; Expenses'!M228</f>
        <v>0.06473509919181</v>
      </c>
      <c r="D228" s="562" t="n">
        <f aca="false">C228+$C$3</f>
        <v>0.08723509919181</v>
      </c>
    </row>
    <row r="229" customFormat="false" ht="15.75" hidden="false" customHeight="false" outlineLevel="0" collapsed="false">
      <c r="A229" s="559" t="n">
        <v>43312</v>
      </c>
      <c r="B229" s="598" t="n">
        <v>43282</v>
      </c>
      <c r="C229" s="562" t="n">
        <f aca="false">'Revenues &amp; Expenses'!M229</f>
        <v>0.064746336859906</v>
      </c>
      <c r="D229" s="562" t="n">
        <f aca="false">C229+$C$3</f>
        <v>0.087246336859906</v>
      </c>
    </row>
    <row r="230" customFormat="false" ht="15.75" hidden="false" customHeight="false" outlineLevel="0" collapsed="false">
      <c r="A230" s="559" t="n">
        <v>43343</v>
      </c>
      <c r="B230" s="559" t="n">
        <v>43313</v>
      </c>
      <c r="C230" s="562" t="n">
        <f aca="false">'Revenues &amp; Expenses'!M230</f>
        <v>0.064757949117862</v>
      </c>
      <c r="D230" s="562" t="n">
        <f aca="false">C230+$C$3</f>
        <v>0.087257949117862</v>
      </c>
    </row>
    <row r="231" customFormat="false" ht="15.75" hidden="false" customHeight="false" outlineLevel="0" collapsed="false">
      <c r="A231" s="559" t="n">
        <v>43373</v>
      </c>
      <c r="B231" s="559" t="n">
        <v>43344</v>
      </c>
      <c r="C231" s="562" t="n">
        <f aca="false">'Revenues &amp; Expenses'!M231</f>
        <v>0.064769561376757</v>
      </c>
      <c r="D231" s="562" t="n">
        <f aca="false">C231+$C$3</f>
        <v>0.087269561376757</v>
      </c>
    </row>
    <row r="232" customFormat="false" ht="15.75" hidden="false" customHeight="false" outlineLevel="0" collapsed="false">
      <c r="A232" s="559" t="n">
        <v>43404</v>
      </c>
      <c r="B232" s="559" t="n">
        <v>43374</v>
      </c>
      <c r="C232" s="562" t="n">
        <f aca="false">'Revenues &amp; Expenses'!M232</f>
        <v>0.064780799047549</v>
      </c>
      <c r="D232" s="562" t="n">
        <f aca="false">C232+$C$3</f>
        <v>0.087280799047549</v>
      </c>
    </row>
    <row r="233" customFormat="false" ht="15.75" hidden="false" customHeight="false" outlineLevel="0" collapsed="false">
      <c r="A233" s="559" t="n">
        <v>43434</v>
      </c>
      <c r="B233" s="559" t="n">
        <v>43405</v>
      </c>
      <c r="C233" s="562" t="n">
        <f aca="false">'Revenues &amp; Expenses'!M233</f>
        <v>0.064792411308291</v>
      </c>
      <c r="D233" s="562" t="n">
        <f aca="false">C233+$C$3</f>
        <v>0.087292411308291</v>
      </c>
    </row>
    <row r="234" customFormat="false" ht="15.75" hidden="false" customHeight="false" outlineLevel="0" collapsed="false">
      <c r="A234" s="559" t="n">
        <v>43465</v>
      </c>
      <c r="B234" s="559" t="n">
        <v>43435</v>
      </c>
      <c r="C234" s="562" t="n">
        <f aca="false">'Revenues &amp; Expenses'!M234</f>
        <v>0.06480364898087</v>
      </c>
      <c r="D234" s="562" t="n">
        <f aca="false">C234+$C$3</f>
        <v>0.08730364898087</v>
      </c>
    </row>
    <row r="235" customFormat="false" ht="15.75" hidden="false" customHeight="false" outlineLevel="0" collapsed="false">
      <c r="A235" s="559" t="n">
        <v>43496</v>
      </c>
      <c r="B235" s="559" t="n">
        <v>43466</v>
      </c>
      <c r="C235" s="562" t="n">
        <f aca="false">'Revenues &amp; Expenses'!M235</f>
        <v>0.064815261243459</v>
      </c>
      <c r="D235" s="562" t="n">
        <f aca="false">C235+$C$3</f>
        <v>0.087315261243459</v>
      </c>
    </row>
    <row r="236" customFormat="false" ht="15.75" hidden="false" customHeight="false" outlineLevel="0" collapsed="false">
      <c r="A236" s="559" t="n">
        <v>43524</v>
      </c>
      <c r="B236" s="559" t="n">
        <v>43497</v>
      </c>
      <c r="C236" s="562" t="n">
        <f aca="false">'Revenues &amp; Expenses'!M236</f>
        <v>0.064826873506987</v>
      </c>
      <c r="D236" s="562" t="n">
        <f aca="false">C236+$C$3</f>
        <v>0.087326873506987</v>
      </c>
    </row>
    <row r="237" customFormat="false" ht="15.75" hidden="false" customHeight="false" outlineLevel="0" collapsed="false">
      <c r="A237" s="559" t="n">
        <v>43555</v>
      </c>
      <c r="B237" s="559" t="n">
        <v>43525</v>
      </c>
      <c r="C237" s="562" t="n">
        <f aca="false">'Revenues &amp; Expenses'!M237</f>
        <v>0.064837362003883</v>
      </c>
      <c r="D237" s="562" t="n">
        <f aca="false">C237+$C$3</f>
        <v>0.087337362003883</v>
      </c>
    </row>
    <row r="238" customFormat="false" ht="15.75" hidden="false" customHeight="false" outlineLevel="0" collapsed="false">
      <c r="A238" s="559" t="n">
        <v>43585</v>
      </c>
      <c r="B238" s="559" t="n">
        <v>43556</v>
      </c>
      <c r="C238" s="562" t="n">
        <f aca="false">'Revenues &amp; Expenses'!M238</f>
        <v>0.064848974269198</v>
      </c>
      <c r="D238" s="562" t="n">
        <f aca="false">C238+$C$3</f>
        <v>0.087348974269198</v>
      </c>
    </row>
    <row r="239" customFormat="false" ht="15.75" hidden="false" customHeight="false" outlineLevel="0" collapsed="false">
      <c r="A239" s="559" t="n">
        <v>43616</v>
      </c>
      <c r="B239" s="559" t="n">
        <v>43586</v>
      </c>
      <c r="C239" s="562" t="n">
        <f aca="false">'Revenues &amp; Expenses'!M239</f>
        <v>0.064860211946202</v>
      </c>
      <c r="D239" s="562" t="n">
        <f aca="false">C239+$C$3</f>
        <v>0.087360211946202</v>
      </c>
    </row>
    <row r="240" customFormat="false" ht="15.75" hidden="false" customHeight="false" outlineLevel="0" collapsed="false">
      <c r="A240" s="559" t="n">
        <v>43646</v>
      </c>
      <c r="B240" s="559" t="n">
        <v>43617</v>
      </c>
      <c r="C240" s="562" t="n">
        <f aca="false">'Revenues &amp; Expenses'!M240</f>
        <v>0.064871824213363</v>
      </c>
      <c r="D240" s="562" t="n">
        <f aca="false">C240+$C$3</f>
        <v>0.087371824213363</v>
      </c>
    </row>
    <row r="241" customFormat="false" ht="15.75" hidden="false" customHeight="false" outlineLevel="0" collapsed="false">
      <c r="A241" s="559" t="n">
        <v>43677</v>
      </c>
      <c r="B241" s="559" t="n">
        <v>43647</v>
      </c>
      <c r="C241" s="562" t="n">
        <f aca="false">'Revenues &amp; Expenses'!M241</f>
        <v>0.064883061892155</v>
      </c>
      <c r="D241" s="562" t="n">
        <f aca="false">C241+$C$3</f>
        <v>0.087383061892155</v>
      </c>
    </row>
    <row r="242" customFormat="false" ht="15.75" hidden="false" customHeight="false" outlineLevel="0" collapsed="false">
      <c r="A242" s="559" t="n">
        <v>43708</v>
      </c>
      <c r="B242" s="559" t="n">
        <v>43678</v>
      </c>
      <c r="C242" s="562" t="n">
        <f aca="false">'Revenues &amp; Expenses'!M242</f>
        <v>0.064894674161163</v>
      </c>
      <c r="D242" s="562" t="n">
        <f aca="false">C242+$C$3</f>
        <v>0.087394674161163</v>
      </c>
    </row>
    <row r="243" customFormat="false" ht="15.75" hidden="false" customHeight="false" outlineLevel="0" collapsed="false">
      <c r="A243" s="559" t="n">
        <v>43738</v>
      </c>
      <c r="B243" s="559" t="n">
        <v>43709</v>
      </c>
      <c r="C243" s="562" t="n">
        <f aca="false">'Revenues &amp; Expenses'!M243</f>
        <v>0.06490628643111</v>
      </c>
      <c r="D243" s="562" t="n">
        <f aca="false">C243+$C$3</f>
        <v>0.08740628643111</v>
      </c>
    </row>
    <row r="244" customFormat="false" ht="15.75" hidden="false" customHeight="false" outlineLevel="0" collapsed="false">
      <c r="A244" s="559" t="n">
        <v>43769</v>
      </c>
      <c r="B244" s="559" t="n">
        <v>43739</v>
      </c>
      <c r="C244" s="562" t="n">
        <f aca="false">'Revenues &amp; Expenses'!M244</f>
        <v>0.064917524112598</v>
      </c>
      <c r="D244" s="562" t="n">
        <f aca="false">C244+$C$3</f>
        <v>0.087417524112598</v>
      </c>
    </row>
    <row r="245" customFormat="false" ht="15.75" hidden="false" customHeight="false" outlineLevel="0" collapsed="false">
      <c r="A245" s="559" t="n">
        <v>43799</v>
      </c>
      <c r="B245" s="559" t="n">
        <v>43770</v>
      </c>
      <c r="C245" s="562" t="n">
        <f aca="false">'Revenues &amp; Expenses'!M245</f>
        <v>0.064929136384391</v>
      </c>
      <c r="D245" s="562" t="n">
        <f aca="false">C245+$C$3</f>
        <v>0.087429136384391</v>
      </c>
    </row>
    <row r="246" customFormat="false" ht="15.75" hidden="false" customHeight="false" outlineLevel="0" collapsed="false">
      <c r="A246" s="559" t="n">
        <v>43830</v>
      </c>
      <c r="B246" s="559" t="n">
        <v>43800</v>
      </c>
      <c r="C246" s="562" t="n">
        <f aca="false">'Revenues &amp; Expenses'!M246</f>
        <v>0.064940374067667</v>
      </c>
      <c r="D246" s="562" t="n">
        <f aca="false">C246+$C$3</f>
        <v>0.087440374067667</v>
      </c>
    </row>
    <row r="247" customFormat="false" ht="15.75" hidden="false" customHeight="false" outlineLevel="0" collapsed="false">
      <c r="B247" s="559" t="n">
        <f aca="false">B246+31</f>
        <v>43831</v>
      </c>
      <c r="C247" s="562"/>
      <c r="D247" s="562"/>
    </row>
    <row r="248" customFormat="false" ht="15.75" hidden="false" customHeight="false" outlineLevel="0" collapsed="false">
      <c r="C248" s="562"/>
      <c r="D248" s="562"/>
    </row>
    <row r="249" customFormat="false" ht="15.75" hidden="false" customHeight="false" outlineLevel="0" collapsed="false">
      <c r="C249" s="562"/>
      <c r="D249" s="562"/>
    </row>
    <row r="250" customFormat="false" ht="15.75" hidden="false" customHeight="false" outlineLevel="0" collapsed="false">
      <c r="C250" s="562"/>
      <c r="D250" s="562"/>
    </row>
    <row r="251" customFormat="false" ht="15.75" hidden="false" customHeight="false" outlineLevel="0" collapsed="false">
      <c r="C251" s="562"/>
      <c r="D251" s="562"/>
    </row>
    <row r="252" customFormat="false" ht="15.75" hidden="false" customHeight="false" outlineLevel="0" collapsed="false">
      <c r="C252" s="562"/>
      <c r="D252" s="562"/>
    </row>
    <row r="253" customFormat="false" ht="15.75" hidden="false" customHeight="false" outlineLevel="0" collapsed="false">
      <c r="C253" s="562"/>
      <c r="D253" s="562"/>
    </row>
    <row r="254" customFormat="false" ht="15.75" hidden="false" customHeight="false" outlineLevel="0" collapsed="false">
      <c r="C254" s="562"/>
      <c r="D254" s="562"/>
    </row>
    <row r="255" customFormat="false" ht="15.75" hidden="false" customHeight="false" outlineLevel="0" collapsed="false">
      <c r="C255" s="562"/>
      <c r="D255" s="562"/>
    </row>
    <row r="256" customFormat="false" ht="15.75" hidden="false" customHeight="false" outlineLevel="0" collapsed="false">
      <c r="C256" s="562"/>
      <c r="D256" s="562"/>
    </row>
    <row r="257" customFormat="false" ht="15.75" hidden="false" customHeight="false" outlineLevel="0" collapsed="false">
      <c r="C257" s="562"/>
      <c r="D257" s="562"/>
    </row>
    <row r="258" customFormat="false" ht="15.75" hidden="false" customHeight="false" outlineLevel="0" collapsed="false">
      <c r="C258" s="562"/>
      <c r="D258" s="562"/>
    </row>
    <row r="259" customFormat="false" ht="15.75" hidden="false" customHeight="false" outlineLevel="0" collapsed="false">
      <c r="C259" s="562"/>
      <c r="D259" s="562"/>
    </row>
    <row r="260" customFormat="false" ht="15.75" hidden="false" customHeight="false" outlineLevel="0" collapsed="false">
      <c r="C260" s="562"/>
      <c r="D260" s="562"/>
    </row>
    <row r="261" customFormat="false" ht="15.75" hidden="false" customHeight="false" outlineLevel="0" collapsed="false">
      <c r="C261" s="562"/>
      <c r="D261" s="562"/>
    </row>
    <row r="262" customFormat="false" ht="15.75" hidden="false" customHeight="false" outlineLevel="0" collapsed="false">
      <c r="C262" s="562"/>
      <c r="D262" s="562"/>
    </row>
    <row r="263" customFormat="false" ht="15.75" hidden="false" customHeight="false" outlineLevel="0" collapsed="false">
      <c r="C263" s="562"/>
      <c r="D263" s="562"/>
    </row>
    <row r="264" customFormat="false" ht="15.75" hidden="false" customHeight="false" outlineLevel="0" collapsed="false">
      <c r="C264" s="562"/>
      <c r="D264" s="562"/>
    </row>
    <row r="265" customFormat="false" ht="15.75" hidden="false" customHeight="false" outlineLevel="0" collapsed="false">
      <c r="C265" s="562"/>
      <c r="D265" s="562"/>
    </row>
    <row r="266" customFormat="false" ht="15.75" hidden="false" customHeight="false" outlineLevel="0" collapsed="false">
      <c r="C266" s="562"/>
      <c r="D266" s="562"/>
    </row>
    <row r="267" customFormat="false" ht="15.75" hidden="false" customHeight="false" outlineLevel="0" collapsed="false">
      <c r="C267" s="562"/>
      <c r="D267" s="562"/>
    </row>
    <row r="268" customFormat="false" ht="15.75" hidden="false" customHeight="false" outlineLevel="0" collapsed="false">
      <c r="C268" s="562"/>
      <c r="D268" s="562"/>
    </row>
    <row r="269" customFormat="false" ht="15.75" hidden="false" customHeight="false" outlineLevel="0" collapsed="false">
      <c r="C269" s="562"/>
      <c r="D269" s="562"/>
    </row>
    <row r="270" customFormat="false" ht="15.75" hidden="false" customHeight="false" outlineLevel="0" collapsed="false">
      <c r="C270" s="562"/>
      <c r="D270" s="562"/>
    </row>
    <row r="271" customFormat="false" ht="15.75" hidden="false" customHeight="false" outlineLevel="0" collapsed="false">
      <c r="C271" s="562"/>
      <c r="D271" s="562"/>
    </row>
    <row r="272" customFormat="false" ht="15.75" hidden="false" customHeight="false" outlineLevel="0" collapsed="false">
      <c r="C272" s="562"/>
      <c r="D272" s="562"/>
    </row>
    <row r="273" customFormat="false" ht="15.75" hidden="false" customHeight="false" outlineLevel="0" collapsed="false">
      <c r="C273" s="562"/>
      <c r="D273" s="562"/>
    </row>
    <row r="274" customFormat="false" ht="15.75" hidden="false" customHeight="false" outlineLevel="0" collapsed="false">
      <c r="C274" s="562"/>
      <c r="D274" s="562"/>
    </row>
    <row r="275" customFormat="false" ht="15.75" hidden="false" customHeight="false" outlineLevel="0" collapsed="false">
      <c r="C275" s="562"/>
      <c r="D275" s="562"/>
    </row>
    <row r="276" customFormat="false" ht="15.75" hidden="false" customHeight="false" outlineLevel="0" collapsed="false">
      <c r="C276" s="562"/>
      <c r="D276" s="562"/>
    </row>
    <row r="277" customFormat="false" ht="15.75" hidden="false" customHeight="false" outlineLevel="0" collapsed="false">
      <c r="C277" s="562"/>
      <c r="D277" s="562"/>
    </row>
    <row r="278" customFormat="false" ht="15.75" hidden="false" customHeight="false" outlineLevel="0" collapsed="false">
      <c r="C278" s="562"/>
      <c r="D278" s="562"/>
    </row>
    <row r="279" customFormat="false" ht="15.75" hidden="false" customHeight="false" outlineLevel="0" collapsed="false">
      <c r="C279" s="562"/>
      <c r="D279" s="562"/>
    </row>
    <row r="280" customFormat="false" ht="15.75" hidden="false" customHeight="false" outlineLevel="0" collapsed="false">
      <c r="C280" s="562"/>
      <c r="D280" s="562"/>
    </row>
    <row r="281" customFormat="false" ht="15.75" hidden="false" customHeight="false" outlineLevel="0" collapsed="false">
      <c r="C281" s="562"/>
      <c r="D281" s="562"/>
    </row>
    <row r="282" customFormat="false" ht="15.75" hidden="false" customHeight="false" outlineLevel="0" collapsed="false">
      <c r="C282" s="562"/>
      <c r="D282" s="562"/>
    </row>
    <row r="283" customFormat="false" ht="15.75" hidden="false" customHeight="false" outlineLevel="0" collapsed="false">
      <c r="C283" s="562"/>
      <c r="D283" s="562"/>
    </row>
    <row r="284" customFormat="false" ht="15.75" hidden="false" customHeight="false" outlineLevel="0" collapsed="false">
      <c r="C284" s="562"/>
      <c r="D284" s="562"/>
    </row>
    <row r="285" customFormat="false" ht="15.75" hidden="false" customHeight="false" outlineLevel="0" collapsed="false">
      <c r="C285" s="562"/>
      <c r="D285" s="562"/>
    </row>
    <row r="286" customFormat="false" ht="15.75" hidden="false" customHeight="false" outlineLevel="0" collapsed="false">
      <c r="C286" s="562"/>
      <c r="D286" s="562"/>
    </row>
    <row r="287" customFormat="false" ht="15.75" hidden="false" customHeight="false" outlineLevel="0" collapsed="false">
      <c r="C287" s="562"/>
      <c r="D287" s="562"/>
    </row>
    <row r="288" customFormat="false" ht="15.75" hidden="false" customHeight="false" outlineLevel="0" collapsed="false">
      <c r="C288" s="562"/>
      <c r="D288" s="562"/>
    </row>
    <row r="289" customFormat="false" ht="15.75" hidden="false" customHeight="false" outlineLevel="0" collapsed="false">
      <c r="C289" s="562"/>
      <c r="D289" s="562"/>
    </row>
    <row r="290" customFormat="false" ht="15.75" hidden="false" customHeight="false" outlineLevel="0" collapsed="false">
      <c r="C290" s="562"/>
      <c r="D290" s="562"/>
    </row>
    <row r="291" customFormat="false" ht="15.75" hidden="false" customHeight="false" outlineLevel="0" collapsed="false">
      <c r="C291" s="562"/>
      <c r="D291" s="562"/>
    </row>
    <row r="292" customFormat="false" ht="15.75" hidden="false" customHeight="false" outlineLevel="0" collapsed="false">
      <c r="C292" s="562"/>
      <c r="D292" s="562"/>
    </row>
    <row r="293" customFormat="false" ht="15.75" hidden="false" customHeight="false" outlineLevel="0" collapsed="false">
      <c r="C293" s="562"/>
      <c r="D293" s="562"/>
    </row>
    <row r="294" customFormat="false" ht="15.75" hidden="false" customHeight="false" outlineLevel="0" collapsed="false">
      <c r="C294" s="562"/>
      <c r="D294" s="562"/>
    </row>
    <row r="295" customFormat="false" ht="15.75" hidden="false" customHeight="false" outlineLevel="0" collapsed="false">
      <c r="C295" s="562"/>
      <c r="D295" s="562"/>
    </row>
    <row r="296" customFormat="false" ht="15.75" hidden="false" customHeight="false" outlineLevel="0" collapsed="false">
      <c r="C296" s="562"/>
      <c r="D296" s="562"/>
    </row>
    <row r="297" customFormat="false" ht="15.75" hidden="false" customHeight="false" outlineLevel="0" collapsed="false">
      <c r="C297" s="562"/>
      <c r="D297" s="562"/>
    </row>
    <row r="298" customFormat="false" ht="15.75" hidden="false" customHeight="false" outlineLevel="0" collapsed="false">
      <c r="C298" s="562"/>
      <c r="D298" s="562"/>
    </row>
    <row r="299" customFormat="false" ht="15.75" hidden="false" customHeight="false" outlineLevel="0" collapsed="false">
      <c r="C299" s="562"/>
      <c r="D299" s="562"/>
    </row>
    <row r="300" customFormat="false" ht="15.75" hidden="false" customHeight="false" outlineLevel="0" collapsed="false">
      <c r="C300" s="562"/>
      <c r="D300" s="562"/>
    </row>
    <row r="301" customFormat="false" ht="15.75" hidden="false" customHeight="false" outlineLevel="0" collapsed="false">
      <c r="C301" s="562"/>
      <c r="D301" s="562"/>
    </row>
    <row r="302" customFormat="false" ht="15.75" hidden="false" customHeight="false" outlineLevel="0" collapsed="false">
      <c r="C302" s="562"/>
      <c r="D302" s="562"/>
    </row>
    <row r="303" customFormat="false" ht="15.75" hidden="false" customHeight="false" outlineLevel="0" collapsed="false">
      <c r="C303" s="562"/>
      <c r="D303" s="562"/>
    </row>
    <row r="304" customFormat="false" ht="15.75" hidden="false" customHeight="false" outlineLevel="0" collapsed="false">
      <c r="C304" s="562"/>
      <c r="D304" s="562"/>
    </row>
    <row r="305" customFormat="false" ht="15.75" hidden="false" customHeight="false" outlineLevel="0" collapsed="false">
      <c r="C305" s="562"/>
      <c r="D305" s="562"/>
    </row>
    <row r="306" customFormat="false" ht="15.75" hidden="false" customHeight="false" outlineLevel="0" collapsed="false">
      <c r="C306" s="562"/>
      <c r="D306" s="562"/>
    </row>
    <row r="307" customFormat="false" ht="15.75" hidden="false" customHeight="false" outlineLevel="0" collapsed="false">
      <c r="C307" s="562"/>
      <c r="D307" s="562"/>
    </row>
    <row r="308" customFormat="false" ht="15.75" hidden="false" customHeight="false" outlineLevel="0" collapsed="false">
      <c r="C308" s="562"/>
      <c r="D308" s="562"/>
    </row>
    <row r="309" customFormat="false" ht="15.75" hidden="false" customHeight="false" outlineLevel="0" collapsed="false">
      <c r="C309" s="562"/>
      <c r="D309" s="562"/>
    </row>
    <row r="310" customFormat="false" ht="15.75" hidden="false" customHeight="false" outlineLevel="0" collapsed="false">
      <c r="C310" s="562"/>
      <c r="D310" s="562"/>
    </row>
    <row r="311" customFormat="false" ht="15.75" hidden="false" customHeight="false" outlineLevel="0" collapsed="false">
      <c r="C311" s="562"/>
      <c r="D311" s="562"/>
    </row>
    <row r="312" customFormat="false" ht="15.75" hidden="false" customHeight="false" outlineLevel="0" collapsed="false">
      <c r="C312" s="562"/>
      <c r="D312" s="562"/>
    </row>
    <row r="313" customFormat="false" ht="15.75" hidden="false" customHeight="false" outlineLevel="0" collapsed="false">
      <c r="C313" s="562"/>
      <c r="D313" s="562"/>
    </row>
    <row r="314" customFormat="false" ht="15.75" hidden="false" customHeight="false" outlineLevel="0" collapsed="false">
      <c r="C314" s="562"/>
      <c r="D314" s="562"/>
    </row>
    <row r="315" customFormat="false" ht="15.75" hidden="false" customHeight="false" outlineLevel="0" collapsed="false">
      <c r="C315" s="562"/>
      <c r="D315" s="562"/>
    </row>
    <row r="316" customFormat="false" ht="15.75" hidden="false" customHeight="false" outlineLevel="0" collapsed="false">
      <c r="C316" s="562"/>
      <c r="D316" s="562"/>
    </row>
    <row r="317" customFormat="false" ht="15.75" hidden="false" customHeight="false" outlineLevel="0" collapsed="false">
      <c r="C317" s="562"/>
      <c r="D317" s="562"/>
    </row>
    <row r="318" customFormat="false" ht="15.75" hidden="false" customHeight="false" outlineLevel="0" collapsed="false">
      <c r="C318" s="562"/>
      <c r="D318" s="562"/>
    </row>
    <row r="319" customFormat="false" ht="15.75" hidden="false" customHeight="false" outlineLevel="0" collapsed="false">
      <c r="C319" s="562"/>
      <c r="D319" s="562"/>
    </row>
    <row r="320" customFormat="false" ht="15.75" hidden="false" customHeight="false" outlineLevel="0" collapsed="false">
      <c r="C320" s="562"/>
      <c r="D320" s="562"/>
    </row>
    <row r="321" customFormat="false" ht="15.75" hidden="false" customHeight="false" outlineLevel="0" collapsed="false">
      <c r="C321" s="562"/>
      <c r="D321" s="562"/>
    </row>
    <row r="322" customFormat="false" ht="15.75" hidden="false" customHeight="false" outlineLevel="0" collapsed="false">
      <c r="C322" s="562"/>
      <c r="D322" s="562"/>
    </row>
    <row r="323" customFormat="false" ht="15.75" hidden="false" customHeight="false" outlineLevel="0" collapsed="false">
      <c r="C323" s="562"/>
      <c r="D323" s="562"/>
    </row>
    <row r="324" customFormat="false" ht="15.75" hidden="false" customHeight="false" outlineLevel="0" collapsed="false">
      <c r="C324" s="562"/>
      <c r="D324" s="562"/>
    </row>
    <row r="325" customFormat="false" ht="15.75" hidden="false" customHeight="false" outlineLevel="0" collapsed="false">
      <c r="C325" s="562"/>
      <c r="D325" s="562"/>
    </row>
    <row r="326" customFormat="false" ht="15.75" hidden="false" customHeight="false" outlineLevel="0" collapsed="false">
      <c r="C326" s="562"/>
      <c r="D326" s="562"/>
    </row>
    <row r="327" customFormat="false" ht="15.75" hidden="false" customHeight="false" outlineLevel="0" collapsed="false">
      <c r="C327" s="562"/>
      <c r="D327" s="562"/>
    </row>
    <row r="328" customFormat="false" ht="15.75" hidden="false" customHeight="false" outlineLevel="0" collapsed="false">
      <c r="C328" s="562"/>
      <c r="D328" s="562"/>
    </row>
    <row r="329" customFormat="false" ht="15.75" hidden="false" customHeight="false" outlineLevel="0" collapsed="false">
      <c r="C329" s="562"/>
      <c r="D329" s="562"/>
    </row>
    <row r="330" customFormat="false" ht="15.75" hidden="false" customHeight="false" outlineLevel="0" collapsed="false">
      <c r="C330" s="562"/>
      <c r="D330" s="562"/>
    </row>
    <row r="331" customFormat="false" ht="15.75" hidden="false" customHeight="false" outlineLevel="0" collapsed="false">
      <c r="C331" s="562"/>
      <c r="D331" s="562"/>
    </row>
    <row r="332" customFormat="false" ht="15.75" hidden="false" customHeight="false" outlineLevel="0" collapsed="false">
      <c r="C332" s="562"/>
      <c r="D332" s="562"/>
    </row>
    <row r="333" customFormat="false" ht="15.75" hidden="false" customHeight="false" outlineLevel="0" collapsed="false">
      <c r="C333" s="562"/>
      <c r="D333" s="562"/>
    </row>
    <row r="334" customFormat="false" ht="15.75" hidden="false" customHeight="false" outlineLevel="0" collapsed="false">
      <c r="C334" s="562"/>
      <c r="D334" s="562"/>
    </row>
    <row r="335" customFormat="false" ht="15.75" hidden="false" customHeight="false" outlineLevel="0" collapsed="false">
      <c r="C335" s="562"/>
      <c r="D335" s="562"/>
    </row>
    <row r="336" customFormat="false" ht="15.75" hidden="false" customHeight="false" outlineLevel="0" collapsed="false">
      <c r="C336" s="562"/>
      <c r="D336" s="562"/>
    </row>
    <row r="337" customFormat="false" ht="15.75" hidden="false" customHeight="false" outlineLevel="0" collapsed="false">
      <c r="C337" s="562"/>
      <c r="D337" s="562"/>
    </row>
    <row r="338" customFormat="false" ht="15.75" hidden="false" customHeight="false" outlineLevel="0" collapsed="false">
      <c r="C338" s="562"/>
      <c r="D338" s="562"/>
    </row>
    <row r="339" customFormat="false" ht="15.75" hidden="false" customHeight="false" outlineLevel="0" collapsed="false">
      <c r="C339" s="562"/>
      <c r="D339" s="562"/>
    </row>
    <row r="340" customFormat="false" ht="15.75" hidden="false" customHeight="false" outlineLevel="0" collapsed="false">
      <c r="C340" s="562"/>
      <c r="D340" s="562"/>
    </row>
    <row r="341" customFormat="false" ht="15.75" hidden="false" customHeight="false" outlineLevel="0" collapsed="false">
      <c r="C341" s="562"/>
      <c r="D341" s="562"/>
    </row>
    <row r="342" customFormat="false" ht="15.75" hidden="false" customHeight="false" outlineLevel="0" collapsed="false">
      <c r="C342" s="562"/>
      <c r="D342" s="562"/>
    </row>
    <row r="343" customFormat="false" ht="15.75" hidden="false" customHeight="false" outlineLevel="0" collapsed="false">
      <c r="C343" s="562"/>
      <c r="D343" s="562"/>
    </row>
    <row r="344" customFormat="false" ht="15.75" hidden="false" customHeight="false" outlineLevel="0" collapsed="false">
      <c r="C344" s="562"/>
      <c r="D344" s="562"/>
    </row>
    <row r="345" customFormat="false" ht="15.75" hidden="false" customHeight="false" outlineLevel="0" collapsed="false">
      <c r="C345" s="562"/>
      <c r="D345" s="562"/>
    </row>
    <row r="346" customFormat="false" ht="15.75" hidden="false" customHeight="false" outlineLevel="0" collapsed="false">
      <c r="C346" s="562"/>
      <c r="D346" s="562"/>
    </row>
    <row r="347" customFormat="false" ht="15.75" hidden="false" customHeight="false" outlineLevel="0" collapsed="false">
      <c r="C347" s="562"/>
      <c r="D347" s="562"/>
    </row>
    <row r="348" customFormat="false" ht="15.75" hidden="false" customHeight="false" outlineLevel="0" collapsed="false">
      <c r="C348" s="562"/>
      <c r="D348" s="562"/>
    </row>
    <row r="349" customFormat="false" ht="15.75" hidden="false" customHeight="false" outlineLevel="0" collapsed="false">
      <c r="C349" s="562"/>
      <c r="D349" s="562"/>
    </row>
    <row r="350" customFormat="false" ht="15.75" hidden="false" customHeight="false" outlineLevel="0" collapsed="false">
      <c r="C350" s="562"/>
      <c r="D350" s="562"/>
    </row>
    <row r="351" customFormat="false" ht="15.75" hidden="false" customHeight="false" outlineLevel="0" collapsed="false">
      <c r="C351" s="562"/>
      <c r="D351" s="562"/>
    </row>
    <row r="352" customFormat="false" ht="15.75" hidden="false" customHeight="false" outlineLevel="0" collapsed="false">
      <c r="C352" s="562"/>
      <c r="D352" s="562"/>
    </row>
    <row r="353" customFormat="false" ht="15.75" hidden="false" customHeight="false" outlineLevel="0" collapsed="false">
      <c r="C353" s="562"/>
      <c r="D353" s="562"/>
    </row>
    <row r="354" customFormat="false" ht="15.75" hidden="false" customHeight="false" outlineLevel="0" collapsed="false">
      <c r="C354" s="562"/>
      <c r="D354" s="562"/>
    </row>
    <row r="355" customFormat="false" ht="15.75" hidden="false" customHeight="false" outlineLevel="0" collapsed="false">
      <c r="C355" s="562"/>
      <c r="D355" s="562"/>
    </row>
    <row r="356" customFormat="false" ht="15.75" hidden="false" customHeight="false" outlineLevel="0" collapsed="false">
      <c r="C356" s="562"/>
      <c r="D356" s="562"/>
    </row>
    <row r="357" customFormat="false" ht="15.75" hidden="false" customHeight="false" outlineLevel="0" collapsed="false">
      <c r="C357" s="562"/>
      <c r="D357" s="562"/>
    </row>
    <row r="358" customFormat="false" ht="15.75" hidden="false" customHeight="false" outlineLevel="0" collapsed="false">
      <c r="C358" s="562"/>
      <c r="D358" s="562"/>
    </row>
    <row r="359" customFormat="false" ht="15.75" hidden="false" customHeight="false" outlineLevel="0" collapsed="false">
      <c r="C359" s="562"/>
      <c r="D359" s="562"/>
    </row>
    <row r="360" customFormat="false" ht="15.75" hidden="false" customHeight="false" outlineLevel="0" collapsed="false">
      <c r="C360" s="562"/>
      <c r="D360" s="562"/>
    </row>
    <row r="361" customFormat="false" ht="15.75" hidden="false" customHeight="false" outlineLevel="0" collapsed="false">
      <c r="C361" s="562"/>
      <c r="D361" s="562"/>
    </row>
    <row r="362" customFormat="false" ht="15.75" hidden="false" customHeight="false" outlineLevel="0" collapsed="false">
      <c r="C362" s="562"/>
      <c r="D362" s="562"/>
    </row>
    <row r="363" customFormat="false" ht="15.75" hidden="false" customHeight="false" outlineLevel="0" collapsed="false">
      <c r="C363" s="562"/>
    </row>
    <row r="364" customFormat="false" ht="15.75" hidden="false" customHeight="false" outlineLevel="0" collapsed="false">
      <c r="C364" s="562"/>
    </row>
    <row r="365" customFormat="false" ht="15.75" hidden="false" customHeight="false" outlineLevel="0" collapsed="false">
      <c r="C365" s="562"/>
    </row>
    <row r="366" customFormat="false" ht="15.75" hidden="false" customHeight="false" outlineLevel="0" collapsed="false">
      <c r="C366" s="562"/>
    </row>
    <row r="367" customFormat="false" ht="15.75" hidden="false" customHeight="false" outlineLevel="0" collapsed="false">
      <c r="C367" s="562"/>
    </row>
    <row r="368" customFormat="false" ht="15.75" hidden="false" customHeight="false" outlineLevel="0" collapsed="false">
      <c r="C368" s="620"/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8" activeCellId="0" sqref="A18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59" width="0.85"/>
    <col collapsed="false" customWidth="false" hidden="false" outlineLevel="0" max="3" min="2" style="59" width="9.14"/>
    <col collapsed="false" customWidth="true" hidden="false" outlineLevel="0" max="4" min="4" style="59" width="10.13"/>
    <col collapsed="false" customWidth="false" hidden="false" outlineLevel="0" max="38" min="5" style="59" width="9.14"/>
    <col collapsed="false" customWidth="true" hidden="false" outlineLevel="0" max="39" min="39" style="59" width="2.42"/>
    <col collapsed="false" customWidth="true" hidden="false" outlineLevel="0" max="41" min="40" style="59" width="10.71"/>
    <col collapsed="false" customWidth="false" hidden="false" outlineLevel="0" max="257" min="42" style="59" width="9.14"/>
  </cols>
  <sheetData>
    <row r="1" customFormat="false" ht="16.5" hidden="false" customHeight="false" outlineLevel="0" collapsed="false">
      <c r="AZ1" s="60"/>
      <c r="BA1" s="61" t="s">
        <v>19</v>
      </c>
      <c r="BB1" s="62" t="s">
        <v>20</v>
      </c>
      <c r="BC1" s="63"/>
      <c r="BD1" s="63"/>
      <c r="BE1" s="63"/>
      <c r="BF1" s="63"/>
      <c r="BG1" s="63"/>
      <c r="BH1" s="63"/>
      <c r="BI1" s="63"/>
      <c r="BJ1" s="63"/>
      <c r="BK1" s="63"/>
      <c r="BL1" s="63"/>
    </row>
    <row r="2" customFormat="false" ht="17.25" hidden="false" customHeight="false" outlineLevel="0" collapsed="false">
      <c r="C2" s="64"/>
      <c r="D2" s="64" t="n">
        <v>3</v>
      </c>
      <c r="E2" s="64" t="n">
        <f aca="false">D2+1</f>
        <v>4</v>
      </c>
      <c r="F2" s="64" t="n">
        <f aca="false">E2+1</f>
        <v>5</v>
      </c>
      <c r="G2" s="64" t="n">
        <f aca="false">F2+1</f>
        <v>6</v>
      </c>
      <c r="H2" s="64" t="n">
        <f aca="false">G2+1</f>
        <v>7</v>
      </c>
      <c r="I2" s="64" t="n">
        <f aca="false">H2+1</f>
        <v>8</v>
      </c>
      <c r="J2" s="64" t="n">
        <f aca="false">I2+1</f>
        <v>9</v>
      </c>
      <c r="K2" s="64" t="n">
        <f aca="false">J2+1</f>
        <v>10</v>
      </c>
      <c r="L2" s="64" t="n">
        <f aca="false">K2+1</f>
        <v>11</v>
      </c>
      <c r="M2" s="64" t="n">
        <f aca="false">L2+1</f>
        <v>12</v>
      </c>
      <c r="N2" s="64" t="n">
        <f aca="false">M2+1</f>
        <v>13</v>
      </c>
      <c r="O2" s="64" t="n">
        <f aca="false">N2+1</f>
        <v>14</v>
      </c>
      <c r="P2" s="64" t="n">
        <f aca="false">O2+1</f>
        <v>15</v>
      </c>
      <c r="Q2" s="64" t="n">
        <f aca="false">P2+1</f>
        <v>16</v>
      </c>
      <c r="R2" s="64" t="n">
        <f aca="false">Q2+1</f>
        <v>17</v>
      </c>
      <c r="S2" s="64" t="n">
        <f aca="false">R2+1</f>
        <v>18</v>
      </c>
      <c r="T2" s="64" t="n">
        <f aca="false">S2+1</f>
        <v>19</v>
      </c>
      <c r="U2" s="64" t="n">
        <f aca="false">T2+1</f>
        <v>20</v>
      </c>
      <c r="V2" s="64" t="n">
        <f aca="false">U2+1</f>
        <v>21</v>
      </c>
      <c r="W2" s="64" t="n">
        <f aca="false">V2+1</f>
        <v>22</v>
      </c>
      <c r="X2" s="64" t="n">
        <f aca="false">W2+1</f>
        <v>23</v>
      </c>
      <c r="Y2" s="64" t="n">
        <f aca="false">X2+1</f>
        <v>24</v>
      </c>
      <c r="Z2" s="64" t="n">
        <f aca="false">Y2+1</f>
        <v>25</v>
      </c>
      <c r="AA2" s="64" t="n">
        <f aca="false">Z2+1</f>
        <v>26</v>
      </c>
      <c r="AB2" s="59" t="n">
        <v>27</v>
      </c>
      <c r="AZ2" s="65" t="s">
        <v>9</v>
      </c>
      <c r="BA2" s="66" t="n">
        <v>800</v>
      </c>
      <c r="BB2" s="67" t="n">
        <v>2300</v>
      </c>
      <c r="BC2" s="63"/>
      <c r="BD2" s="63"/>
      <c r="BE2" s="63"/>
      <c r="BF2" s="63"/>
      <c r="BG2" s="63"/>
      <c r="BH2" s="63"/>
      <c r="BI2" s="63"/>
      <c r="BJ2" s="63"/>
      <c r="BK2" s="63"/>
      <c r="BL2" s="63"/>
    </row>
    <row r="3" customFormat="false" ht="19.5" hidden="false" customHeight="false" outlineLevel="0" collapsed="false">
      <c r="C3" s="68" t="s">
        <v>43</v>
      </c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Z3" s="69" t="s">
        <v>24</v>
      </c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</row>
    <row r="4" customFormat="false" ht="17.25" hidden="false" customHeight="false" outlineLevel="0" collapsed="false">
      <c r="C4" s="70" t="s">
        <v>44</v>
      </c>
      <c r="D4" s="71" t="n">
        <v>100</v>
      </c>
      <c r="E4" s="71" t="n">
        <v>200</v>
      </c>
      <c r="F4" s="71" t="n">
        <v>300</v>
      </c>
      <c r="G4" s="71" t="n">
        <v>400</v>
      </c>
      <c r="H4" s="71" t="n">
        <v>500</v>
      </c>
      <c r="I4" s="71" t="n">
        <v>600</v>
      </c>
      <c r="J4" s="71" t="n">
        <v>700</v>
      </c>
      <c r="K4" s="71" t="n">
        <v>800</v>
      </c>
      <c r="L4" s="71" t="n">
        <v>900</v>
      </c>
      <c r="M4" s="71" t="n">
        <v>1000</v>
      </c>
      <c r="N4" s="71" t="s">
        <v>45</v>
      </c>
      <c r="O4" s="71" t="s">
        <v>46</v>
      </c>
      <c r="P4" s="71" t="s">
        <v>47</v>
      </c>
      <c r="Q4" s="71" t="s">
        <v>48</v>
      </c>
      <c r="R4" s="71" t="s">
        <v>49</v>
      </c>
      <c r="S4" s="71" t="s">
        <v>50</v>
      </c>
      <c r="T4" s="71" t="s">
        <v>51</v>
      </c>
      <c r="U4" s="71" t="s">
        <v>52</v>
      </c>
      <c r="V4" s="71" t="s">
        <v>53</v>
      </c>
      <c r="W4" s="71" t="s">
        <v>54</v>
      </c>
      <c r="X4" s="71" t="s">
        <v>55</v>
      </c>
      <c r="Y4" s="71" t="s">
        <v>56</v>
      </c>
      <c r="Z4" s="71" t="s">
        <v>57</v>
      </c>
      <c r="AA4" s="72" t="s">
        <v>58</v>
      </c>
      <c r="AB4" s="59" t="s">
        <v>59</v>
      </c>
      <c r="AZ4" s="73" t="s">
        <v>23</v>
      </c>
      <c r="BA4" s="74" t="n">
        <v>1</v>
      </c>
      <c r="BB4" s="74" t="n">
        <v>2</v>
      </c>
      <c r="BC4" s="74" t="n">
        <v>3</v>
      </c>
      <c r="BD4" s="74" t="n">
        <v>4</v>
      </c>
      <c r="BE4" s="74" t="n">
        <v>5</v>
      </c>
      <c r="BF4" s="74" t="n">
        <v>6</v>
      </c>
      <c r="BG4" s="74" t="n">
        <v>7</v>
      </c>
      <c r="BH4" s="74" t="n">
        <v>8</v>
      </c>
      <c r="BI4" s="74" t="n">
        <v>9</v>
      </c>
      <c r="BJ4" s="74" t="n">
        <v>10</v>
      </c>
      <c r="BK4" s="74" t="n">
        <v>11</v>
      </c>
      <c r="BL4" s="75" t="n">
        <v>12</v>
      </c>
    </row>
    <row r="5" customFormat="false" ht="16.5" hidden="false" customHeight="false" outlineLevel="0" collapsed="false">
      <c r="C5" s="76" t="s">
        <v>23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64"/>
      <c r="R5" s="64"/>
      <c r="S5" s="64"/>
      <c r="T5" s="64"/>
      <c r="U5" s="64"/>
      <c r="V5" s="64"/>
      <c r="W5" s="64"/>
      <c r="X5" s="64"/>
      <c r="Y5" s="64"/>
      <c r="Z5" s="64"/>
      <c r="AA5" s="78"/>
      <c r="AZ5" s="79" t="s">
        <v>37</v>
      </c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1" t="s">
        <v>60</v>
      </c>
    </row>
    <row r="6" customFormat="false" ht="16.5" hidden="false" customHeight="false" outlineLevel="0" collapsed="false">
      <c r="C6" s="82" t="n">
        <v>1</v>
      </c>
      <c r="D6" s="83"/>
      <c r="E6" s="83"/>
      <c r="F6" s="83"/>
      <c r="G6" s="83"/>
      <c r="H6" s="83"/>
      <c r="I6" s="83"/>
      <c r="J6" s="83"/>
      <c r="K6" s="84" t="n">
        <v>0</v>
      </c>
      <c r="L6" s="85" t="n">
        <f aca="false">HLOOKUP($C6,$BA$4:$BL$14,$L$2)</f>
        <v>1.19981175661928</v>
      </c>
      <c r="M6" s="85" t="n">
        <f aca="false">HLOOKUP($C6,$BA$4:$BL$15,$M$2)</f>
        <v>1.19616001156207</v>
      </c>
      <c r="N6" s="86" t="n">
        <v>0</v>
      </c>
      <c r="O6" s="86" t="n">
        <v>0</v>
      </c>
      <c r="P6" s="86" t="n">
        <v>0</v>
      </c>
      <c r="Q6" s="86" t="n">
        <v>0</v>
      </c>
      <c r="R6" s="86" t="n">
        <v>0</v>
      </c>
      <c r="S6" s="86" t="n">
        <v>0</v>
      </c>
      <c r="T6" s="86" t="n">
        <v>0</v>
      </c>
      <c r="U6" s="86" t="n">
        <v>0</v>
      </c>
      <c r="V6" s="85" t="n">
        <f aca="false">HLOOKUP($C6,$BA$4:$BL$24,$V$2)</f>
        <v>1.28189922894351</v>
      </c>
      <c r="W6" s="85" t="n">
        <f aca="false">HLOOKUP($C6,$BA$4:$BL$25,$W$2)</f>
        <v>1.227</v>
      </c>
      <c r="X6" s="86" t="n">
        <v>0</v>
      </c>
      <c r="Y6" s="86" t="n">
        <v>0</v>
      </c>
      <c r="Z6" s="87" t="n">
        <v>0</v>
      </c>
      <c r="AA6" s="88"/>
      <c r="AB6" s="89" t="n">
        <f aca="false">SUM(K6:Z6)</f>
        <v>4.90487099712487</v>
      </c>
      <c r="AZ6" s="79" t="n">
        <v>1</v>
      </c>
      <c r="BA6" s="90" t="n">
        <f aca="false">PJM_01212000!AQ9</f>
        <v>0.840091403608595</v>
      </c>
      <c r="BB6" s="90" t="n">
        <f aca="false">PJM_01212000!AR9</f>
        <v>0.840091403608595</v>
      </c>
      <c r="BC6" s="90" t="n">
        <f aca="false">PJM_01212000!AS9</f>
        <v>0.880091403608595</v>
      </c>
      <c r="BD6" s="90" t="n">
        <f aca="false">PJM_01212000!AT9</f>
        <v>0.930091403608595</v>
      </c>
      <c r="BE6" s="90" t="n">
        <f aca="false">PJM_01212000!AU9</f>
        <v>0.994874138887982</v>
      </c>
      <c r="BF6" s="90" t="n">
        <f aca="false">PJM_01212000!AV9</f>
        <v>1.15660153937241</v>
      </c>
      <c r="BG6" s="90" t="n">
        <f aca="false">PJM_01212000!AW9</f>
        <v>1.11512120882705</v>
      </c>
      <c r="BH6" s="90" t="n">
        <f aca="false">PJM_01212000!AX9</f>
        <v>1.09161161660227</v>
      </c>
      <c r="BI6" s="90" t="n">
        <f aca="false">PJM_01212000!AY9</f>
        <v>0.996645781912536</v>
      </c>
      <c r="BJ6" s="90" t="n">
        <f aca="false">PJM_01212000!AZ9</f>
        <v>0.9495</v>
      </c>
      <c r="BK6" s="90" t="n">
        <f aca="false">PJM_01212000!BA9</f>
        <v>0.9295</v>
      </c>
      <c r="BL6" s="90" t="n">
        <f aca="false">PJM_01212000!BB9</f>
        <v>0.9295</v>
      </c>
      <c r="BM6" s="91" t="n">
        <f aca="false">SUM(BA6:BL6)</f>
        <v>11.6537199000366</v>
      </c>
    </row>
    <row r="7" customFormat="false" ht="16.5" hidden="false" customHeight="false" outlineLevel="0" collapsed="false">
      <c r="C7" s="82" t="n">
        <v>2</v>
      </c>
      <c r="D7" s="83"/>
      <c r="E7" s="83"/>
      <c r="F7" s="83"/>
      <c r="G7" s="83"/>
      <c r="H7" s="83"/>
      <c r="I7" s="83"/>
      <c r="J7" s="83"/>
      <c r="K7" s="92" t="n">
        <v>0</v>
      </c>
      <c r="L7" s="93" t="n">
        <f aca="false">HLOOKUP($C7,$BA$4:$BL$14,$L$2)</f>
        <v>1.19981175661928</v>
      </c>
      <c r="M7" s="93" t="n">
        <f aca="false">HLOOKUP($C7,$BA$4:$BL$15,$M$2)</f>
        <v>1.19616001156207</v>
      </c>
      <c r="N7" s="94" t="n">
        <v>0</v>
      </c>
      <c r="O7" s="94" t="n">
        <v>0</v>
      </c>
      <c r="P7" s="94" t="n">
        <v>0</v>
      </c>
      <c r="Q7" s="94" t="n">
        <v>0</v>
      </c>
      <c r="R7" s="94" t="n">
        <v>0</v>
      </c>
      <c r="S7" s="94" t="n">
        <v>0</v>
      </c>
      <c r="T7" s="94" t="n">
        <v>0</v>
      </c>
      <c r="U7" s="94" t="n">
        <v>0</v>
      </c>
      <c r="V7" s="93" t="n">
        <f aca="false">HLOOKUP($C7,$BA$4:$BL$24,$V$2)</f>
        <v>1.28189922894351</v>
      </c>
      <c r="W7" s="93" t="n">
        <f aca="false">HLOOKUP($C7,$BA$4:$BL$25,$W$2)</f>
        <v>1.227</v>
      </c>
      <c r="X7" s="94" t="n">
        <v>0</v>
      </c>
      <c r="Y7" s="94" t="n">
        <v>0</v>
      </c>
      <c r="Z7" s="95" t="n">
        <v>0</v>
      </c>
      <c r="AA7" s="88"/>
      <c r="AB7" s="89" t="n">
        <f aca="false">SUM(K7:Z7)</f>
        <v>4.90487099712487</v>
      </c>
      <c r="AZ7" s="79" t="n">
        <v>2</v>
      </c>
      <c r="BA7" s="90" t="n">
        <f aca="false">PJM_01212000!AQ10</f>
        <v>0.822165459676005</v>
      </c>
      <c r="BB7" s="90" t="n">
        <f aca="false">PJM_01212000!AR10</f>
        <v>0.822165459676005</v>
      </c>
      <c r="BC7" s="90" t="n">
        <f aca="false">PJM_01212000!AS10</f>
        <v>0.832165459676005</v>
      </c>
      <c r="BD7" s="90" t="n">
        <f aca="false">PJM_01212000!AT10</f>
        <v>0.882165459676005</v>
      </c>
      <c r="BE7" s="90" t="n">
        <f aca="false">PJM_01212000!AU10</f>
        <v>0.896144177087074</v>
      </c>
      <c r="BF7" s="90" t="n">
        <f aca="false">PJM_01212000!AV10</f>
        <v>0.958259325044405</v>
      </c>
      <c r="BG7" s="90" t="n">
        <f aca="false">PJM_01212000!AW10</f>
        <v>1.01858897706272</v>
      </c>
      <c r="BH7" s="90" t="n">
        <f aca="false">PJM_01212000!AX10</f>
        <v>0.985416926336782</v>
      </c>
      <c r="BI7" s="90" t="n">
        <f aca="false">PJM_01212000!AY10</f>
        <v>0.874375039554458</v>
      </c>
      <c r="BJ7" s="90" t="n">
        <f aca="false">PJM_01212000!AZ10</f>
        <v>0.9012</v>
      </c>
      <c r="BK7" s="90" t="n">
        <f aca="false">PJM_01212000!BA10</f>
        <v>0.8812</v>
      </c>
      <c r="BL7" s="90" t="n">
        <f aca="false">PJM_01212000!BB10</f>
        <v>0.8812</v>
      </c>
      <c r="BM7" s="91" t="n">
        <f aca="false">SUM(BA7:BL7)</f>
        <v>10.7550462837895</v>
      </c>
    </row>
    <row r="8" customFormat="false" ht="16.5" hidden="false" customHeight="false" outlineLevel="0" collapsed="false">
      <c r="C8" s="82" t="n">
        <v>3</v>
      </c>
      <c r="D8" s="83"/>
      <c r="E8" s="83"/>
      <c r="F8" s="83"/>
      <c r="G8" s="83"/>
      <c r="H8" s="83"/>
      <c r="I8" s="83"/>
      <c r="J8" s="83"/>
      <c r="K8" s="92" t="n">
        <v>0</v>
      </c>
      <c r="L8" s="93" t="n">
        <f aca="false">HLOOKUP($C8,$BA$4:$BL$14,$L$2)</f>
        <v>1.1898</v>
      </c>
      <c r="M8" s="93" t="n">
        <f aca="false">HLOOKUP($C8,$BA$4:$BL$15,$M$2)</f>
        <v>1.1862</v>
      </c>
      <c r="N8" s="94" t="n">
        <v>0</v>
      </c>
      <c r="O8" s="94" t="n">
        <v>0</v>
      </c>
      <c r="P8" s="94" t="n">
        <v>0</v>
      </c>
      <c r="Q8" s="94" t="n">
        <v>0</v>
      </c>
      <c r="R8" s="94" t="n">
        <v>0</v>
      </c>
      <c r="S8" s="94" t="n">
        <v>0</v>
      </c>
      <c r="T8" s="94" t="n">
        <v>0</v>
      </c>
      <c r="U8" s="94" t="n">
        <v>0</v>
      </c>
      <c r="V8" s="93" t="n">
        <f aca="false">HLOOKUP($C8,$BA$4:$BL$24,$V$2)</f>
        <v>1.2719</v>
      </c>
      <c r="W8" s="93" t="n">
        <f aca="false">HLOOKUP($C8,$BA$4:$BL$25,$W$2)</f>
        <v>1.217</v>
      </c>
      <c r="X8" s="94" t="n">
        <v>0</v>
      </c>
      <c r="Y8" s="94" t="n">
        <v>0</v>
      </c>
      <c r="Z8" s="95" t="n">
        <v>0</v>
      </c>
      <c r="AA8" s="88"/>
      <c r="AB8" s="89" t="n">
        <f aca="false">SUM(K8:Z8)</f>
        <v>4.8649</v>
      </c>
      <c r="AZ8" s="79" t="n">
        <v>3</v>
      </c>
      <c r="BA8" s="90" t="n">
        <f aca="false">PJM_01212000!AQ11</f>
        <v>0.746699835535835</v>
      </c>
      <c r="BB8" s="90" t="n">
        <f aca="false">PJM_01212000!AR11</f>
        <v>0.746699835535835</v>
      </c>
      <c r="BC8" s="90" t="n">
        <f aca="false">PJM_01212000!AS11</f>
        <v>0.796699835535835</v>
      </c>
      <c r="BD8" s="90" t="n">
        <f aca="false">PJM_01212000!AT11</f>
        <v>0.846699835535835</v>
      </c>
      <c r="BE8" s="90" t="n">
        <f aca="false">PJM_01212000!AU11</f>
        <v>0.848085148062294</v>
      </c>
      <c r="BF8" s="90" t="n">
        <f aca="false">PJM_01212000!AV11</f>
        <v>0.80550621669627</v>
      </c>
      <c r="BG8" s="90" t="n">
        <f aca="false">PJM_01212000!AW11</f>
        <v>0.970540276116969</v>
      </c>
      <c r="BH8" s="90" t="n">
        <f aca="false">PJM_01212000!AX11</f>
        <v>0.884955752212389</v>
      </c>
      <c r="BI8" s="90" t="n">
        <f aca="false">PJM_01212000!AY11</f>
        <v>0.819948104550344</v>
      </c>
      <c r="BJ8" s="90" t="n">
        <f aca="false">PJM_01212000!AZ11</f>
        <v>0.8657</v>
      </c>
      <c r="BK8" s="90" t="n">
        <f aca="false">PJM_01212000!BA11</f>
        <v>0.8457</v>
      </c>
      <c r="BL8" s="90" t="n">
        <f aca="false">PJM_01212000!BB11</f>
        <v>0.8457</v>
      </c>
      <c r="BM8" s="91" t="n">
        <f aca="false">SUM(BA8:BL8)</f>
        <v>10.0229348397816</v>
      </c>
    </row>
    <row r="9" customFormat="false" ht="16.5" hidden="false" customHeight="false" outlineLevel="0" collapsed="false">
      <c r="C9" s="82" t="n">
        <v>4</v>
      </c>
      <c r="D9" s="83"/>
      <c r="E9" s="83"/>
      <c r="F9" s="83"/>
      <c r="G9" s="83"/>
      <c r="H9" s="83"/>
      <c r="I9" s="83"/>
      <c r="J9" s="83"/>
      <c r="K9" s="96" t="n">
        <f aca="false">HLOOKUP($C9,$BA$4:$BL$13,$K$2)</f>
        <v>1.1232726508202</v>
      </c>
      <c r="L9" s="93" t="n">
        <f aca="false">HLOOKUP($C9,$BA$4:$BL$14,$L$2)</f>
        <v>1.14131544612562</v>
      </c>
      <c r="M9" s="94" t="n">
        <v>0</v>
      </c>
      <c r="N9" s="94" t="n">
        <v>0</v>
      </c>
      <c r="O9" s="93" t="n">
        <f aca="false">HLOOKUP($C9,$BA$4:$BL$17,$O$2)</f>
        <v>1.11852454679246</v>
      </c>
      <c r="P9" s="94" t="n">
        <v>0</v>
      </c>
      <c r="Q9" s="94" t="n">
        <v>0</v>
      </c>
      <c r="R9" s="94" t="n">
        <v>0</v>
      </c>
      <c r="S9" s="94" t="n">
        <v>0</v>
      </c>
      <c r="T9" s="94" t="n">
        <v>0</v>
      </c>
      <c r="U9" s="94" t="n">
        <v>0</v>
      </c>
      <c r="V9" s="94" t="n">
        <v>0</v>
      </c>
      <c r="W9" s="94" t="n">
        <v>0</v>
      </c>
      <c r="X9" s="93" t="n">
        <f aca="false">HLOOKUP($C9,$BA$4:$BL$26,$X$2)</f>
        <v>1.15433651784915</v>
      </c>
      <c r="Y9" s="94" t="n">
        <v>0</v>
      </c>
      <c r="Z9" s="95" t="n">
        <v>0</v>
      </c>
      <c r="AA9" s="88"/>
      <c r="AB9" s="89" t="n">
        <f aca="false">SUM(K9:Z9)</f>
        <v>4.53744916158744</v>
      </c>
      <c r="AZ9" s="79" t="n">
        <v>4</v>
      </c>
      <c r="BA9" s="90" t="n">
        <f aca="false">PJM_01212000!AQ12</f>
        <v>0.7462</v>
      </c>
      <c r="BB9" s="90" t="n">
        <f aca="false">PJM_01212000!AR12</f>
        <v>0.7462</v>
      </c>
      <c r="BC9" s="90" t="n">
        <f aca="false">PJM_01212000!AS12</f>
        <v>0.797199950847743</v>
      </c>
      <c r="BD9" s="90" t="n">
        <f aca="false">PJM_01212000!AT12</f>
        <v>0.847199950847743</v>
      </c>
      <c r="BE9" s="90" t="n">
        <f aca="false">PJM_01212000!AU12</f>
        <v>0.822227300923961</v>
      </c>
      <c r="BF9" s="90" t="n">
        <f aca="false">PJM_01212000!AV12</f>
        <v>0.747779751332149</v>
      </c>
      <c r="BG9" s="90" t="n">
        <f aca="false">PJM_01212000!AW12</f>
        <v>0.874008044352647</v>
      </c>
      <c r="BH9" s="90" t="n">
        <f aca="false">PJM_01212000!AX12</f>
        <v>0.832606257011093</v>
      </c>
      <c r="BI9" s="90" t="n">
        <f aca="false">PJM_01212000!AY12</f>
        <v>0.832099234225682</v>
      </c>
      <c r="BJ9" s="90" t="n">
        <f aca="false">PJM_01212000!AZ12</f>
        <v>0.8662</v>
      </c>
      <c r="BK9" s="90" t="n">
        <f aca="false">PJM_01212000!BA12</f>
        <v>0.8462</v>
      </c>
      <c r="BL9" s="90" t="n">
        <f aca="false">PJM_01212000!BB12</f>
        <v>0.8462</v>
      </c>
      <c r="BM9" s="91" t="n">
        <f aca="false">SUM(BA9:BL9)</f>
        <v>9.80412048954102</v>
      </c>
    </row>
    <row r="10" customFormat="false" ht="16.5" hidden="false" customHeight="false" outlineLevel="0" collapsed="false">
      <c r="C10" s="82" t="n">
        <v>5</v>
      </c>
      <c r="D10" s="83"/>
      <c r="E10" s="83"/>
      <c r="F10" s="83"/>
      <c r="G10" s="83"/>
      <c r="H10" s="83"/>
      <c r="I10" s="83"/>
      <c r="J10" s="83"/>
      <c r="K10" s="92" t="n">
        <v>0</v>
      </c>
      <c r="L10" s="94" t="n">
        <v>0</v>
      </c>
      <c r="M10" s="93" t="n">
        <f aca="false">HLOOKUP($C10,$BA$4:$BL$15,$M$2)</f>
        <v>1.06102662180267</v>
      </c>
      <c r="N10" s="93" t="n">
        <f aca="false">HLOOKUP($C10,$BA$4:$BL$16,$N$2)</f>
        <v>1.12549986193072</v>
      </c>
      <c r="O10" s="93" t="n">
        <f aca="false">HLOOKUP($C10,$BA$4:$BL$17,$O$2)</f>
        <v>1.11699070333514</v>
      </c>
      <c r="P10" s="94" t="n">
        <v>0</v>
      </c>
      <c r="Q10" s="94" t="n">
        <v>0</v>
      </c>
      <c r="R10" s="94" t="n">
        <v>0</v>
      </c>
      <c r="S10" s="94" t="n">
        <v>0</v>
      </c>
      <c r="T10" s="94" t="n">
        <v>0</v>
      </c>
      <c r="U10" s="94" t="n">
        <v>0</v>
      </c>
      <c r="V10" s="94" t="n">
        <v>0</v>
      </c>
      <c r="W10" s="94" t="n">
        <v>0</v>
      </c>
      <c r="X10" s="93" t="n">
        <f aca="false">HLOOKUP($C10,$BA$4:$BL$26,$X$2)</f>
        <v>1.08769956124651</v>
      </c>
      <c r="Y10" s="94" t="n">
        <v>0</v>
      </c>
      <c r="Z10" s="95" t="n">
        <v>0</v>
      </c>
      <c r="AA10" s="88"/>
      <c r="AB10" s="89" t="n">
        <f aca="false">SUM(K10:Z10)</f>
        <v>4.39121674831504</v>
      </c>
      <c r="AZ10" s="79" t="n">
        <v>5</v>
      </c>
      <c r="BA10" s="90" t="n">
        <f aca="false">PJM_01212000!AQ13</f>
        <v>0.7665</v>
      </c>
      <c r="BB10" s="90" t="n">
        <f aca="false">PJM_01212000!AR13</f>
        <v>0.7665</v>
      </c>
      <c r="BC10" s="90" t="n">
        <f aca="false">PJM_01212000!AS13</f>
        <v>0.857490447810899</v>
      </c>
      <c r="BD10" s="90" t="n">
        <f aca="false">PJM_01212000!AT13</f>
        <v>0.907490447810899</v>
      </c>
      <c r="BE10" s="90" t="n">
        <f aca="false">PJM_01212000!AU13</f>
        <v>0.890136798458977</v>
      </c>
      <c r="BF10" s="90" t="n">
        <f aca="false">PJM_01212000!AV13</f>
        <v>0.811130846654825</v>
      </c>
      <c r="BG10" s="90" t="n">
        <f aca="false">PJM_01212000!AW13</f>
        <v>0.829655397325796</v>
      </c>
      <c r="BH10" s="90" t="n">
        <f aca="false">PJM_01212000!AX13</f>
        <v>0.864265237442353</v>
      </c>
      <c r="BI10" s="90" t="n">
        <f aca="false">PJM_01212000!AY13</f>
        <v>0.898424150370229</v>
      </c>
      <c r="BJ10" s="90" t="n">
        <f aca="false">PJM_01212000!AZ13</f>
        <v>0.9265</v>
      </c>
      <c r="BK10" s="90" t="n">
        <f aca="false">PJM_01212000!BA13</f>
        <v>0.9065</v>
      </c>
      <c r="BL10" s="90" t="n">
        <f aca="false">PJM_01212000!BB13</f>
        <v>0.9065</v>
      </c>
      <c r="BM10" s="91" t="n">
        <f aca="false">SUM(BA10:BL10)</f>
        <v>10.331093325874</v>
      </c>
    </row>
    <row r="11" customFormat="false" ht="16.5" hidden="false" customHeight="false" outlineLevel="0" collapsed="false">
      <c r="C11" s="82" t="n">
        <v>6</v>
      </c>
      <c r="D11" s="83"/>
      <c r="E11" s="83"/>
      <c r="F11" s="83"/>
      <c r="G11" s="83"/>
      <c r="H11" s="83"/>
      <c r="I11" s="83"/>
      <c r="J11" s="83"/>
      <c r="K11" s="92" t="n">
        <v>0</v>
      </c>
      <c r="L11" s="94" t="n">
        <v>0</v>
      </c>
      <c r="M11" s="94" t="n">
        <v>0</v>
      </c>
      <c r="N11" s="94" t="n">
        <v>0</v>
      </c>
      <c r="O11" s="94" t="n">
        <v>0</v>
      </c>
      <c r="P11" s="94" t="n">
        <v>0</v>
      </c>
      <c r="Q11" s="93" t="n">
        <f aca="false">HLOOKUP($C11,$BA$4:$BL$19,$Q$2)</f>
        <v>1.22092018621818</v>
      </c>
      <c r="R11" s="93" t="n">
        <f aca="false">HLOOKUP($C11,$BA$4:$BL$20,$R$2)</f>
        <v>1.23031497714214</v>
      </c>
      <c r="S11" s="93" t="n">
        <f aca="false">HLOOKUP($C11,$BA$4:$BL$21,$S$2)</f>
        <v>1.23232814662584</v>
      </c>
      <c r="T11" s="93" t="n">
        <f aca="false">HLOOKUP($C11,$BA$4:$BL$22,$T$2)</f>
        <v>1.25232563016399</v>
      </c>
      <c r="U11" s="94" t="n">
        <v>0</v>
      </c>
      <c r="V11" s="94" t="n">
        <v>0</v>
      </c>
      <c r="W11" s="94" t="n">
        <v>0</v>
      </c>
      <c r="X11" s="94" t="n">
        <v>0</v>
      </c>
      <c r="Y11" s="94" t="n">
        <v>0</v>
      </c>
      <c r="Z11" s="95" t="n">
        <v>0</v>
      </c>
      <c r="AA11" s="88"/>
      <c r="AB11" s="89" t="n">
        <f aca="false">SUM(K11:Z11)</f>
        <v>4.93588894015015</v>
      </c>
      <c r="AZ11" s="79" t="n">
        <v>6</v>
      </c>
      <c r="BA11" s="90" t="n">
        <f aca="false">PJM_01212000!AQ14</f>
        <v>0.8234</v>
      </c>
      <c r="BB11" s="90" t="n">
        <f aca="false">PJM_01212000!AR14</f>
        <v>0.8234</v>
      </c>
      <c r="BC11" s="90" t="n">
        <f aca="false">PJM_01212000!AS14</f>
        <v>0.99535202187632</v>
      </c>
      <c r="BD11" s="90" t="n">
        <f aca="false">PJM_01212000!AT14</f>
        <v>1.04535202187632</v>
      </c>
      <c r="BE11" s="90" t="n">
        <f aca="false">PJM_01212000!AU14</f>
        <v>1.07923863005648</v>
      </c>
      <c r="BF11" s="90" t="n">
        <f aca="false">PJM_01212000!AV14</f>
        <v>0.98963883955003</v>
      </c>
      <c r="BG11" s="90" t="n">
        <f aca="false">PJM_01212000!AW14</f>
        <v>0.914664637460593</v>
      </c>
      <c r="BH11" s="90" t="n">
        <f aca="false">PJM_01212000!AX14</f>
        <v>0.960239311978063</v>
      </c>
      <c r="BI11" s="90" t="n">
        <f aca="false">PJM_01212000!AY14</f>
        <v>1.03968103284602</v>
      </c>
      <c r="BJ11" s="90" t="n">
        <f aca="false">PJM_01212000!AZ14</f>
        <v>1.0644</v>
      </c>
      <c r="BK11" s="90" t="n">
        <f aca="false">PJM_01212000!BA14</f>
        <v>1.0444</v>
      </c>
      <c r="BL11" s="90" t="n">
        <f aca="false">PJM_01212000!BB14</f>
        <v>1.0444</v>
      </c>
      <c r="BM11" s="91" t="n">
        <f aca="false">SUM(BA11:BL11)</f>
        <v>11.8241664956438</v>
      </c>
    </row>
    <row r="12" customFormat="false" ht="16.5" hidden="false" customHeight="false" outlineLevel="0" collapsed="false">
      <c r="C12" s="82" t="n">
        <v>7</v>
      </c>
      <c r="D12" s="83"/>
      <c r="E12" s="83"/>
      <c r="F12" s="83"/>
      <c r="G12" s="83"/>
      <c r="H12" s="83"/>
      <c r="I12" s="83"/>
      <c r="J12" s="83"/>
      <c r="K12" s="92" t="n">
        <v>0</v>
      </c>
      <c r="L12" s="94" t="n">
        <v>0</v>
      </c>
      <c r="M12" s="94" t="n">
        <v>0</v>
      </c>
      <c r="N12" s="94" t="n">
        <v>0</v>
      </c>
      <c r="O12" s="94" t="n">
        <v>0</v>
      </c>
      <c r="P12" s="94" t="n">
        <v>0</v>
      </c>
      <c r="Q12" s="94" t="n">
        <v>0</v>
      </c>
      <c r="R12" s="93" t="n">
        <f aca="false">HLOOKUP($C12,$BA$4:$BL$20,$R$2)</f>
        <v>1.2506946851613</v>
      </c>
      <c r="S12" s="93" t="n">
        <f aca="false">HLOOKUP($C12,$BA$4:$BL$21,$S$2)</f>
        <v>1.32734019400042</v>
      </c>
      <c r="T12" s="93" t="n">
        <f aca="false">HLOOKUP($C12,$BA$4:$BL$22,$T$2)</f>
        <v>1.35388881627921</v>
      </c>
      <c r="U12" s="93" t="n">
        <f aca="false">HLOOKUP($C12,$BA$4:$BL$23,$U$2)</f>
        <v>1.32033935867348</v>
      </c>
      <c r="V12" s="94" t="n">
        <v>0</v>
      </c>
      <c r="W12" s="94" t="n">
        <v>0</v>
      </c>
      <c r="X12" s="94" t="n">
        <v>0</v>
      </c>
      <c r="Y12" s="94" t="n">
        <v>0</v>
      </c>
      <c r="Z12" s="95" t="n">
        <v>0</v>
      </c>
      <c r="AA12" s="88"/>
      <c r="AB12" s="89" t="n">
        <f aca="false">SUM(K12:Z12)</f>
        <v>5.25226305411441</v>
      </c>
      <c r="AZ12" s="79" t="n">
        <v>7</v>
      </c>
      <c r="BA12" s="90" t="n">
        <f aca="false">PJM_01212000!AQ15</f>
        <v>2.03</v>
      </c>
      <c r="BB12" s="90" t="n">
        <f aca="false">PJM_01212000!AR15</f>
        <v>2.03</v>
      </c>
      <c r="BC12" s="90" t="n">
        <f aca="false">PJM_01212000!AS15</f>
        <v>1.796</v>
      </c>
      <c r="BD12" s="90" t="n">
        <f aca="false">PJM_01212000!AT15</f>
        <v>1.49097568120843</v>
      </c>
      <c r="BE12" s="90" t="n">
        <f aca="false">PJM_01212000!AU15</f>
        <v>1.29132521466584</v>
      </c>
      <c r="BF12" s="90" t="n">
        <f aca="false">PJM_01212000!AV15</f>
        <v>1.13469508584962</v>
      </c>
      <c r="BG12" s="90" t="n">
        <f aca="false">PJM_01212000!AW15</f>
        <v>1.01576258288944</v>
      </c>
      <c r="BH12" s="90" t="n">
        <f aca="false">PJM_01212000!AX15</f>
        <v>1.11728779758195</v>
      </c>
      <c r="BI12" s="90" t="n">
        <f aca="false">PJM_01212000!AY15</f>
        <v>1.41383456743244</v>
      </c>
      <c r="BJ12" s="90" t="n">
        <f aca="false">PJM_01212000!AZ15</f>
        <v>1.376</v>
      </c>
      <c r="BK12" s="90" t="n">
        <f aca="false">PJM_01212000!BA15</f>
        <v>1.496</v>
      </c>
      <c r="BL12" s="90" t="n">
        <f aca="false">PJM_01212000!BB15</f>
        <v>1.496</v>
      </c>
      <c r="BM12" s="91" t="n">
        <f aca="false">SUM(BA12:BL12)</f>
        <v>17.6878809296277</v>
      </c>
    </row>
    <row r="13" customFormat="false" ht="16.5" hidden="false" customHeight="false" outlineLevel="0" collapsed="false">
      <c r="C13" s="82" t="n">
        <v>8</v>
      </c>
      <c r="D13" s="83"/>
      <c r="E13" s="83"/>
      <c r="F13" s="83"/>
      <c r="G13" s="83"/>
      <c r="H13" s="83"/>
      <c r="I13" s="83"/>
      <c r="J13" s="83"/>
      <c r="K13" s="92" t="n">
        <v>0</v>
      </c>
      <c r="L13" s="94" t="n">
        <v>0</v>
      </c>
      <c r="M13" s="94" t="n">
        <v>0</v>
      </c>
      <c r="N13" s="94" t="n">
        <v>0</v>
      </c>
      <c r="O13" s="94" t="n">
        <v>0</v>
      </c>
      <c r="P13" s="94" t="n">
        <v>0</v>
      </c>
      <c r="Q13" s="93" t="n">
        <f aca="false">HLOOKUP($C13,$BA$4:$BL$19,$Q$2)</f>
        <v>1.19072909190695</v>
      </c>
      <c r="R13" s="93" t="n">
        <f aca="false">HLOOKUP($C13,$BA$4:$BL$20,$R$2)</f>
        <v>1.26057331025457</v>
      </c>
      <c r="S13" s="93" t="n">
        <f aca="false">HLOOKUP($C13,$BA$4:$BL$21,$S$2)</f>
        <v>1.24301093426774</v>
      </c>
      <c r="T13" s="93" t="n">
        <f aca="false">HLOOKUP($C13,$BA$4:$BL$22,$T$2)</f>
        <v>1.21504622788872</v>
      </c>
      <c r="U13" s="94" t="n">
        <v>0</v>
      </c>
      <c r="V13" s="94" t="n">
        <v>0</v>
      </c>
      <c r="W13" s="94" t="n">
        <v>0</v>
      </c>
      <c r="X13" s="94" t="n">
        <v>0</v>
      </c>
      <c r="Y13" s="94" t="n">
        <v>0</v>
      </c>
      <c r="Z13" s="95" t="n">
        <v>0</v>
      </c>
      <c r="AA13" s="88"/>
      <c r="AB13" s="89" t="n">
        <f aca="false">SUM(K13:Z13)</f>
        <v>4.90935956431798</v>
      </c>
      <c r="AZ13" s="65" t="n">
        <v>8</v>
      </c>
      <c r="BA13" s="97" t="n">
        <f aca="false">PJM_01212000!AQ16</f>
        <v>1.14588481370903</v>
      </c>
      <c r="BB13" s="98" t="n">
        <f aca="false">PJM_01212000!AR16</f>
        <v>1.14588481370903</v>
      </c>
      <c r="BC13" s="98" t="n">
        <f aca="false">PJM_01212000!AS16</f>
        <v>1.1359</v>
      </c>
      <c r="BD13" s="99" t="n">
        <f aca="false">PJM_01212000!AT16</f>
        <v>1.1232726508202</v>
      </c>
      <c r="BE13" s="98" t="n">
        <f aca="false">PJM_01212000!AU16</f>
        <v>0.952862125039631</v>
      </c>
      <c r="BF13" s="98" t="n">
        <f aca="false">PJM_01212000!AV16</f>
        <v>0.651059011030491</v>
      </c>
      <c r="BG13" s="98" t="n">
        <f aca="false">PJM_01212000!AW16</f>
        <v>0.586251768676944</v>
      </c>
      <c r="BH13" s="98" t="n">
        <f aca="false">PJM_01212000!AX16</f>
        <v>0.664938573901296</v>
      </c>
      <c r="BI13" s="98" t="n">
        <f aca="false">PJM_01212000!AY16</f>
        <v>0.777104352443558</v>
      </c>
      <c r="BJ13" s="98" t="n">
        <f aca="false">PJM_01212000!AZ16</f>
        <v>1.0615</v>
      </c>
      <c r="BK13" s="98" t="n">
        <f aca="false">PJM_01212000!BA16</f>
        <v>1.0715</v>
      </c>
      <c r="BL13" s="100" t="n">
        <f aca="false">PJM_01212000!BB16</f>
        <v>1.0875</v>
      </c>
      <c r="BM13" s="91" t="n">
        <f aca="false">SUM(BA13:BL13)</f>
        <v>11.4036581093302</v>
      </c>
    </row>
    <row r="14" customFormat="false" ht="16.5" hidden="false" customHeight="false" outlineLevel="0" collapsed="false">
      <c r="C14" s="82" t="n">
        <v>9</v>
      </c>
      <c r="D14" s="83"/>
      <c r="E14" s="83"/>
      <c r="F14" s="83"/>
      <c r="G14" s="83"/>
      <c r="H14" s="83"/>
      <c r="I14" s="83"/>
      <c r="J14" s="83"/>
      <c r="K14" s="92" t="n">
        <v>0</v>
      </c>
      <c r="L14" s="94" t="n">
        <v>0</v>
      </c>
      <c r="M14" s="94" t="n">
        <v>0</v>
      </c>
      <c r="N14" s="94" t="n">
        <v>0</v>
      </c>
      <c r="O14" s="94" t="n">
        <v>0</v>
      </c>
      <c r="P14" s="94" t="n">
        <v>0</v>
      </c>
      <c r="Q14" s="94" t="n">
        <v>0</v>
      </c>
      <c r="R14" s="94" t="n">
        <v>0</v>
      </c>
      <c r="S14" s="94" t="n">
        <v>0</v>
      </c>
      <c r="T14" s="93" t="n">
        <f aca="false">HLOOKUP($C14,$BA$4:$BL$22,$T$2)</f>
        <v>1.13452840898687</v>
      </c>
      <c r="U14" s="93" t="n">
        <f aca="false">HLOOKUP($C14,$BA$4:$BL$23,$U$2)</f>
        <v>1.1066962078626</v>
      </c>
      <c r="V14" s="94" t="n">
        <v>0</v>
      </c>
      <c r="W14" s="93" t="n">
        <f aca="false">HLOOKUP($C14,$BA$4:$BL$25,$W$2)</f>
        <v>1.18462637101057</v>
      </c>
      <c r="X14" s="93" t="n">
        <f aca="false">HLOOKUP($C14,$BA$4:$BL$26,$X$2)</f>
        <v>1.1944408840386</v>
      </c>
      <c r="Y14" s="94" t="n">
        <v>0</v>
      </c>
      <c r="Z14" s="95" t="n">
        <v>0</v>
      </c>
      <c r="AA14" s="88"/>
      <c r="AB14" s="89" t="n">
        <f aca="false">SUM(K14:Z14)</f>
        <v>4.62029187189864</v>
      </c>
      <c r="AZ14" s="65" t="n">
        <v>9</v>
      </c>
      <c r="BA14" s="101" t="n">
        <f aca="false">PJM_01212000!AQ17</f>
        <v>1.19981175661928</v>
      </c>
      <c r="BB14" s="102" t="n">
        <f aca="false">PJM_01212000!AR17</f>
        <v>1.19981175661928</v>
      </c>
      <c r="BC14" s="102" t="n">
        <f aca="false">PJM_01212000!AS17</f>
        <v>1.1898</v>
      </c>
      <c r="BD14" s="102" t="n">
        <f aca="false">PJM_01212000!AT17</f>
        <v>1.14131544612562</v>
      </c>
      <c r="BE14" s="103" t="n">
        <f aca="false">PJM_01212000!AU17</f>
        <v>1.04253556562382</v>
      </c>
      <c r="BF14" s="103" t="n">
        <f aca="false">PJM_01212000!AV17</f>
        <v>0.765675460302814</v>
      </c>
      <c r="BG14" s="103" t="n">
        <f aca="false">PJM_01212000!AW17</f>
        <v>0.647077208075963</v>
      </c>
      <c r="BH14" s="103" t="n">
        <f aca="false">PJM_01212000!AX17</f>
        <v>0.724650652256512</v>
      </c>
      <c r="BI14" s="103" t="n">
        <f aca="false">PJM_01212000!AY17</f>
        <v>0.759819090692693</v>
      </c>
      <c r="BJ14" s="102" t="n">
        <f aca="false">PJM_01212000!AZ17</f>
        <v>1.1326</v>
      </c>
      <c r="BK14" s="102" t="n">
        <f aca="false">PJM_01212000!BA17</f>
        <v>1.1426</v>
      </c>
      <c r="BL14" s="104" t="n">
        <f aca="false">PJM_01212000!BB17</f>
        <v>1.1638</v>
      </c>
      <c r="BM14" s="91" t="n">
        <f aca="false">SUM(BA14:BL14)</f>
        <v>12.109496936316</v>
      </c>
    </row>
    <row r="15" customFormat="false" ht="16.5" hidden="false" customHeight="false" outlineLevel="0" collapsed="false">
      <c r="C15" s="82" t="n">
        <v>10</v>
      </c>
      <c r="D15" s="83"/>
      <c r="E15" s="83"/>
      <c r="F15" s="83"/>
      <c r="G15" s="83"/>
      <c r="H15" s="83"/>
      <c r="I15" s="83"/>
      <c r="J15" s="83"/>
      <c r="K15" s="92" t="n">
        <v>0</v>
      </c>
      <c r="L15" s="93" t="n">
        <f aca="false">HLOOKUP($C15,$BA$4:$BL$14,$L$2)</f>
        <v>1.1326</v>
      </c>
      <c r="M15" s="94" t="n">
        <v>0</v>
      </c>
      <c r="N15" s="94" t="n">
        <v>0</v>
      </c>
      <c r="O15" s="94" t="n">
        <v>0</v>
      </c>
      <c r="P15" s="94" t="n">
        <v>0</v>
      </c>
      <c r="Q15" s="94" t="n">
        <v>0</v>
      </c>
      <c r="R15" s="94" t="n">
        <v>0</v>
      </c>
      <c r="S15" s="94" t="n">
        <v>0</v>
      </c>
      <c r="T15" s="94" t="n">
        <v>0</v>
      </c>
      <c r="U15" s="93" t="n">
        <f aca="false">HLOOKUP($C15,$BA$4:$BL$23,$U$2)</f>
        <v>1.2001</v>
      </c>
      <c r="V15" s="93" t="n">
        <f aca="false">HLOOKUP($C15,$BA$4:$BL$24,$V$2)</f>
        <v>1.2095</v>
      </c>
      <c r="W15" s="93" t="n">
        <f aca="false">HLOOKUP($C15,$BA$4:$BL$25,$W$2)</f>
        <v>1.1567</v>
      </c>
      <c r="X15" s="94" t="n">
        <v>0</v>
      </c>
      <c r="Y15" s="94" t="n">
        <v>0</v>
      </c>
      <c r="Z15" s="95" t="n">
        <v>0</v>
      </c>
      <c r="AA15" s="88"/>
      <c r="AB15" s="89" t="n">
        <f aca="false">SUM(K15:Z15)</f>
        <v>4.6989</v>
      </c>
      <c r="AZ15" s="65" t="n">
        <v>10</v>
      </c>
      <c r="BA15" s="101" t="n">
        <f aca="false">PJM_01212000!AQ18</f>
        <v>1.19616001156207</v>
      </c>
      <c r="BB15" s="102" t="n">
        <f aca="false">PJM_01212000!AR18</f>
        <v>1.19616001156207</v>
      </c>
      <c r="BC15" s="102" t="n">
        <f aca="false">PJM_01212000!AS18</f>
        <v>1.1862</v>
      </c>
      <c r="BD15" s="103" t="n">
        <f aca="false">PJM_01212000!AT18</f>
        <v>1.09378612004454</v>
      </c>
      <c r="BE15" s="102" t="n">
        <f aca="false">PJM_01212000!AU18</f>
        <v>1.06102662180267</v>
      </c>
      <c r="BF15" s="103" t="n">
        <f aca="false">PJM_01212000!AV18</f>
        <v>0.856402298368494</v>
      </c>
      <c r="BG15" s="103" t="n">
        <f aca="false">PJM_01212000!AW18</f>
        <v>0.774728802868524</v>
      </c>
      <c r="BH15" s="103" t="n">
        <f aca="false">PJM_01212000!AX18</f>
        <v>0.92931988010301</v>
      </c>
      <c r="BI15" s="103" t="n">
        <f aca="false">PJM_01212000!AY18</f>
        <v>0.948492117261458</v>
      </c>
      <c r="BJ15" s="103" t="n">
        <f aca="false">PJM_01212000!AZ18</f>
        <v>1.1291</v>
      </c>
      <c r="BK15" s="103" t="n">
        <f aca="false">PJM_01212000!BA18</f>
        <v>1.1352</v>
      </c>
      <c r="BL15" s="105" t="n">
        <f aca="false">PJM_01212000!BB18</f>
        <v>1.1579</v>
      </c>
      <c r="BM15" s="91" t="n">
        <f aca="false">SUM(BA15:BL15)</f>
        <v>12.6644758635728</v>
      </c>
    </row>
    <row r="16" customFormat="false" ht="16.5" hidden="false" customHeight="false" outlineLevel="0" collapsed="false">
      <c r="C16" s="82" t="n">
        <v>11</v>
      </c>
      <c r="D16" s="83"/>
      <c r="E16" s="83"/>
      <c r="F16" s="83"/>
      <c r="G16" s="83"/>
      <c r="H16" s="83"/>
      <c r="I16" s="83"/>
      <c r="J16" s="83"/>
      <c r="K16" s="92" t="n">
        <v>0</v>
      </c>
      <c r="L16" s="93" t="n">
        <f aca="false">HLOOKUP($C16,$BA$4:$BL$14,$L$2)</f>
        <v>1.1426</v>
      </c>
      <c r="M16" s="94" t="n">
        <v>0</v>
      </c>
      <c r="N16" s="94" t="n">
        <v>0</v>
      </c>
      <c r="O16" s="94" t="n">
        <v>0</v>
      </c>
      <c r="P16" s="94" t="n">
        <v>0</v>
      </c>
      <c r="Q16" s="94" t="n">
        <v>0</v>
      </c>
      <c r="R16" s="94" t="n">
        <v>0</v>
      </c>
      <c r="S16" s="94" t="n">
        <v>0</v>
      </c>
      <c r="T16" s="94" t="n">
        <v>0</v>
      </c>
      <c r="U16" s="93" t="n">
        <f aca="false">HLOOKUP($C16,$BA$4:$BL$23,$U$2)</f>
        <v>1.2171</v>
      </c>
      <c r="V16" s="93" t="n">
        <f aca="false">HLOOKUP($C16,$BA$4:$BL$24,$V$2)</f>
        <v>1.2269</v>
      </c>
      <c r="W16" s="93" t="n">
        <f aca="false">HLOOKUP($C16,$BA$4:$BL$25,$W$2)</f>
        <v>1.1767</v>
      </c>
      <c r="X16" s="94" t="n">
        <v>0</v>
      </c>
      <c r="Y16" s="94" t="n">
        <v>0</v>
      </c>
      <c r="Z16" s="95" t="n">
        <v>0</v>
      </c>
      <c r="AA16" s="88"/>
      <c r="AB16" s="89" t="n">
        <f aca="false">SUM(K16:Z16)</f>
        <v>4.7633</v>
      </c>
      <c r="AZ16" s="65" t="n">
        <v>11</v>
      </c>
      <c r="BA16" s="106" t="n">
        <f aca="false">PJM_01212000!AQ19</f>
        <v>1.17528545047035</v>
      </c>
      <c r="BB16" s="103" t="n">
        <f aca="false">PJM_01212000!AR19</f>
        <v>1.17528545047035</v>
      </c>
      <c r="BC16" s="103" t="n">
        <f aca="false">PJM_01212000!AS19</f>
        <v>1.1653</v>
      </c>
      <c r="BD16" s="103" t="n">
        <f aca="false">PJM_01212000!AT19</f>
        <v>1.11633559035934</v>
      </c>
      <c r="BE16" s="102" t="n">
        <f aca="false">PJM_01212000!AU19</f>
        <v>1.12549986193072</v>
      </c>
      <c r="BF16" s="103" t="n">
        <f aca="false">PJM_01212000!AV19</f>
        <v>0.985110934026758</v>
      </c>
      <c r="BG16" s="103" t="n">
        <f aca="false">PJM_01212000!AW19</f>
        <v>0.881559731558879</v>
      </c>
      <c r="BH16" s="103" t="n">
        <f aca="false">PJM_01212000!AX19</f>
        <v>1.04887913201334</v>
      </c>
      <c r="BI16" s="103" t="n">
        <f aca="false">PJM_01212000!AY19</f>
        <v>1.01294563565452</v>
      </c>
      <c r="BJ16" s="103" t="n">
        <f aca="false">PJM_01212000!AZ19</f>
        <v>1.1227</v>
      </c>
      <c r="BK16" s="103" t="n">
        <f aca="false">PJM_01212000!BA19</f>
        <v>1.1133</v>
      </c>
      <c r="BL16" s="105" t="n">
        <f aca="false">PJM_01212000!BB19</f>
        <v>1.1327</v>
      </c>
      <c r="BM16" s="91" t="n">
        <f aca="false">SUM(BA16:BL16)</f>
        <v>13.0549017864842</v>
      </c>
    </row>
    <row r="17" customFormat="false" ht="16.5" hidden="false" customHeight="false" outlineLevel="0" collapsed="false">
      <c r="C17" s="107" t="n">
        <v>12</v>
      </c>
      <c r="D17" s="83"/>
      <c r="E17" s="83"/>
      <c r="F17" s="83"/>
      <c r="G17" s="83"/>
      <c r="H17" s="83"/>
      <c r="I17" s="83"/>
      <c r="J17" s="83"/>
      <c r="K17" s="108" t="n">
        <v>0</v>
      </c>
      <c r="L17" s="109" t="n">
        <f aca="false">HLOOKUP($C17,$BA$4:$BL$14,$L$2)</f>
        <v>1.1638</v>
      </c>
      <c r="M17" s="110" t="n">
        <v>0</v>
      </c>
      <c r="N17" s="110" t="n">
        <v>0</v>
      </c>
      <c r="O17" s="110" t="n">
        <v>0</v>
      </c>
      <c r="P17" s="110" t="n">
        <v>0</v>
      </c>
      <c r="Q17" s="110" t="n">
        <v>0</v>
      </c>
      <c r="R17" s="110" t="n">
        <v>0</v>
      </c>
      <c r="S17" s="110" t="n">
        <v>0</v>
      </c>
      <c r="T17" s="110" t="n">
        <v>0</v>
      </c>
      <c r="U17" s="109" t="n">
        <f aca="false">HLOOKUP($C17,$BA$4:$BL$23,$U$2)</f>
        <v>1.23965925286319</v>
      </c>
      <c r="V17" s="109" t="n">
        <f aca="false">HLOOKUP($C17,$BA$4:$BL$24,$V$2)</f>
        <v>1.2314</v>
      </c>
      <c r="W17" s="109" t="n">
        <f aca="false">HLOOKUP($C17,$BA$4:$BL$25,$W$2)</f>
        <v>1.18899630831453</v>
      </c>
      <c r="X17" s="110" t="n">
        <v>0</v>
      </c>
      <c r="Y17" s="110" t="n">
        <v>0</v>
      </c>
      <c r="Z17" s="111" t="n">
        <v>0</v>
      </c>
      <c r="AA17" s="88"/>
      <c r="AB17" s="89" t="n">
        <f aca="false">SUM(K17:Z17)</f>
        <v>4.82385556117772</v>
      </c>
      <c r="AZ17" s="65" t="n">
        <v>12</v>
      </c>
      <c r="BA17" s="106" t="n">
        <f aca="false">PJM_01212000!AQ20</f>
        <v>0.8804</v>
      </c>
      <c r="BB17" s="103" t="n">
        <f aca="false">PJM_01212000!AR20</f>
        <v>0.8804</v>
      </c>
      <c r="BC17" s="103" t="n">
        <f aca="false">PJM_01212000!AS20</f>
        <v>0.8904</v>
      </c>
      <c r="BD17" s="102" t="n">
        <f aca="false">PJM_01212000!AT20</f>
        <v>1.11852454679246</v>
      </c>
      <c r="BE17" s="102" t="n">
        <f aca="false">PJM_01212000!AU20</f>
        <v>1.11699070333514</v>
      </c>
      <c r="BF17" s="103" t="n">
        <f aca="false">PJM_01212000!AV20</f>
        <v>1.06241664220107</v>
      </c>
      <c r="BG17" s="103" t="n">
        <f aca="false">PJM_01212000!AW20</f>
        <v>1.05394393649242</v>
      </c>
      <c r="BH17" s="103" t="n">
        <f aca="false">PJM_01212000!AX20</f>
        <v>1.09332545278001</v>
      </c>
      <c r="BI17" s="103" t="n">
        <f aca="false">PJM_01212000!AY20</f>
        <v>1.07930346254555</v>
      </c>
      <c r="BJ17" s="103" t="n">
        <f aca="false">PJM_01212000!AZ20</f>
        <v>0.9474</v>
      </c>
      <c r="BK17" s="103" t="n">
        <f aca="false">PJM_01212000!BA20</f>
        <v>0.9374</v>
      </c>
      <c r="BL17" s="105" t="n">
        <f aca="false">PJM_01212000!BB20</f>
        <v>0.9204</v>
      </c>
      <c r="BM17" s="91" t="n">
        <f aca="false">SUM(BA17:BL17)</f>
        <v>11.9809047441466</v>
      </c>
    </row>
    <row r="18" customFormat="false" ht="16.5" hidden="false" customHeight="false" outlineLevel="0" collapsed="false">
      <c r="C18" s="112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4"/>
      <c r="AZ18" s="65" t="n">
        <v>13</v>
      </c>
      <c r="BA18" s="106" t="n">
        <f aca="false">PJM_01212000!AQ21</f>
        <v>0.8548</v>
      </c>
      <c r="BB18" s="103" t="n">
        <f aca="false">PJM_01212000!AR21</f>
        <v>0.8548</v>
      </c>
      <c r="BC18" s="103" t="n">
        <f aca="false">PJM_01212000!AS21</f>
        <v>0.8648</v>
      </c>
      <c r="BD18" s="103" t="n">
        <f aca="false">PJM_01212000!AT21</f>
        <v>1.01643226256211</v>
      </c>
      <c r="BE18" s="103" t="n">
        <f aca="false">PJM_01212000!AU21</f>
        <v>1.05251746320709</v>
      </c>
      <c r="BF18" s="103" t="n">
        <f aca="false">PJM_01212000!AV21</f>
        <v>1.10402214486432</v>
      </c>
      <c r="BG18" s="103" t="n">
        <f aca="false">PJM_01212000!AW21</f>
        <v>1.16159314463658</v>
      </c>
      <c r="BH18" s="103" t="n">
        <f aca="false">PJM_01212000!AX21</f>
        <v>1.08467935998649</v>
      </c>
      <c r="BI18" s="103" t="n">
        <f aca="false">PJM_01212000!AY21</f>
        <v>1.02056286964642</v>
      </c>
      <c r="BJ18" s="103" t="n">
        <f aca="false">PJM_01212000!AZ21</f>
        <v>0.8899</v>
      </c>
      <c r="BK18" s="103" t="n">
        <f aca="false">PJM_01212000!BA21</f>
        <v>0.8829</v>
      </c>
      <c r="BL18" s="105" t="n">
        <f aca="false">PJM_01212000!BB21</f>
        <v>0.8749</v>
      </c>
      <c r="BM18" s="91" t="n">
        <f aca="false">SUM(BA18:BL18)</f>
        <v>11.661907244903</v>
      </c>
    </row>
    <row r="19" customFormat="false" ht="16.5" hidden="false" customHeight="false" outlineLevel="0" collapsed="false">
      <c r="AZ19" s="65" t="n">
        <v>14</v>
      </c>
      <c r="BA19" s="106" t="n">
        <f aca="false">PJM_01212000!AQ22</f>
        <v>0.8272</v>
      </c>
      <c r="BB19" s="103" t="n">
        <f aca="false">PJM_01212000!AR22</f>
        <v>0.8272</v>
      </c>
      <c r="BC19" s="103" t="n">
        <f aca="false">PJM_01212000!AS22</f>
        <v>0.8372</v>
      </c>
      <c r="BD19" s="103" t="n">
        <f aca="false">PJM_01212000!AT22</f>
        <v>1.01752674077867</v>
      </c>
      <c r="BE19" s="103" t="n">
        <f aca="false">PJM_01212000!AU22</f>
        <v>1.05759023083138</v>
      </c>
      <c r="BF19" s="102" t="n">
        <f aca="false">PJM_01212000!AV22</f>
        <v>1.22092018621818</v>
      </c>
      <c r="BG19" s="103" t="n">
        <f aca="false">PJM_01212000!AW22</f>
        <v>1.20068871854028</v>
      </c>
      <c r="BH19" s="102" t="n">
        <f aca="false">PJM_01212000!AX22</f>
        <v>1.19072909190695</v>
      </c>
      <c r="BI19" s="103" t="n">
        <f aca="false">PJM_01212000!AY22</f>
        <v>1.10479189936462</v>
      </c>
      <c r="BJ19" s="103" t="n">
        <f aca="false">PJM_01212000!AZ22</f>
        <v>0.8652</v>
      </c>
      <c r="BK19" s="103" t="n">
        <f aca="false">PJM_01212000!BA22</f>
        <v>0.8592</v>
      </c>
      <c r="BL19" s="105" t="n">
        <f aca="false">PJM_01212000!BB22</f>
        <v>0.8372</v>
      </c>
      <c r="BM19" s="91" t="n">
        <f aca="false">SUM(BA19:BL19)</f>
        <v>11.8454468676401</v>
      </c>
    </row>
    <row r="20" customFormat="false" ht="17.25" hidden="false" customHeight="false" outlineLevel="0" collapsed="false">
      <c r="D20" s="89"/>
      <c r="U20" s="115"/>
      <c r="AZ20" s="65" t="n">
        <v>15</v>
      </c>
      <c r="BA20" s="106" t="n">
        <f aca="false">PJM_01212000!AQ23</f>
        <v>0.7851</v>
      </c>
      <c r="BB20" s="103" t="n">
        <f aca="false">PJM_01212000!AR23</f>
        <v>0.7851</v>
      </c>
      <c r="BC20" s="103" t="n">
        <f aca="false">PJM_01212000!AS23</f>
        <v>0.7951</v>
      </c>
      <c r="BD20" s="103" t="n">
        <f aca="false">PJM_01212000!AT23</f>
        <v>0.954368909575779</v>
      </c>
      <c r="BE20" s="103" t="n">
        <f aca="false">PJM_01212000!AU23</f>
        <v>1.02584452376326</v>
      </c>
      <c r="BF20" s="102" t="n">
        <f aca="false">PJM_01212000!AV23</f>
        <v>1.23031497714214</v>
      </c>
      <c r="BG20" s="102" t="n">
        <f aca="false">PJM_01212000!AW23</f>
        <v>1.2506946851613</v>
      </c>
      <c r="BH20" s="102" t="n">
        <f aca="false">PJM_01212000!AX23</f>
        <v>1.26057331025457</v>
      </c>
      <c r="BI20" s="103" t="n">
        <f aca="false">PJM_01212000!AY23</f>
        <v>1.08736015234468</v>
      </c>
      <c r="BJ20" s="103" t="n">
        <f aca="false">PJM_01212000!AZ23</f>
        <v>0.8451</v>
      </c>
      <c r="BK20" s="103" t="n">
        <f aca="false">PJM_01212000!BA23</f>
        <v>0.8391</v>
      </c>
      <c r="BL20" s="105" t="n">
        <f aca="false">PJM_01212000!BB23</f>
        <v>0.7951</v>
      </c>
      <c r="BM20" s="91" t="n">
        <f aca="false">SUM(BA20:BL20)</f>
        <v>11.6537565582417</v>
      </c>
    </row>
    <row r="21" customFormat="false" ht="16.5" hidden="false" customHeight="false" outlineLevel="0" collapsed="false">
      <c r="C21" s="116"/>
      <c r="D21" s="116" t="s">
        <v>9</v>
      </c>
      <c r="U21" s="115"/>
      <c r="W21" s="117"/>
      <c r="AL21" s="0"/>
      <c r="AN21" s="118" t="s">
        <v>61</v>
      </c>
      <c r="AO21" s="119" t="s">
        <v>9</v>
      </c>
      <c r="AZ21" s="65" t="n">
        <v>16</v>
      </c>
      <c r="BA21" s="106" t="n">
        <f aca="false">PJM_01212000!AQ24</f>
        <v>0.7693</v>
      </c>
      <c r="BB21" s="103" t="n">
        <f aca="false">PJM_01212000!AR24</f>
        <v>0.7693</v>
      </c>
      <c r="BC21" s="103" t="n">
        <f aca="false">PJM_01212000!AS24</f>
        <v>0.7793</v>
      </c>
      <c r="BD21" s="103" t="n">
        <f aca="false">PJM_01212000!AT24</f>
        <v>0.891967555963749</v>
      </c>
      <c r="BE21" s="103" t="n">
        <f aca="false">PJM_01212000!AU24</f>
        <v>0.985916933430152</v>
      </c>
      <c r="BF21" s="102" t="n">
        <f aca="false">PJM_01212000!AV24</f>
        <v>1.23232814662584</v>
      </c>
      <c r="BG21" s="102" t="n">
        <f aca="false">PJM_01212000!AW24</f>
        <v>1.32734019400042</v>
      </c>
      <c r="BH21" s="102" t="n">
        <f aca="false">PJM_01212000!AX24</f>
        <v>1.24301093426774</v>
      </c>
      <c r="BI21" s="103" t="n">
        <f aca="false">PJM_01212000!AY24</f>
        <v>1.05337556991925</v>
      </c>
      <c r="BJ21" s="103" t="n">
        <f aca="false">PJM_01212000!AZ24</f>
        <v>0.8393</v>
      </c>
      <c r="BK21" s="103" t="n">
        <f aca="false">PJM_01212000!BA24</f>
        <v>0.8253</v>
      </c>
      <c r="BL21" s="105" t="n">
        <f aca="false">PJM_01212000!BB24</f>
        <v>0.7813</v>
      </c>
      <c r="BM21" s="91" t="n">
        <f aca="false">SUM(BA21:BL21)</f>
        <v>11.4977393342072</v>
      </c>
    </row>
    <row r="22" customFormat="false" ht="17.25" hidden="false" customHeight="false" outlineLevel="0" collapsed="false">
      <c r="B22" s="120" t="s">
        <v>23</v>
      </c>
      <c r="C22" s="121" t="s">
        <v>62</v>
      </c>
      <c r="D22" s="121" t="s">
        <v>63</v>
      </c>
      <c r="E22" s="121" t="n">
        <v>8</v>
      </c>
      <c r="F22" s="121" t="n">
        <f aca="false">E22+1</f>
        <v>9</v>
      </c>
      <c r="G22" s="121" t="n">
        <f aca="false">F22+1</f>
        <v>10</v>
      </c>
      <c r="H22" s="121" t="n">
        <f aca="false">G22+1</f>
        <v>11</v>
      </c>
      <c r="I22" s="121" t="n">
        <f aca="false">H22+1</f>
        <v>12</v>
      </c>
      <c r="J22" s="121" t="n">
        <f aca="false">I22+1</f>
        <v>13</v>
      </c>
      <c r="K22" s="121" t="n">
        <f aca="false">J22+1</f>
        <v>14</v>
      </c>
      <c r="L22" s="121" t="n">
        <f aca="false">K22+1</f>
        <v>15</v>
      </c>
      <c r="M22" s="121" t="n">
        <f aca="false">L22+1</f>
        <v>16</v>
      </c>
      <c r="N22" s="121" t="n">
        <f aca="false">M22+1</f>
        <v>17</v>
      </c>
      <c r="O22" s="121" t="n">
        <f aca="false">N22+1</f>
        <v>18</v>
      </c>
      <c r="P22" s="121" t="n">
        <f aca="false">O22+1</f>
        <v>19</v>
      </c>
      <c r="Q22" s="121" t="n">
        <f aca="false">P22+1</f>
        <v>20</v>
      </c>
      <c r="R22" s="121" t="n">
        <f aca="false">Q22+1</f>
        <v>21</v>
      </c>
      <c r="S22" s="121" t="n">
        <f aca="false">R22+1</f>
        <v>22</v>
      </c>
      <c r="T22" s="121" t="n">
        <f aca="false">S22+1</f>
        <v>23</v>
      </c>
      <c r="U22" s="122" t="s">
        <v>64</v>
      </c>
      <c r="W22" s="121" t="n">
        <v>8</v>
      </c>
      <c r="X22" s="121" t="n">
        <v>9</v>
      </c>
      <c r="Y22" s="121" t="n">
        <v>10</v>
      </c>
      <c r="Z22" s="121" t="n">
        <v>11</v>
      </c>
      <c r="AA22" s="121" t="n">
        <v>12</v>
      </c>
      <c r="AB22" s="121" t="n">
        <v>13</v>
      </c>
      <c r="AC22" s="121" t="n">
        <v>14</v>
      </c>
      <c r="AD22" s="121" t="n">
        <v>15</v>
      </c>
      <c r="AE22" s="121" t="n">
        <v>16</v>
      </c>
      <c r="AF22" s="121" t="n">
        <v>17</v>
      </c>
      <c r="AG22" s="121" t="n">
        <v>18</v>
      </c>
      <c r="AH22" s="121" t="n">
        <v>19</v>
      </c>
      <c r="AI22" s="121" t="n">
        <v>20</v>
      </c>
      <c r="AJ22" s="121" t="n">
        <v>21</v>
      </c>
      <c r="AK22" s="121" t="n">
        <v>22</v>
      </c>
      <c r="AL22" s="121" t="n">
        <v>23</v>
      </c>
      <c r="AN22" s="123" t="s">
        <v>63</v>
      </c>
      <c r="AO22" s="124" t="s">
        <v>63</v>
      </c>
      <c r="AZ22" s="65" t="n">
        <v>17</v>
      </c>
      <c r="BA22" s="106" t="n">
        <f aca="false">PJM_01212000!AQ25</f>
        <v>0.8396</v>
      </c>
      <c r="BB22" s="103" t="n">
        <f aca="false">PJM_01212000!AR25</f>
        <v>0.8396</v>
      </c>
      <c r="BC22" s="103" t="n">
        <f aca="false">PJM_01212000!AS25</f>
        <v>0.8496</v>
      </c>
      <c r="BD22" s="103" t="n">
        <f aca="false">PJM_01212000!AT25</f>
        <v>0.87001361056091</v>
      </c>
      <c r="BE22" s="103" t="n">
        <f aca="false">PJM_01212000!AU25</f>
        <v>0.99933522198472</v>
      </c>
      <c r="BF22" s="102" t="n">
        <f aca="false">PJM_01212000!AV25</f>
        <v>1.25232563016399</v>
      </c>
      <c r="BG22" s="102" t="n">
        <f aca="false">PJM_01212000!AW25</f>
        <v>1.35388881627921</v>
      </c>
      <c r="BH22" s="102" t="n">
        <f aca="false">PJM_01212000!AX25</f>
        <v>1.21504622788872</v>
      </c>
      <c r="BI22" s="102" t="n">
        <f aca="false">PJM_01212000!AY25</f>
        <v>1.13452840898687</v>
      </c>
      <c r="BJ22" s="103" t="n">
        <f aca="false">PJM_01212000!AZ25</f>
        <v>0.8896</v>
      </c>
      <c r="BK22" s="103" t="n">
        <f aca="false">PJM_01212000!BA25</f>
        <v>0.8866</v>
      </c>
      <c r="BL22" s="105" t="n">
        <f aca="false">PJM_01212000!BB25</f>
        <v>0.8796</v>
      </c>
      <c r="BM22" s="91" t="n">
        <f aca="false">SUM(BA22:BL22)</f>
        <v>12.0097379158644</v>
      </c>
    </row>
    <row r="23" customFormat="false" ht="16.5" hidden="false" customHeight="false" outlineLevel="0" collapsed="false">
      <c r="B23" s="116" t="n">
        <f aca="false">MONTH(C23)</f>
        <v>2</v>
      </c>
      <c r="C23" s="125" t="n">
        <f aca="false">PJM_01212000!A7</f>
        <v>36568</v>
      </c>
      <c r="D23" s="126" t="n">
        <f aca="false">PJM_01212000!C7</f>
        <v>18.6849975585938</v>
      </c>
      <c r="E23" s="127" t="n">
        <f aca="false">VLOOKUP($B23,$C$6:$Z$17,E$22+1)</f>
        <v>0</v>
      </c>
      <c r="F23" s="127" t="n">
        <f aca="false">VLOOKUP($B23,$C$6:$Z$17,F22+1)</f>
        <v>1.19981175661928</v>
      </c>
      <c r="G23" s="127" t="n">
        <f aca="false">VLOOKUP($B23,$C$6:$Z$17,G22+1)</f>
        <v>1.19616001156207</v>
      </c>
      <c r="H23" s="127" t="n">
        <f aca="false">VLOOKUP($B23,$C$6:$Z$17,H22+1)</f>
        <v>0</v>
      </c>
      <c r="I23" s="127" t="n">
        <f aca="false">VLOOKUP($B23,$C$6:$Z$17,I22+1)</f>
        <v>0</v>
      </c>
      <c r="J23" s="127" t="n">
        <f aca="false">VLOOKUP($B23,$C$6:$Z$17,J22+1)</f>
        <v>0</v>
      </c>
      <c r="K23" s="127" t="n">
        <f aca="false">VLOOKUP($B23,$C$6:$Z$17,K22+1)</f>
        <v>0</v>
      </c>
      <c r="L23" s="127" t="n">
        <f aca="false">VLOOKUP($B23,$C$6:$Z$17,L22+1)</f>
        <v>0</v>
      </c>
      <c r="M23" s="127" t="n">
        <f aca="false">VLOOKUP($B23,$C$6:$Z$17,M22+1)</f>
        <v>0</v>
      </c>
      <c r="N23" s="127" t="n">
        <f aca="false">VLOOKUP($B23,$C$6:$Z$17,N22+1)</f>
        <v>0</v>
      </c>
      <c r="O23" s="127" t="n">
        <f aca="false">VLOOKUP($B23,$C$6:$Z$17,O22+1)</f>
        <v>0</v>
      </c>
      <c r="P23" s="127" t="n">
        <f aca="false">VLOOKUP($B23,$C$6:$Z$17,P22+1)</f>
        <v>1.28189922894351</v>
      </c>
      <c r="Q23" s="127" t="n">
        <f aca="false">VLOOKUP($B23,$C$6:$Z$17,Q22+1)</f>
        <v>1.227</v>
      </c>
      <c r="R23" s="127" t="n">
        <f aca="false">VLOOKUP($B23,$C$6:$Z$17,R22+1)</f>
        <v>0</v>
      </c>
      <c r="S23" s="127" t="n">
        <f aca="false">VLOOKUP($B23,$C$6:$Z$17,S22+1)</f>
        <v>0</v>
      </c>
      <c r="T23" s="127" t="n">
        <f aca="false">VLOOKUP($B23,$C$6:$Z$17,T22+1)</f>
        <v>0</v>
      </c>
      <c r="U23" s="127" t="n">
        <f aca="false">VLOOKUP($B23,$C$6:$AB$17,T$22+3)-SUM(E23:T23)</f>
        <v>0</v>
      </c>
      <c r="W23" s="128" t="n">
        <f aca="false">$D23*E23</f>
        <v>0</v>
      </c>
      <c r="X23" s="128" t="n">
        <f aca="false">$D23*F23</f>
        <v>22.4184797432034</v>
      </c>
      <c r="Y23" s="128" t="n">
        <f aca="false">$D23*G23</f>
        <v>22.3502468957248</v>
      </c>
      <c r="Z23" s="128" t="n">
        <f aca="false">$D23*H23</f>
        <v>0</v>
      </c>
      <c r="AA23" s="128" t="n">
        <f aca="false">$D23*I23</f>
        <v>0</v>
      </c>
      <c r="AB23" s="128" t="n">
        <f aca="false">$D23*J23</f>
        <v>0</v>
      </c>
      <c r="AC23" s="128" t="n">
        <f aca="false">$D23*K23</f>
        <v>0</v>
      </c>
      <c r="AD23" s="128" t="n">
        <f aca="false">$D23*L23</f>
        <v>0</v>
      </c>
      <c r="AE23" s="128" t="n">
        <f aca="false">$D23*M23</f>
        <v>0</v>
      </c>
      <c r="AF23" s="128" t="n">
        <f aca="false">$D23*N23</f>
        <v>0</v>
      </c>
      <c r="AG23" s="128" t="n">
        <f aca="false">$D23*O23</f>
        <v>0</v>
      </c>
      <c r="AH23" s="128" t="n">
        <f aca="false">$D23*P23</f>
        <v>23.9522839631727</v>
      </c>
      <c r="AI23" s="128" t="n">
        <f aca="false">$D23*Q23</f>
        <v>22.9264920043945</v>
      </c>
      <c r="AJ23" s="128" t="n">
        <f aca="false">$D23*R23</f>
        <v>0</v>
      </c>
      <c r="AK23" s="128" t="n">
        <f aca="false">$D23*S23</f>
        <v>0</v>
      </c>
      <c r="AL23" s="128" t="n">
        <f aca="false">$D23*T23</f>
        <v>0</v>
      </c>
      <c r="AN23" s="129" t="n">
        <f aca="false">SUM(W23:AL23)/4</f>
        <v>22.9118756516239</v>
      </c>
      <c r="AO23" s="130" t="n">
        <f aca="false">D23</f>
        <v>18.6849975585938</v>
      </c>
      <c r="AP23" s="126"/>
      <c r="AQ23" s="126"/>
      <c r="AR23" s="126"/>
      <c r="AZ23" s="65" t="n">
        <v>18</v>
      </c>
      <c r="BA23" s="106" t="n">
        <f aca="false">PJM_01212000!AQ26</f>
        <v>1.168266924108</v>
      </c>
      <c r="BB23" s="103" t="n">
        <f aca="false">PJM_01212000!AR26</f>
        <v>1.168266924108</v>
      </c>
      <c r="BC23" s="103" t="n">
        <f aca="false">PJM_01212000!AS26</f>
        <v>1.1583</v>
      </c>
      <c r="BD23" s="103" t="n">
        <f aca="false">PJM_01212000!AT26</f>
        <v>0.858698637233787</v>
      </c>
      <c r="BE23" s="103" t="n">
        <f aca="false">PJM_01212000!AU26</f>
        <v>0.960389457643412</v>
      </c>
      <c r="BF23" s="103" t="n">
        <f aca="false">PJM_01212000!AV26</f>
        <v>1.21514910036489</v>
      </c>
      <c r="BG23" s="102" t="n">
        <f aca="false">PJM_01212000!AW26</f>
        <v>1.32033935867348</v>
      </c>
      <c r="BH23" s="103" t="n">
        <f aca="false">PJM_01212000!AX26</f>
        <v>1.12520791995609</v>
      </c>
      <c r="BI23" s="102" t="n">
        <f aca="false">PJM_01212000!AY26</f>
        <v>1.1066962078626</v>
      </c>
      <c r="BJ23" s="102" t="n">
        <f aca="false">PJM_01212000!AZ26</f>
        <v>1.2001</v>
      </c>
      <c r="BK23" s="102" t="n">
        <f aca="false">PJM_01212000!BA26</f>
        <v>1.2171</v>
      </c>
      <c r="BL23" s="104" t="n">
        <f aca="false">PJM_01212000!BB26</f>
        <v>1.23965925286319</v>
      </c>
      <c r="BM23" s="91" t="n">
        <f aca="false">SUM(BA23:BL23)</f>
        <v>13.7381737828134</v>
      </c>
    </row>
    <row r="24" customFormat="false" ht="16.5" hidden="false" customHeight="false" outlineLevel="0" collapsed="false">
      <c r="B24" s="116" t="n">
        <f aca="false">MONTH(C24)</f>
        <v>2</v>
      </c>
      <c r="C24" s="125" t="n">
        <f aca="false">PJM_01212000!A8</f>
        <v>36569</v>
      </c>
      <c r="D24" s="126" t="n">
        <f aca="false">PJM_01212000!C8</f>
        <v>18.7749996185303</v>
      </c>
      <c r="E24" s="127" t="n">
        <f aca="false">VLOOKUP($B24,$C$6:$Z$17,E$22+1)</f>
        <v>0</v>
      </c>
      <c r="F24" s="127" t="n">
        <f aca="false">VLOOKUP($B24,$C$6:$Z$17,F$22+1)</f>
        <v>1.19981175661928</v>
      </c>
      <c r="G24" s="127" t="n">
        <f aca="false">VLOOKUP($B24,$C$6:$Z$17,G$22+1)</f>
        <v>1.19616001156207</v>
      </c>
      <c r="H24" s="127" t="n">
        <f aca="false">VLOOKUP($B24,$C$6:$Z$17,H$22+1)</f>
        <v>0</v>
      </c>
      <c r="I24" s="127" t="n">
        <f aca="false">VLOOKUP($B24,$C$6:$Z$17,I$22+1)</f>
        <v>0</v>
      </c>
      <c r="J24" s="127" t="n">
        <f aca="false">VLOOKUP($B24,$C$6:$Z$17,J$22+1)</f>
        <v>0</v>
      </c>
      <c r="K24" s="127" t="n">
        <f aca="false">VLOOKUP($B24,$C$6:$Z$17,K$22+1)</f>
        <v>0</v>
      </c>
      <c r="L24" s="127" t="n">
        <f aca="false">VLOOKUP($B24,$C$6:$Z$17,L$22+1)</f>
        <v>0</v>
      </c>
      <c r="M24" s="127" t="n">
        <f aca="false">VLOOKUP($B24,$C$6:$Z$17,M$22+1)</f>
        <v>0</v>
      </c>
      <c r="N24" s="127" t="n">
        <f aca="false">VLOOKUP($B24,$C$6:$Z$17,N$22+1)</f>
        <v>0</v>
      </c>
      <c r="O24" s="127" t="n">
        <f aca="false">VLOOKUP($B24,$C$6:$Z$17,O$22+1)</f>
        <v>0</v>
      </c>
      <c r="P24" s="127" t="n">
        <f aca="false">VLOOKUP($B24,$C$6:$Z$17,P$22+1)</f>
        <v>1.28189922894351</v>
      </c>
      <c r="Q24" s="127" t="n">
        <f aca="false">VLOOKUP($B24,$C$6:$Z$17,Q$22+1)</f>
        <v>1.227</v>
      </c>
      <c r="R24" s="127" t="n">
        <f aca="false">VLOOKUP($B24,$C$6:$Z$17,R$22+1)</f>
        <v>0</v>
      </c>
      <c r="S24" s="127" t="n">
        <f aca="false">VLOOKUP($B24,$C$6:$Z$17,S$22+1)</f>
        <v>0</v>
      </c>
      <c r="T24" s="127" t="n">
        <f aca="false">VLOOKUP($B24,$C$6:$Z$17,T$22+1)</f>
        <v>0</v>
      </c>
      <c r="U24" s="127" t="n">
        <f aca="false">VLOOKUP($B24,$C$6:$AB$17,T$22+3)-SUM(E24:T24)</f>
        <v>0</v>
      </c>
      <c r="W24" s="128" t="n">
        <f aca="false">$D24*E24</f>
        <v>0</v>
      </c>
      <c r="X24" s="128" t="n">
        <f aca="false">$D24*F24</f>
        <v>22.5264652728352</v>
      </c>
      <c r="Y24" s="128" t="n">
        <f aca="false">$D24*G24</f>
        <v>22.4579037607791</v>
      </c>
      <c r="Z24" s="128" t="n">
        <f aca="false">$D24*H24</f>
        <v>0</v>
      </c>
      <c r="AA24" s="128" t="n">
        <f aca="false">$D24*I24</f>
        <v>0</v>
      </c>
      <c r="AB24" s="128" t="n">
        <f aca="false">$D24*J24</f>
        <v>0</v>
      </c>
      <c r="AC24" s="128" t="n">
        <f aca="false">$D24*K24</f>
        <v>0</v>
      </c>
      <c r="AD24" s="128" t="n">
        <f aca="false">$D24*L24</f>
        <v>0</v>
      </c>
      <c r="AE24" s="128" t="n">
        <f aca="false">$D24*M24</f>
        <v>0</v>
      </c>
      <c r="AF24" s="128" t="n">
        <f aca="false">$D24*N24</f>
        <v>0</v>
      </c>
      <c r="AG24" s="128" t="n">
        <f aca="false">$D24*O24</f>
        <v>0</v>
      </c>
      <c r="AH24" s="128" t="n">
        <f aca="false">$D24*P24</f>
        <v>24.0676575344087</v>
      </c>
      <c r="AI24" s="128" t="n">
        <f aca="false">$D24*Q24</f>
        <v>23.0369245319367</v>
      </c>
      <c r="AJ24" s="128" t="n">
        <f aca="false">$D24*R24</f>
        <v>0</v>
      </c>
      <c r="AK24" s="128" t="n">
        <f aca="false">$D24*S24</f>
        <v>0</v>
      </c>
      <c r="AL24" s="128" t="n">
        <f aca="false">$D24*T24</f>
        <v>0</v>
      </c>
      <c r="AN24" s="129" t="n">
        <f aca="false">SUM(W24:AL24)/4</f>
        <v>23.0222377749899</v>
      </c>
      <c r="AO24" s="130" t="n">
        <f aca="false">D24</f>
        <v>18.7749996185303</v>
      </c>
      <c r="AP24" s="126"/>
      <c r="AQ24" s="126"/>
      <c r="AR24" s="126"/>
      <c r="AZ24" s="65" t="n">
        <v>19</v>
      </c>
      <c r="BA24" s="101" t="n">
        <f aca="false">PJM_01212000!AQ27</f>
        <v>1.28189922894351</v>
      </c>
      <c r="BB24" s="102" t="n">
        <f aca="false">PJM_01212000!AR27</f>
        <v>1.28189922894351</v>
      </c>
      <c r="BC24" s="102" t="n">
        <f aca="false">PJM_01212000!AS27</f>
        <v>1.2719</v>
      </c>
      <c r="BD24" s="103" t="n">
        <f aca="false">PJM_01212000!AT27</f>
        <v>0.854095390617062</v>
      </c>
      <c r="BE24" s="103" t="n">
        <f aca="false">PJM_01212000!AU27</f>
        <v>0.832097528048518</v>
      </c>
      <c r="BF24" s="103" t="n">
        <f aca="false">PJM_01212000!AV27</f>
        <v>1.03758755190203</v>
      </c>
      <c r="BG24" s="103" t="n">
        <f aca="false">PJM_01212000!AW27</f>
        <v>1.1027679439024</v>
      </c>
      <c r="BH24" s="103" t="n">
        <f aca="false">PJM_01212000!AX27</f>
        <v>0.917161312112129</v>
      </c>
      <c r="BI24" s="103" t="n">
        <f aca="false">PJM_01212000!AY27</f>
        <v>0.906450845036896</v>
      </c>
      <c r="BJ24" s="102" t="n">
        <f aca="false">PJM_01212000!AZ27</f>
        <v>1.2095</v>
      </c>
      <c r="BK24" s="102" t="n">
        <f aca="false">PJM_01212000!BA27</f>
        <v>1.2269</v>
      </c>
      <c r="BL24" s="104" t="n">
        <f aca="false">PJM_01212000!BB27</f>
        <v>1.2314</v>
      </c>
      <c r="BM24" s="91" t="n">
        <f aca="false">SUM(BA24:BL24)</f>
        <v>13.1536590295061</v>
      </c>
    </row>
    <row r="25" customFormat="false" ht="16.5" hidden="false" customHeight="false" outlineLevel="0" collapsed="false">
      <c r="B25" s="116" t="n">
        <f aca="false">MONTH(C25)</f>
        <v>2</v>
      </c>
      <c r="C25" s="125" t="n">
        <f aca="false">PJM_01212000!A9</f>
        <v>36570</v>
      </c>
      <c r="D25" s="126" t="n">
        <f aca="false">PJM_01212000!C9</f>
        <v>26.9949989318848</v>
      </c>
      <c r="E25" s="127" t="n">
        <f aca="false">VLOOKUP($B25,$C$6:$Z$17,E$22+1)</f>
        <v>0</v>
      </c>
      <c r="F25" s="127" t="n">
        <f aca="false">VLOOKUP($B25,$C$6:$Z$17,F$22+1)</f>
        <v>1.19981175661928</v>
      </c>
      <c r="G25" s="127" t="n">
        <f aca="false">VLOOKUP($B25,$C$6:$Z$17,G$22+1)</f>
        <v>1.19616001156207</v>
      </c>
      <c r="H25" s="127" t="n">
        <f aca="false">VLOOKUP($B25,$C$6:$Z$17,H$22+1)</f>
        <v>0</v>
      </c>
      <c r="I25" s="127" t="n">
        <f aca="false">VLOOKUP($B25,$C$6:$Z$17,I$22+1)</f>
        <v>0</v>
      </c>
      <c r="J25" s="127" t="n">
        <f aca="false">VLOOKUP($B25,$C$6:$Z$17,J$22+1)</f>
        <v>0</v>
      </c>
      <c r="K25" s="127" t="n">
        <f aca="false">VLOOKUP($B25,$C$6:$Z$17,K$22+1)</f>
        <v>0</v>
      </c>
      <c r="L25" s="127" t="n">
        <f aca="false">VLOOKUP($B25,$C$6:$Z$17,L$22+1)</f>
        <v>0</v>
      </c>
      <c r="M25" s="127" t="n">
        <f aca="false">VLOOKUP($B25,$C$6:$Z$17,M$22+1)</f>
        <v>0</v>
      </c>
      <c r="N25" s="127" t="n">
        <f aca="false">VLOOKUP($B25,$C$6:$Z$17,N$22+1)</f>
        <v>0</v>
      </c>
      <c r="O25" s="127" t="n">
        <f aca="false">VLOOKUP($B25,$C$6:$Z$17,O$22+1)</f>
        <v>0</v>
      </c>
      <c r="P25" s="127" t="n">
        <f aca="false">VLOOKUP($B25,$C$6:$Z$17,P$22+1)</f>
        <v>1.28189922894351</v>
      </c>
      <c r="Q25" s="127" t="n">
        <f aca="false">VLOOKUP($B25,$C$6:$Z$17,Q$22+1)</f>
        <v>1.227</v>
      </c>
      <c r="R25" s="127" t="n">
        <f aca="false">VLOOKUP($B25,$C$6:$Z$17,R$22+1)</f>
        <v>0</v>
      </c>
      <c r="S25" s="127" t="n">
        <f aca="false">VLOOKUP($B25,$C$6:$Z$17,S$22+1)</f>
        <v>0</v>
      </c>
      <c r="T25" s="127" t="n">
        <f aca="false">VLOOKUP($B25,$C$6:$Z$17,T$22+1)</f>
        <v>0</v>
      </c>
      <c r="U25" s="127" t="n">
        <f aca="false">VLOOKUP($B25,$C$6:$AB$17,T$22+3)-SUM(E25:T25)</f>
        <v>0</v>
      </c>
      <c r="W25" s="128" t="n">
        <f aca="false">$D25*E25</f>
        <v>0</v>
      </c>
      <c r="X25" s="128" t="n">
        <f aca="false">$D25*F25</f>
        <v>32.3889170884003</v>
      </c>
      <c r="Y25" s="128" t="n">
        <f aca="false">$D25*G25</f>
        <v>32.2903382344814</v>
      </c>
      <c r="Z25" s="128" t="n">
        <f aca="false">$D25*H25</f>
        <v>0</v>
      </c>
      <c r="AA25" s="128" t="n">
        <f aca="false">$D25*I25</f>
        <v>0</v>
      </c>
      <c r="AB25" s="128" t="n">
        <f aca="false">$D25*J25</f>
        <v>0</v>
      </c>
      <c r="AC25" s="128" t="n">
        <f aca="false">$D25*K25</f>
        <v>0</v>
      </c>
      <c r="AD25" s="128" t="n">
        <f aca="false">$D25*L25</f>
        <v>0</v>
      </c>
      <c r="AE25" s="128" t="n">
        <f aca="false">$D25*M25</f>
        <v>0</v>
      </c>
      <c r="AF25" s="128" t="n">
        <f aca="false">$D25*N25</f>
        <v>0</v>
      </c>
      <c r="AG25" s="128" t="n">
        <f aca="false">$D25*O25</f>
        <v>0</v>
      </c>
      <c r="AH25" s="128" t="n">
        <f aca="false">$D25*P25</f>
        <v>34.604868316114</v>
      </c>
      <c r="AI25" s="128" t="n">
        <f aca="false">$D25*Q25</f>
        <v>33.1228636894226</v>
      </c>
      <c r="AJ25" s="128" t="n">
        <f aca="false">$D25*R25</f>
        <v>0</v>
      </c>
      <c r="AK25" s="128" t="n">
        <f aca="false">$D25*S25</f>
        <v>0</v>
      </c>
      <c r="AL25" s="128" t="n">
        <f aca="false">$D25*T25</f>
        <v>0</v>
      </c>
      <c r="AN25" s="129" t="n">
        <f aca="false">SUM(W25:AL25)/4</f>
        <v>33.1017468321046</v>
      </c>
      <c r="AO25" s="130" t="n">
        <f aca="false">D25</f>
        <v>26.9949989318848</v>
      </c>
      <c r="AP25" s="126"/>
      <c r="AQ25" s="126"/>
      <c r="AR25" s="126"/>
      <c r="AZ25" s="65" t="n">
        <v>20</v>
      </c>
      <c r="BA25" s="101" t="n">
        <f aca="false">PJM_01212000!AQ28</f>
        <v>1.227</v>
      </c>
      <c r="BB25" s="102" t="n">
        <f aca="false">PJM_01212000!AR28</f>
        <v>1.227</v>
      </c>
      <c r="BC25" s="102" t="n">
        <f aca="false">PJM_01212000!AS28</f>
        <v>1.217</v>
      </c>
      <c r="BD25" s="103" t="n">
        <f aca="false">PJM_01212000!AT28</f>
        <v>0.936808972307086</v>
      </c>
      <c r="BE25" s="103" t="n">
        <f aca="false">PJM_01212000!AU28</f>
        <v>0.829970238399623</v>
      </c>
      <c r="BF25" s="103" t="n">
        <f aca="false">PJM_01212000!AV28</f>
        <v>0.829694249884662</v>
      </c>
      <c r="BG25" s="103" t="n">
        <f aca="false">PJM_01212000!AW28</f>
        <v>0.816006455315691</v>
      </c>
      <c r="BH25" s="103" t="n">
        <f aca="false">PJM_01212000!AX28</f>
        <v>0.835023430573733</v>
      </c>
      <c r="BI25" s="102" t="n">
        <f aca="false">PJM_01212000!AY28</f>
        <v>1.18462637101057</v>
      </c>
      <c r="BJ25" s="102" t="n">
        <f aca="false">PJM_01212000!AZ28</f>
        <v>1.1567</v>
      </c>
      <c r="BK25" s="102" t="n">
        <f aca="false">PJM_01212000!BA28</f>
        <v>1.1767</v>
      </c>
      <c r="BL25" s="104" t="n">
        <f aca="false">PJM_01212000!BB28</f>
        <v>1.18899630831453</v>
      </c>
      <c r="BM25" s="91" t="n">
        <f aca="false">SUM(BA25:BL25)</f>
        <v>12.6255260258059</v>
      </c>
    </row>
    <row r="26" customFormat="false" ht="16.5" hidden="false" customHeight="false" outlineLevel="0" collapsed="false">
      <c r="B26" s="116" t="n">
        <f aca="false">MONTH(C26)</f>
        <v>2</v>
      </c>
      <c r="C26" s="125" t="n">
        <f aca="false">PJM_01212000!A10</f>
        <v>36571</v>
      </c>
      <c r="D26" s="126" t="n">
        <f aca="false">PJM_01212000!C10</f>
        <v>26.1949996948242</v>
      </c>
      <c r="E26" s="127" t="n">
        <f aca="false">VLOOKUP($B26,$C$6:$Z$17,E$22+1)</f>
        <v>0</v>
      </c>
      <c r="F26" s="127" t="n">
        <f aca="false">VLOOKUP($B26,$C$6:$Z$17,F$22+1)</f>
        <v>1.19981175661928</v>
      </c>
      <c r="G26" s="127" t="n">
        <f aca="false">VLOOKUP($B26,$C$6:$Z$17,G$22+1)</f>
        <v>1.19616001156207</v>
      </c>
      <c r="H26" s="127" t="n">
        <f aca="false">VLOOKUP($B26,$C$6:$Z$17,H$22+1)</f>
        <v>0</v>
      </c>
      <c r="I26" s="127" t="n">
        <f aca="false">VLOOKUP($B26,$C$6:$Z$17,I$22+1)</f>
        <v>0</v>
      </c>
      <c r="J26" s="127" t="n">
        <f aca="false">VLOOKUP($B26,$C$6:$Z$17,J$22+1)</f>
        <v>0</v>
      </c>
      <c r="K26" s="127" t="n">
        <f aca="false">VLOOKUP($B26,$C$6:$Z$17,K$22+1)</f>
        <v>0</v>
      </c>
      <c r="L26" s="127" t="n">
        <f aca="false">VLOOKUP($B26,$C$6:$Z$17,L$22+1)</f>
        <v>0</v>
      </c>
      <c r="M26" s="127" t="n">
        <f aca="false">VLOOKUP($B26,$C$6:$Z$17,M$22+1)</f>
        <v>0</v>
      </c>
      <c r="N26" s="127" t="n">
        <f aca="false">VLOOKUP($B26,$C$6:$Z$17,N$22+1)</f>
        <v>0</v>
      </c>
      <c r="O26" s="127" t="n">
        <f aca="false">VLOOKUP($B26,$C$6:$Z$17,O$22+1)</f>
        <v>0</v>
      </c>
      <c r="P26" s="127" t="n">
        <f aca="false">VLOOKUP($B26,$C$6:$Z$17,P$22+1)</f>
        <v>1.28189922894351</v>
      </c>
      <c r="Q26" s="127" t="n">
        <f aca="false">VLOOKUP($B26,$C$6:$Z$17,Q$22+1)</f>
        <v>1.227</v>
      </c>
      <c r="R26" s="127" t="n">
        <f aca="false">VLOOKUP($B26,$C$6:$Z$17,R$22+1)</f>
        <v>0</v>
      </c>
      <c r="S26" s="127" t="n">
        <f aca="false">VLOOKUP($B26,$C$6:$Z$17,S$22+1)</f>
        <v>0</v>
      </c>
      <c r="T26" s="127" t="n">
        <f aca="false">VLOOKUP($B26,$C$6:$Z$17,T$22+1)</f>
        <v>0</v>
      </c>
      <c r="U26" s="127" t="n">
        <f aca="false">VLOOKUP($B26,$C$6:$AB$17,T$22+3)-SUM(E26:T26)</f>
        <v>0</v>
      </c>
      <c r="W26" s="128" t="n">
        <f aca="false">$D26*E26</f>
        <v>0</v>
      </c>
      <c r="X26" s="128" t="n">
        <f aca="false">$D26*F26</f>
        <v>31.4290685984886</v>
      </c>
      <c r="Y26" s="128" t="n">
        <f aca="false">$D26*G26</f>
        <v>31.3334111378294</v>
      </c>
      <c r="Z26" s="128" t="n">
        <f aca="false">$D26*H26</f>
        <v>0</v>
      </c>
      <c r="AA26" s="128" t="n">
        <f aca="false">$D26*I26</f>
        <v>0</v>
      </c>
      <c r="AB26" s="128" t="n">
        <f aca="false">$D26*J26</f>
        <v>0</v>
      </c>
      <c r="AC26" s="128" t="n">
        <f aca="false">$D26*K26</f>
        <v>0</v>
      </c>
      <c r="AD26" s="128" t="n">
        <f aca="false">$D26*L26</f>
        <v>0</v>
      </c>
      <c r="AE26" s="128" t="n">
        <f aca="false">$D26*M26</f>
        <v>0</v>
      </c>
      <c r="AF26" s="128" t="n">
        <f aca="false">$D26*N26</f>
        <v>0</v>
      </c>
      <c r="AG26" s="128" t="n">
        <f aca="false">$D26*O26</f>
        <v>0</v>
      </c>
      <c r="AH26" s="128" t="n">
        <f aca="false">$D26*P26</f>
        <v>33.5793499109707</v>
      </c>
      <c r="AI26" s="128" t="n">
        <f aca="false">$D26*Q26</f>
        <v>32.1412646255493</v>
      </c>
      <c r="AJ26" s="128" t="n">
        <f aca="false">$D26*R26</f>
        <v>0</v>
      </c>
      <c r="AK26" s="128" t="n">
        <f aca="false">$D26*S26</f>
        <v>0</v>
      </c>
      <c r="AL26" s="128" t="n">
        <f aca="false">$D26*T26</f>
        <v>0</v>
      </c>
      <c r="AN26" s="129" t="n">
        <f aca="false">SUM(W26:AL26)/4</f>
        <v>32.1207735682095</v>
      </c>
      <c r="AO26" s="130" t="n">
        <f aca="false">D26</f>
        <v>26.1949996948242</v>
      </c>
      <c r="AP26" s="126"/>
      <c r="AQ26" s="126"/>
      <c r="AR26" s="126"/>
      <c r="AZ26" s="65" t="n">
        <v>21</v>
      </c>
      <c r="BA26" s="106" t="n">
        <f aca="false">PJM_01212000!AQ29</f>
        <v>1.15505237327277</v>
      </c>
      <c r="BB26" s="103" t="n">
        <f aca="false">PJM_01212000!AR29</f>
        <v>1.15505237327277</v>
      </c>
      <c r="BC26" s="103" t="n">
        <f aca="false">PJM_01212000!AS29</f>
        <v>1.1451</v>
      </c>
      <c r="BD26" s="102" t="n">
        <f aca="false">PJM_01212000!AT29</f>
        <v>1.15433651784915</v>
      </c>
      <c r="BE26" s="102" t="n">
        <f aca="false">PJM_01212000!AU29</f>
        <v>1.08769956124651</v>
      </c>
      <c r="BF26" s="103" t="n">
        <f aca="false">PJM_01212000!AV29</f>
        <v>0.90163150610242</v>
      </c>
      <c r="BG26" s="103" t="n">
        <f aca="false">PJM_01212000!AW29</f>
        <v>0.902562237539706</v>
      </c>
      <c r="BH26" s="103" t="n">
        <f aca="false">PJM_01212000!AX29</f>
        <v>1.05063536961202</v>
      </c>
      <c r="BI26" s="102" t="n">
        <f aca="false">PJM_01212000!AY29</f>
        <v>1.1944408840386</v>
      </c>
      <c r="BJ26" s="103" t="n">
        <f aca="false">PJM_01212000!AZ29</f>
        <v>1.0689</v>
      </c>
      <c r="BK26" s="103" t="n">
        <f aca="false">PJM_01212000!BA29</f>
        <v>1.0889</v>
      </c>
      <c r="BL26" s="105" t="n">
        <f aca="false">PJM_01212000!BB29</f>
        <v>1.15505237327277</v>
      </c>
      <c r="BM26" s="91" t="n">
        <f aca="false">SUM(BA26:BL26)</f>
        <v>13.0593631962067</v>
      </c>
    </row>
    <row r="27" customFormat="false" ht="16.5" hidden="false" customHeight="false" outlineLevel="0" collapsed="false">
      <c r="B27" s="116" t="n">
        <f aca="false">MONTH(C27)</f>
        <v>2</v>
      </c>
      <c r="C27" s="125" t="n">
        <f aca="false">PJM_01212000!A11</f>
        <v>36572</v>
      </c>
      <c r="D27" s="126" t="n">
        <f aca="false">PJM_01212000!C11</f>
        <v>26.1949996948242</v>
      </c>
      <c r="E27" s="127" t="n">
        <f aca="false">VLOOKUP($B27,$C$6:$Z$17,E$22+1)</f>
        <v>0</v>
      </c>
      <c r="F27" s="127" t="n">
        <f aca="false">VLOOKUP($B27,$C$6:$Z$17,F$22+1)</f>
        <v>1.19981175661928</v>
      </c>
      <c r="G27" s="127" t="n">
        <f aca="false">VLOOKUP($B27,$C$6:$Z$17,G$22+1)</f>
        <v>1.19616001156207</v>
      </c>
      <c r="H27" s="127" t="n">
        <f aca="false">VLOOKUP($B27,$C$6:$Z$17,H$22+1)</f>
        <v>0</v>
      </c>
      <c r="I27" s="127" t="n">
        <f aca="false">VLOOKUP($B27,$C$6:$Z$17,I$22+1)</f>
        <v>0</v>
      </c>
      <c r="J27" s="127" t="n">
        <f aca="false">VLOOKUP($B27,$C$6:$Z$17,J$22+1)</f>
        <v>0</v>
      </c>
      <c r="K27" s="127" t="n">
        <f aca="false">VLOOKUP($B27,$C$6:$Z$17,K$22+1)</f>
        <v>0</v>
      </c>
      <c r="L27" s="127" t="n">
        <f aca="false">VLOOKUP($B27,$C$6:$Z$17,L$22+1)</f>
        <v>0</v>
      </c>
      <c r="M27" s="127" t="n">
        <f aca="false">VLOOKUP($B27,$C$6:$Z$17,M$22+1)</f>
        <v>0</v>
      </c>
      <c r="N27" s="127" t="n">
        <f aca="false">VLOOKUP($B27,$C$6:$Z$17,N$22+1)</f>
        <v>0</v>
      </c>
      <c r="O27" s="127" t="n">
        <f aca="false">VLOOKUP($B27,$C$6:$Z$17,O$22+1)</f>
        <v>0</v>
      </c>
      <c r="P27" s="127" t="n">
        <f aca="false">VLOOKUP($B27,$C$6:$Z$17,P$22+1)</f>
        <v>1.28189922894351</v>
      </c>
      <c r="Q27" s="127" t="n">
        <f aca="false">VLOOKUP($B27,$C$6:$Z$17,Q$22+1)</f>
        <v>1.227</v>
      </c>
      <c r="R27" s="127" t="n">
        <f aca="false">VLOOKUP($B27,$C$6:$Z$17,R$22+1)</f>
        <v>0</v>
      </c>
      <c r="S27" s="127" t="n">
        <f aca="false">VLOOKUP($B27,$C$6:$Z$17,S$22+1)</f>
        <v>0</v>
      </c>
      <c r="T27" s="127" t="n">
        <f aca="false">VLOOKUP($B27,$C$6:$Z$17,T$22+1)</f>
        <v>0</v>
      </c>
      <c r="U27" s="127" t="n">
        <f aca="false">VLOOKUP($B27,$C$6:$AB$17,T$22+3)-SUM(E27:T27)</f>
        <v>0</v>
      </c>
      <c r="W27" s="128" t="n">
        <f aca="false">$D27*E27</f>
        <v>0</v>
      </c>
      <c r="X27" s="128" t="n">
        <f aca="false">$D27*F27</f>
        <v>31.4290685984886</v>
      </c>
      <c r="Y27" s="128" t="n">
        <f aca="false">$D27*G27</f>
        <v>31.3334111378294</v>
      </c>
      <c r="Z27" s="128" t="n">
        <f aca="false">$D27*H27</f>
        <v>0</v>
      </c>
      <c r="AA27" s="128" t="n">
        <f aca="false">$D27*I27</f>
        <v>0</v>
      </c>
      <c r="AB27" s="128" t="n">
        <f aca="false">$D27*J27</f>
        <v>0</v>
      </c>
      <c r="AC27" s="128" t="n">
        <f aca="false">$D27*K27</f>
        <v>0</v>
      </c>
      <c r="AD27" s="128" t="n">
        <f aca="false">$D27*L27</f>
        <v>0</v>
      </c>
      <c r="AE27" s="128" t="n">
        <f aca="false">$D27*M27</f>
        <v>0</v>
      </c>
      <c r="AF27" s="128" t="n">
        <f aca="false">$D27*N27</f>
        <v>0</v>
      </c>
      <c r="AG27" s="128" t="n">
        <f aca="false">$D27*O27</f>
        <v>0</v>
      </c>
      <c r="AH27" s="128" t="n">
        <f aca="false">$D27*P27</f>
        <v>33.5793499109707</v>
      </c>
      <c r="AI27" s="128" t="n">
        <f aca="false">$D27*Q27</f>
        <v>32.1412646255493</v>
      </c>
      <c r="AJ27" s="128" t="n">
        <f aca="false">$D27*R27</f>
        <v>0</v>
      </c>
      <c r="AK27" s="128" t="n">
        <f aca="false">$D27*S27</f>
        <v>0</v>
      </c>
      <c r="AL27" s="128" t="n">
        <f aca="false">$D27*T27</f>
        <v>0</v>
      </c>
      <c r="AN27" s="129" t="n">
        <f aca="false">SUM(W27:AL27)/4</f>
        <v>32.1207735682095</v>
      </c>
      <c r="AO27" s="130" t="n">
        <f aca="false">D27</f>
        <v>26.1949996948242</v>
      </c>
      <c r="AP27" s="126"/>
      <c r="AQ27" s="126"/>
      <c r="AR27" s="126"/>
      <c r="AZ27" s="65" t="n">
        <v>22</v>
      </c>
      <c r="BA27" s="106" t="n">
        <f aca="false">PJM_01212000!AQ30</f>
        <v>0.8215</v>
      </c>
      <c r="BB27" s="103" t="n">
        <f aca="false">PJM_01212000!AR30</f>
        <v>0.8215</v>
      </c>
      <c r="BC27" s="103" t="n">
        <f aca="false">PJM_01212000!AS30</f>
        <v>0.8315</v>
      </c>
      <c r="BD27" s="103" t="n">
        <f aca="false">PJM_01212000!AT30</f>
        <v>0.983581820797299</v>
      </c>
      <c r="BE27" s="103" t="n">
        <f aca="false">PJM_01212000!AU30</f>
        <v>1.03746279799953</v>
      </c>
      <c r="BF27" s="103" t="n">
        <f aca="false">PJM_01212000!AV30</f>
        <v>0.918676341064463</v>
      </c>
      <c r="BG27" s="103" t="n">
        <f aca="false">PJM_01212000!AW30</f>
        <v>0.956386841611783</v>
      </c>
      <c r="BH27" s="103" t="n">
        <f aca="false">PJM_01212000!AX30</f>
        <v>0.893384556929962</v>
      </c>
      <c r="BI27" s="103" t="n">
        <f aca="false">PJM_01212000!AY30</f>
        <v>0.909087579880249</v>
      </c>
      <c r="BJ27" s="103" t="n">
        <f aca="false">PJM_01212000!AZ30</f>
        <v>0.8867</v>
      </c>
      <c r="BK27" s="103" t="n">
        <f aca="false">PJM_01212000!BA30</f>
        <v>0.8662</v>
      </c>
      <c r="BL27" s="105" t="n">
        <f aca="false">PJM_01212000!BB30</f>
        <v>0.8515</v>
      </c>
      <c r="BM27" s="91" t="n">
        <f aca="false">SUM(BA27:BL27)</f>
        <v>10.7774799382833</v>
      </c>
    </row>
    <row r="28" customFormat="false" ht="16.5" hidden="false" customHeight="false" outlineLevel="0" collapsed="false">
      <c r="B28" s="116" t="n">
        <f aca="false">MONTH(C28)</f>
        <v>2</v>
      </c>
      <c r="C28" s="125" t="n">
        <f aca="false">PJM_01212000!A12</f>
        <v>36573</v>
      </c>
      <c r="D28" s="126" t="n">
        <f aca="false">PJM_01212000!C12</f>
        <v>26.1949996948242</v>
      </c>
      <c r="E28" s="127" t="n">
        <f aca="false">VLOOKUP($B28,$C$6:$Z$17,E$22+1)</f>
        <v>0</v>
      </c>
      <c r="F28" s="127" t="n">
        <f aca="false">VLOOKUP($B28,$C$6:$Z$17,F$22+1)</f>
        <v>1.19981175661928</v>
      </c>
      <c r="G28" s="127" t="n">
        <f aca="false">VLOOKUP($B28,$C$6:$Z$17,G$22+1)</f>
        <v>1.19616001156207</v>
      </c>
      <c r="H28" s="127" t="n">
        <f aca="false">VLOOKUP($B28,$C$6:$Z$17,H$22+1)</f>
        <v>0</v>
      </c>
      <c r="I28" s="127" t="n">
        <f aca="false">VLOOKUP($B28,$C$6:$Z$17,I$22+1)</f>
        <v>0</v>
      </c>
      <c r="J28" s="127" t="n">
        <f aca="false">VLOOKUP($B28,$C$6:$Z$17,J$22+1)</f>
        <v>0</v>
      </c>
      <c r="K28" s="127" t="n">
        <f aca="false">VLOOKUP($B28,$C$6:$Z$17,K$22+1)</f>
        <v>0</v>
      </c>
      <c r="L28" s="127" t="n">
        <f aca="false">VLOOKUP($B28,$C$6:$Z$17,L$22+1)</f>
        <v>0</v>
      </c>
      <c r="M28" s="127" t="n">
        <f aca="false">VLOOKUP($B28,$C$6:$Z$17,M$22+1)</f>
        <v>0</v>
      </c>
      <c r="N28" s="127" t="n">
        <f aca="false">VLOOKUP($B28,$C$6:$Z$17,N$22+1)</f>
        <v>0</v>
      </c>
      <c r="O28" s="127" t="n">
        <f aca="false">VLOOKUP($B28,$C$6:$Z$17,O$22+1)</f>
        <v>0</v>
      </c>
      <c r="P28" s="127" t="n">
        <f aca="false">VLOOKUP($B28,$C$6:$Z$17,P$22+1)</f>
        <v>1.28189922894351</v>
      </c>
      <c r="Q28" s="127" t="n">
        <f aca="false">VLOOKUP($B28,$C$6:$Z$17,Q$22+1)</f>
        <v>1.227</v>
      </c>
      <c r="R28" s="127" t="n">
        <f aca="false">VLOOKUP($B28,$C$6:$Z$17,R$22+1)</f>
        <v>0</v>
      </c>
      <c r="S28" s="127" t="n">
        <f aca="false">VLOOKUP($B28,$C$6:$Z$17,S$22+1)</f>
        <v>0</v>
      </c>
      <c r="T28" s="127" t="n">
        <f aca="false">VLOOKUP($B28,$C$6:$Z$17,T$22+1)</f>
        <v>0</v>
      </c>
      <c r="U28" s="127" t="n">
        <f aca="false">VLOOKUP($B28,$C$6:$AB$17,T$22+3)-SUM(E28:T28)</f>
        <v>0</v>
      </c>
      <c r="W28" s="128" t="n">
        <f aca="false">$D28*E28</f>
        <v>0</v>
      </c>
      <c r="X28" s="128" t="n">
        <f aca="false">$D28*F28</f>
        <v>31.4290685984886</v>
      </c>
      <c r="Y28" s="128" t="n">
        <f aca="false">$D28*G28</f>
        <v>31.3334111378294</v>
      </c>
      <c r="Z28" s="128" t="n">
        <f aca="false">$D28*H28</f>
        <v>0</v>
      </c>
      <c r="AA28" s="128" t="n">
        <f aca="false">$D28*I28</f>
        <v>0</v>
      </c>
      <c r="AB28" s="128" t="n">
        <f aca="false">$D28*J28</f>
        <v>0</v>
      </c>
      <c r="AC28" s="128" t="n">
        <f aca="false">$D28*K28</f>
        <v>0</v>
      </c>
      <c r="AD28" s="128" t="n">
        <f aca="false">$D28*L28</f>
        <v>0</v>
      </c>
      <c r="AE28" s="128" t="n">
        <f aca="false">$D28*M28</f>
        <v>0</v>
      </c>
      <c r="AF28" s="128" t="n">
        <f aca="false">$D28*N28</f>
        <v>0</v>
      </c>
      <c r="AG28" s="128" t="n">
        <f aca="false">$D28*O28</f>
        <v>0</v>
      </c>
      <c r="AH28" s="128" t="n">
        <f aca="false">$D28*P28</f>
        <v>33.5793499109707</v>
      </c>
      <c r="AI28" s="128" t="n">
        <f aca="false">$D28*Q28</f>
        <v>32.1412646255493</v>
      </c>
      <c r="AJ28" s="128" t="n">
        <f aca="false">$D28*R28</f>
        <v>0</v>
      </c>
      <c r="AK28" s="128" t="n">
        <f aca="false">$D28*S28</f>
        <v>0</v>
      </c>
      <c r="AL28" s="128" t="n">
        <f aca="false">$D28*T28</f>
        <v>0</v>
      </c>
      <c r="AN28" s="129" t="n">
        <f aca="false">SUM(W28:AL28)/4</f>
        <v>32.1207735682095</v>
      </c>
      <c r="AO28" s="130" t="n">
        <f aca="false">D28</f>
        <v>26.1949996948242</v>
      </c>
      <c r="AP28" s="126"/>
      <c r="AQ28" s="126"/>
      <c r="AR28" s="126"/>
      <c r="AZ28" s="65" t="n">
        <v>23</v>
      </c>
      <c r="BA28" s="131" t="n">
        <f aca="false">PJM_01212000!AQ31</f>
        <v>0.6725</v>
      </c>
      <c r="BB28" s="132" t="n">
        <f aca="false">PJM_01212000!AR31</f>
        <v>0.6725</v>
      </c>
      <c r="BC28" s="132" t="n">
        <f aca="false">PJM_01212000!AS31</f>
        <v>0.6825</v>
      </c>
      <c r="BD28" s="132" t="n">
        <f aca="false">PJM_01212000!AT31</f>
        <v>0.868935227612237</v>
      </c>
      <c r="BE28" s="132" t="n">
        <f aca="false">PJM_01212000!AU31</f>
        <v>0.832261165713818</v>
      </c>
      <c r="BF28" s="132" t="n">
        <f aca="false">PJM_01212000!AV31</f>
        <v>0.736685819737449</v>
      </c>
      <c r="BG28" s="132" t="n">
        <f aca="false">PJM_01212000!AW31</f>
        <v>0.66417015666642</v>
      </c>
      <c r="BH28" s="132" t="n">
        <f aca="false">PJM_01212000!AX31</f>
        <v>0.723434795457424</v>
      </c>
      <c r="BI28" s="132" t="n">
        <f aca="false">PJM_01212000!AY31</f>
        <v>0.720414553311483</v>
      </c>
      <c r="BJ28" s="132" t="n">
        <f aca="false">PJM_01212000!AZ31</f>
        <v>0.756</v>
      </c>
      <c r="BK28" s="132" t="n">
        <f aca="false">PJM_01212000!BA31</f>
        <v>0.7305</v>
      </c>
      <c r="BL28" s="133" t="n">
        <f aca="false">PJM_01212000!BB31</f>
        <v>0.7025</v>
      </c>
      <c r="BM28" s="91" t="n">
        <f aca="false">SUM(BA28:BL28)</f>
        <v>8.76240171849883</v>
      </c>
    </row>
    <row r="29" customFormat="false" ht="17.25" hidden="false" customHeight="false" outlineLevel="0" collapsed="false">
      <c r="B29" s="116" t="n">
        <f aca="false">MONTH(C29)</f>
        <v>2</v>
      </c>
      <c r="C29" s="125" t="n">
        <f aca="false">PJM_01212000!A13</f>
        <v>36574</v>
      </c>
      <c r="D29" s="126" t="n">
        <f aca="false">PJM_01212000!C13</f>
        <v>26.1949996948242</v>
      </c>
      <c r="E29" s="127" t="n">
        <f aca="false">VLOOKUP($B29,$C$6:$Z$17,E$22+1)</f>
        <v>0</v>
      </c>
      <c r="F29" s="127" t="n">
        <f aca="false">VLOOKUP($B29,$C$6:$Z$17,F$22+1)</f>
        <v>1.19981175661928</v>
      </c>
      <c r="G29" s="127" t="n">
        <f aca="false">VLOOKUP($B29,$C$6:$Z$17,G$22+1)</f>
        <v>1.19616001156207</v>
      </c>
      <c r="H29" s="127" t="n">
        <f aca="false">VLOOKUP($B29,$C$6:$Z$17,H$22+1)</f>
        <v>0</v>
      </c>
      <c r="I29" s="127" t="n">
        <f aca="false">VLOOKUP($B29,$C$6:$Z$17,I$22+1)</f>
        <v>0</v>
      </c>
      <c r="J29" s="127" t="n">
        <f aca="false">VLOOKUP($B29,$C$6:$Z$17,J$22+1)</f>
        <v>0</v>
      </c>
      <c r="K29" s="127" t="n">
        <f aca="false">VLOOKUP($B29,$C$6:$Z$17,K$22+1)</f>
        <v>0</v>
      </c>
      <c r="L29" s="127" t="n">
        <f aca="false">VLOOKUP($B29,$C$6:$Z$17,L$22+1)</f>
        <v>0</v>
      </c>
      <c r="M29" s="127" t="n">
        <f aca="false">VLOOKUP($B29,$C$6:$Z$17,M$22+1)</f>
        <v>0</v>
      </c>
      <c r="N29" s="127" t="n">
        <f aca="false">VLOOKUP($B29,$C$6:$Z$17,N$22+1)</f>
        <v>0</v>
      </c>
      <c r="O29" s="127" t="n">
        <f aca="false">VLOOKUP($B29,$C$6:$Z$17,O$22+1)</f>
        <v>0</v>
      </c>
      <c r="P29" s="127" t="n">
        <f aca="false">VLOOKUP($B29,$C$6:$Z$17,P$22+1)</f>
        <v>1.28189922894351</v>
      </c>
      <c r="Q29" s="127" t="n">
        <f aca="false">VLOOKUP($B29,$C$6:$Z$17,Q$22+1)</f>
        <v>1.227</v>
      </c>
      <c r="R29" s="127" t="n">
        <f aca="false">VLOOKUP($B29,$C$6:$Z$17,R$22+1)</f>
        <v>0</v>
      </c>
      <c r="S29" s="127" t="n">
        <f aca="false">VLOOKUP($B29,$C$6:$Z$17,S$22+1)</f>
        <v>0</v>
      </c>
      <c r="T29" s="127" t="n">
        <f aca="false">VLOOKUP($B29,$C$6:$Z$17,T$22+1)</f>
        <v>0</v>
      </c>
      <c r="U29" s="127" t="n">
        <f aca="false">VLOOKUP($B29,$C$6:$AB$17,T$22+3)-SUM(E29:T29)</f>
        <v>0</v>
      </c>
      <c r="W29" s="128" t="n">
        <f aca="false">$D29*E29</f>
        <v>0</v>
      </c>
      <c r="X29" s="128" t="n">
        <f aca="false">$D29*F29</f>
        <v>31.4290685984886</v>
      </c>
      <c r="Y29" s="128" t="n">
        <f aca="false">$D29*G29</f>
        <v>31.3334111378294</v>
      </c>
      <c r="Z29" s="128" t="n">
        <f aca="false">$D29*H29</f>
        <v>0</v>
      </c>
      <c r="AA29" s="128" t="n">
        <f aca="false">$D29*I29</f>
        <v>0</v>
      </c>
      <c r="AB29" s="128" t="n">
        <f aca="false">$D29*J29</f>
        <v>0</v>
      </c>
      <c r="AC29" s="128" t="n">
        <f aca="false">$D29*K29</f>
        <v>0</v>
      </c>
      <c r="AD29" s="128" t="n">
        <f aca="false">$D29*L29</f>
        <v>0</v>
      </c>
      <c r="AE29" s="128" t="n">
        <f aca="false">$D29*M29</f>
        <v>0</v>
      </c>
      <c r="AF29" s="128" t="n">
        <f aca="false">$D29*N29</f>
        <v>0</v>
      </c>
      <c r="AG29" s="128" t="n">
        <f aca="false">$D29*O29</f>
        <v>0</v>
      </c>
      <c r="AH29" s="128" t="n">
        <f aca="false">$D29*P29</f>
        <v>33.5793499109707</v>
      </c>
      <c r="AI29" s="128" t="n">
        <f aca="false">$D29*Q29</f>
        <v>32.1412646255493</v>
      </c>
      <c r="AJ29" s="128" t="n">
        <f aca="false">$D29*R29</f>
        <v>0</v>
      </c>
      <c r="AK29" s="128" t="n">
        <f aca="false">$D29*S29</f>
        <v>0</v>
      </c>
      <c r="AL29" s="128" t="n">
        <f aca="false">$D29*T29</f>
        <v>0</v>
      </c>
      <c r="AN29" s="129" t="n">
        <f aca="false">SUM(W29:AL29)/4</f>
        <v>32.1207735682095</v>
      </c>
      <c r="AO29" s="130" t="n">
        <f aca="false">D29</f>
        <v>26.1949996948242</v>
      </c>
      <c r="AP29" s="126"/>
      <c r="AQ29" s="126"/>
      <c r="AR29" s="126"/>
      <c r="AZ29" s="134" t="n">
        <v>24</v>
      </c>
      <c r="BA29" s="90" t="n">
        <f aca="false">PJM_01212000!AQ32</f>
        <v>1.225</v>
      </c>
      <c r="BB29" s="90" t="n">
        <f aca="false">PJM_01212000!AR32</f>
        <v>1.225</v>
      </c>
      <c r="BC29" s="90" t="n">
        <f aca="false">PJM_01212000!AS32</f>
        <v>1.045</v>
      </c>
      <c r="BD29" s="90" t="n">
        <f aca="false">PJM_01212000!AT32</f>
        <v>1.04967749498905</v>
      </c>
      <c r="BE29" s="90" t="n">
        <f aca="false">PJM_01212000!AU32</f>
        <v>1.17796859185739</v>
      </c>
      <c r="BF29" s="90" t="n">
        <f aca="false">PJM_01212000!AV32</f>
        <v>1.3963883955003</v>
      </c>
      <c r="BG29" s="90" t="n">
        <f aca="false">PJM_01212000!AW32</f>
        <v>1.26165887596478</v>
      </c>
      <c r="BH29" s="90" t="n">
        <f aca="false">PJM_01212000!AX32</f>
        <v>1.2636171008351</v>
      </c>
      <c r="BI29" s="90" t="n">
        <f aca="false">PJM_01212000!AY32</f>
        <v>1.12499208910828</v>
      </c>
      <c r="BJ29" s="90" t="n">
        <f aca="false">PJM_01212000!AZ32</f>
        <v>1.0505</v>
      </c>
      <c r="BK29" s="90" t="n">
        <f aca="false">PJM_01212000!BA32</f>
        <v>1.0505</v>
      </c>
      <c r="BL29" s="90" t="n">
        <f aca="false">PJM_01212000!BB32</f>
        <v>1.0505</v>
      </c>
      <c r="BM29" s="135" t="n">
        <f aca="false">SUM(BA29:BL29)</f>
        <v>13.9208025482549</v>
      </c>
    </row>
    <row r="30" customFormat="false" ht="16.5" hidden="false" customHeight="false" outlineLevel="0" collapsed="false">
      <c r="B30" s="116" t="n">
        <f aca="false">MONTH(C30)</f>
        <v>2</v>
      </c>
      <c r="C30" s="125" t="n">
        <f aca="false">PJM_01212000!A14</f>
        <v>36575</v>
      </c>
      <c r="D30" s="126" t="n">
        <f aca="false">PJM_01212000!C14</f>
        <v>18.6749992370605</v>
      </c>
      <c r="E30" s="127" t="n">
        <f aca="false">VLOOKUP($B30,$C$6:$Z$17,E$22+1)</f>
        <v>0</v>
      </c>
      <c r="F30" s="127" t="n">
        <f aca="false">VLOOKUP($B30,$C$6:$Z$17,F$22+1)</f>
        <v>1.19981175661928</v>
      </c>
      <c r="G30" s="127" t="n">
        <f aca="false">VLOOKUP($B30,$C$6:$Z$17,G$22+1)</f>
        <v>1.19616001156207</v>
      </c>
      <c r="H30" s="127" t="n">
        <f aca="false">VLOOKUP($B30,$C$6:$Z$17,H$22+1)</f>
        <v>0</v>
      </c>
      <c r="I30" s="127" t="n">
        <f aca="false">VLOOKUP($B30,$C$6:$Z$17,I$22+1)</f>
        <v>0</v>
      </c>
      <c r="J30" s="127" t="n">
        <f aca="false">VLOOKUP($B30,$C$6:$Z$17,J$22+1)</f>
        <v>0</v>
      </c>
      <c r="K30" s="127" t="n">
        <f aca="false">VLOOKUP($B30,$C$6:$Z$17,K$22+1)</f>
        <v>0</v>
      </c>
      <c r="L30" s="127" t="n">
        <f aca="false">VLOOKUP($B30,$C$6:$Z$17,L$22+1)</f>
        <v>0</v>
      </c>
      <c r="M30" s="127" t="n">
        <f aca="false">VLOOKUP($B30,$C$6:$Z$17,M$22+1)</f>
        <v>0</v>
      </c>
      <c r="N30" s="127" t="n">
        <f aca="false">VLOOKUP($B30,$C$6:$Z$17,N$22+1)</f>
        <v>0</v>
      </c>
      <c r="O30" s="127" t="n">
        <f aca="false">VLOOKUP($B30,$C$6:$Z$17,O$22+1)</f>
        <v>0</v>
      </c>
      <c r="P30" s="127" t="n">
        <f aca="false">VLOOKUP($B30,$C$6:$Z$17,P$22+1)</f>
        <v>1.28189922894351</v>
      </c>
      <c r="Q30" s="127" t="n">
        <f aca="false">VLOOKUP($B30,$C$6:$Z$17,Q$22+1)</f>
        <v>1.227</v>
      </c>
      <c r="R30" s="127" t="n">
        <f aca="false">VLOOKUP($B30,$C$6:$Z$17,R$22+1)</f>
        <v>0</v>
      </c>
      <c r="S30" s="127" t="n">
        <f aca="false">VLOOKUP($B30,$C$6:$Z$17,S$22+1)</f>
        <v>0</v>
      </c>
      <c r="T30" s="127" t="n">
        <f aca="false">VLOOKUP($B30,$C$6:$Z$17,T$22+1)</f>
        <v>0</v>
      </c>
      <c r="U30" s="127" t="n">
        <f aca="false">VLOOKUP($B30,$C$6:$AB$17,T$22+3)-SUM(E30:T30)</f>
        <v>0</v>
      </c>
      <c r="W30" s="128" t="n">
        <f aca="false">$D30*E30</f>
        <v>0</v>
      </c>
      <c r="X30" s="128" t="n">
        <f aca="false">$D30*F30</f>
        <v>22.4064836394814</v>
      </c>
      <c r="Y30" s="128" t="n">
        <f aca="false">$D30*G30</f>
        <v>22.338287303324</v>
      </c>
      <c r="Z30" s="128" t="n">
        <f aca="false">$D30*H30</f>
        <v>0</v>
      </c>
      <c r="AA30" s="128" t="n">
        <f aca="false">$D30*I30</f>
        <v>0</v>
      </c>
      <c r="AB30" s="128" t="n">
        <f aca="false">$D30*J30</f>
        <v>0</v>
      </c>
      <c r="AC30" s="128" t="n">
        <f aca="false">$D30*K30</f>
        <v>0</v>
      </c>
      <c r="AD30" s="128" t="n">
        <f aca="false">$D30*L30</f>
        <v>0</v>
      </c>
      <c r="AE30" s="128" t="n">
        <f aca="false">$D30*M30</f>
        <v>0</v>
      </c>
      <c r="AF30" s="128" t="n">
        <f aca="false">$D30*N30</f>
        <v>0</v>
      </c>
      <c r="AG30" s="128" t="n">
        <f aca="false">$D30*O30</f>
        <v>0</v>
      </c>
      <c r="AH30" s="128" t="n">
        <f aca="false">$D30*P30</f>
        <v>23.9394671225086</v>
      </c>
      <c r="AI30" s="128" t="n">
        <f aca="false">$D30*Q30</f>
        <v>22.9142240638733</v>
      </c>
      <c r="AJ30" s="128" t="n">
        <f aca="false">$D30*R30</f>
        <v>0</v>
      </c>
      <c r="AK30" s="128" t="n">
        <f aca="false">$D30*S30</f>
        <v>0</v>
      </c>
      <c r="AL30" s="128" t="n">
        <f aca="false">$D30*T30</f>
        <v>0</v>
      </c>
      <c r="AN30" s="129" t="n">
        <f aca="false">SUM(W30:AL30)/4</f>
        <v>22.8996155322968</v>
      </c>
      <c r="AO30" s="130" t="n">
        <f aca="false">D30</f>
        <v>18.6749992370605</v>
      </c>
      <c r="AP30" s="126"/>
      <c r="AQ30" s="126"/>
      <c r="AR30" s="126"/>
    </row>
    <row r="31" customFormat="false" ht="16.5" hidden="false" customHeight="false" outlineLevel="0" collapsed="false">
      <c r="B31" s="116" t="n">
        <f aca="false">MONTH(C31)</f>
        <v>2</v>
      </c>
      <c r="C31" s="125" t="n">
        <f aca="false">PJM_01212000!A15</f>
        <v>36576</v>
      </c>
      <c r="D31" s="126" t="n">
        <f aca="false">PJM_01212000!C15</f>
        <v>18.7749996185303</v>
      </c>
      <c r="E31" s="127" t="n">
        <f aca="false">VLOOKUP($B31,$C$6:$Z$17,E$22+1)</f>
        <v>0</v>
      </c>
      <c r="F31" s="127" t="n">
        <f aca="false">VLOOKUP($B31,$C$6:$Z$17,F$22+1)</f>
        <v>1.19981175661928</v>
      </c>
      <c r="G31" s="127" t="n">
        <f aca="false">VLOOKUP($B31,$C$6:$Z$17,G$22+1)</f>
        <v>1.19616001156207</v>
      </c>
      <c r="H31" s="127" t="n">
        <f aca="false">VLOOKUP($B31,$C$6:$Z$17,H$22+1)</f>
        <v>0</v>
      </c>
      <c r="I31" s="127" t="n">
        <f aca="false">VLOOKUP($B31,$C$6:$Z$17,I$22+1)</f>
        <v>0</v>
      </c>
      <c r="J31" s="127" t="n">
        <f aca="false">VLOOKUP($B31,$C$6:$Z$17,J$22+1)</f>
        <v>0</v>
      </c>
      <c r="K31" s="127" t="n">
        <f aca="false">VLOOKUP($B31,$C$6:$Z$17,K$22+1)</f>
        <v>0</v>
      </c>
      <c r="L31" s="127" t="n">
        <f aca="false">VLOOKUP($B31,$C$6:$Z$17,L$22+1)</f>
        <v>0</v>
      </c>
      <c r="M31" s="127" t="n">
        <f aca="false">VLOOKUP($B31,$C$6:$Z$17,M$22+1)</f>
        <v>0</v>
      </c>
      <c r="N31" s="127" t="n">
        <f aca="false">VLOOKUP($B31,$C$6:$Z$17,N$22+1)</f>
        <v>0</v>
      </c>
      <c r="O31" s="127" t="n">
        <f aca="false">VLOOKUP($B31,$C$6:$Z$17,O$22+1)</f>
        <v>0</v>
      </c>
      <c r="P31" s="127" t="n">
        <f aca="false">VLOOKUP($B31,$C$6:$Z$17,P$22+1)</f>
        <v>1.28189922894351</v>
      </c>
      <c r="Q31" s="127" t="n">
        <f aca="false">VLOOKUP($B31,$C$6:$Z$17,Q$22+1)</f>
        <v>1.227</v>
      </c>
      <c r="R31" s="127" t="n">
        <f aca="false">VLOOKUP($B31,$C$6:$Z$17,R$22+1)</f>
        <v>0</v>
      </c>
      <c r="S31" s="127" t="n">
        <f aca="false">VLOOKUP($B31,$C$6:$Z$17,S$22+1)</f>
        <v>0</v>
      </c>
      <c r="T31" s="127" t="n">
        <f aca="false">VLOOKUP($B31,$C$6:$Z$17,T$22+1)</f>
        <v>0</v>
      </c>
      <c r="U31" s="127" t="n">
        <f aca="false">VLOOKUP($B31,$C$6:$AB$17,T$22+3)-SUM(E31:T31)</f>
        <v>0</v>
      </c>
      <c r="W31" s="128" t="n">
        <f aca="false">$D31*E31</f>
        <v>0</v>
      </c>
      <c r="X31" s="128" t="n">
        <f aca="false">$D31*F31</f>
        <v>22.5264652728352</v>
      </c>
      <c r="Y31" s="128" t="n">
        <f aca="false">$D31*G31</f>
        <v>22.4579037607791</v>
      </c>
      <c r="Z31" s="128" t="n">
        <f aca="false">$D31*H31</f>
        <v>0</v>
      </c>
      <c r="AA31" s="128" t="n">
        <f aca="false">$D31*I31</f>
        <v>0</v>
      </c>
      <c r="AB31" s="128" t="n">
        <f aca="false">$D31*J31</f>
        <v>0</v>
      </c>
      <c r="AC31" s="128" t="n">
        <f aca="false">$D31*K31</f>
        <v>0</v>
      </c>
      <c r="AD31" s="128" t="n">
        <f aca="false">$D31*L31</f>
        <v>0</v>
      </c>
      <c r="AE31" s="128" t="n">
        <f aca="false">$D31*M31</f>
        <v>0</v>
      </c>
      <c r="AF31" s="128" t="n">
        <f aca="false">$D31*N31</f>
        <v>0</v>
      </c>
      <c r="AG31" s="128" t="n">
        <f aca="false">$D31*O31</f>
        <v>0</v>
      </c>
      <c r="AH31" s="128" t="n">
        <f aca="false">$D31*P31</f>
        <v>24.0676575344087</v>
      </c>
      <c r="AI31" s="128" t="n">
        <f aca="false">$D31*Q31</f>
        <v>23.0369245319367</v>
      </c>
      <c r="AJ31" s="128" t="n">
        <f aca="false">$D31*R31</f>
        <v>0</v>
      </c>
      <c r="AK31" s="128" t="n">
        <f aca="false">$D31*S31</f>
        <v>0</v>
      </c>
      <c r="AL31" s="128" t="n">
        <f aca="false">$D31*T31</f>
        <v>0</v>
      </c>
      <c r="AN31" s="129" t="n">
        <f aca="false">SUM(W31:AL31)/4</f>
        <v>23.0222377749899</v>
      </c>
      <c r="AO31" s="130" t="n">
        <f aca="false">D31</f>
        <v>18.7749996185303</v>
      </c>
      <c r="AP31" s="126"/>
      <c r="AQ31" s="126"/>
      <c r="AR31" s="126"/>
    </row>
    <row r="32" customFormat="false" ht="16.5" hidden="false" customHeight="false" outlineLevel="0" collapsed="false">
      <c r="B32" s="116" t="n">
        <f aca="false">MONTH(C32)</f>
        <v>2</v>
      </c>
      <c r="C32" s="125" t="n">
        <f aca="false">PJM_01212000!A16</f>
        <v>36577</v>
      </c>
      <c r="D32" s="126" t="n">
        <f aca="false">PJM_01212000!C16</f>
        <v>27.0049991607666</v>
      </c>
      <c r="E32" s="127" t="n">
        <f aca="false">VLOOKUP($B32,$C$6:$Z$17,E$22+1)</f>
        <v>0</v>
      </c>
      <c r="F32" s="127" t="n">
        <f aca="false">VLOOKUP($B32,$C$6:$Z$17,F$22+1)</f>
        <v>1.19981175661928</v>
      </c>
      <c r="G32" s="127" t="n">
        <f aca="false">VLOOKUP($B32,$C$6:$Z$17,G$22+1)</f>
        <v>1.19616001156207</v>
      </c>
      <c r="H32" s="127" t="n">
        <f aca="false">VLOOKUP($B32,$C$6:$Z$17,H$22+1)</f>
        <v>0</v>
      </c>
      <c r="I32" s="127" t="n">
        <f aca="false">VLOOKUP($B32,$C$6:$Z$17,I$22+1)</f>
        <v>0</v>
      </c>
      <c r="J32" s="127" t="n">
        <f aca="false">VLOOKUP($B32,$C$6:$Z$17,J$22+1)</f>
        <v>0</v>
      </c>
      <c r="K32" s="127" t="n">
        <f aca="false">VLOOKUP($B32,$C$6:$Z$17,K$22+1)</f>
        <v>0</v>
      </c>
      <c r="L32" s="127" t="n">
        <f aca="false">VLOOKUP($B32,$C$6:$Z$17,L$22+1)</f>
        <v>0</v>
      </c>
      <c r="M32" s="127" t="n">
        <f aca="false">VLOOKUP($B32,$C$6:$Z$17,M$22+1)</f>
        <v>0</v>
      </c>
      <c r="N32" s="127" t="n">
        <f aca="false">VLOOKUP($B32,$C$6:$Z$17,N$22+1)</f>
        <v>0</v>
      </c>
      <c r="O32" s="127" t="n">
        <f aca="false">VLOOKUP($B32,$C$6:$Z$17,O$22+1)</f>
        <v>0</v>
      </c>
      <c r="P32" s="127" t="n">
        <f aca="false">VLOOKUP($B32,$C$6:$Z$17,P$22+1)</f>
        <v>1.28189922894351</v>
      </c>
      <c r="Q32" s="127" t="n">
        <f aca="false">VLOOKUP($B32,$C$6:$Z$17,Q$22+1)</f>
        <v>1.227</v>
      </c>
      <c r="R32" s="127" t="n">
        <f aca="false">VLOOKUP($B32,$C$6:$Z$17,R$22+1)</f>
        <v>0</v>
      </c>
      <c r="S32" s="127" t="n">
        <f aca="false">VLOOKUP($B32,$C$6:$Z$17,S$22+1)</f>
        <v>0</v>
      </c>
      <c r="T32" s="127" t="n">
        <f aca="false">VLOOKUP($B32,$C$6:$Z$17,T$22+1)</f>
        <v>0</v>
      </c>
      <c r="U32" s="127" t="n">
        <f aca="false">VLOOKUP($B32,$C$6:$AB$17,T$22+3)-SUM(E32:T32)</f>
        <v>0</v>
      </c>
      <c r="W32" s="128" t="n">
        <f aca="false">$D32*E32</f>
        <v>0</v>
      </c>
      <c r="X32" s="128" t="n">
        <f aca="false">$D32*F32</f>
        <v>32.4009154805816</v>
      </c>
      <c r="Y32" s="128" t="n">
        <f aca="false">$D32*G32</f>
        <v>32.3023001083763</v>
      </c>
      <c r="Z32" s="128" t="n">
        <f aca="false">$D32*H32</f>
        <v>0</v>
      </c>
      <c r="AA32" s="128" t="n">
        <f aca="false">$D32*I32</f>
        <v>0</v>
      </c>
      <c r="AB32" s="128" t="n">
        <f aca="false">$D32*J32</f>
        <v>0</v>
      </c>
      <c r="AC32" s="128" t="n">
        <f aca="false">$D32*K32</f>
        <v>0</v>
      </c>
      <c r="AD32" s="128" t="n">
        <f aca="false">$D32*L32</f>
        <v>0</v>
      </c>
      <c r="AE32" s="128" t="n">
        <f aca="false">$D32*M32</f>
        <v>0</v>
      </c>
      <c r="AF32" s="128" t="n">
        <f aca="false">$D32*N32</f>
        <v>0</v>
      </c>
      <c r="AG32" s="128" t="n">
        <f aca="false">$D32*O32</f>
        <v>0</v>
      </c>
      <c r="AH32" s="128" t="n">
        <f aca="false">$D32*P32</f>
        <v>34.6176876018069</v>
      </c>
      <c r="AI32" s="128" t="n">
        <f aca="false">$D32*Q32</f>
        <v>33.1351339702606</v>
      </c>
      <c r="AJ32" s="128" t="n">
        <f aca="false">$D32*R32</f>
        <v>0</v>
      </c>
      <c r="AK32" s="128" t="n">
        <f aca="false">$D32*S32</f>
        <v>0</v>
      </c>
      <c r="AL32" s="128" t="n">
        <f aca="false">$D32*T32</f>
        <v>0</v>
      </c>
      <c r="AN32" s="129" t="n">
        <f aca="false">SUM(W32:AL32)/4</f>
        <v>33.1140092902564</v>
      </c>
      <c r="AO32" s="130" t="n">
        <f aca="false">D32</f>
        <v>27.0049991607666</v>
      </c>
      <c r="AP32" s="126"/>
      <c r="AQ32" s="126"/>
      <c r="AR32" s="126"/>
    </row>
    <row r="33" customFormat="false" ht="16.5" hidden="false" customHeight="false" outlineLevel="0" collapsed="false">
      <c r="B33" s="116" t="n">
        <f aca="false">MONTH(C33)</f>
        <v>2</v>
      </c>
      <c r="C33" s="125" t="n">
        <f aca="false">PJM_01212000!A17</f>
        <v>36578</v>
      </c>
      <c r="D33" s="126" t="n">
        <f aca="false">PJM_01212000!C17</f>
        <v>26.1949996948242</v>
      </c>
      <c r="E33" s="127" t="n">
        <f aca="false">VLOOKUP($B33,$C$6:$Z$17,E$22+1)</f>
        <v>0</v>
      </c>
      <c r="F33" s="127" t="n">
        <f aca="false">VLOOKUP($B33,$C$6:$Z$17,F$22+1)</f>
        <v>1.19981175661928</v>
      </c>
      <c r="G33" s="127" t="n">
        <f aca="false">VLOOKUP($B33,$C$6:$Z$17,G$22+1)</f>
        <v>1.19616001156207</v>
      </c>
      <c r="H33" s="127" t="n">
        <f aca="false">VLOOKUP($B33,$C$6:$Z$17,H$22+1)</f>
        <v>0</v>
      </c>
      <c r="I33" s="127" t="n">
        <f aca="false">VLOOKUP($B33,$C$6:$Z$17,I$22+1)</f>
        <v>0</v>
      </c>
      <c r="J33" s="127" t="n">
        <f aca="false">VLOOKUP($B33,$C$6:$Z$17,J$22+1)</f>
        <v>0</v>
      </c>
      <c r="K33" s="127" t="n">
        <f aca="false">VLOOKUP($B33,$C$6:$Z$17,K$22+1)</f>
        <v>0</v>
      </c>
      <c r="L33" s="127" t="n">
        <f aca="false">VLOOKUP($B33,$C$6:$Z$17,L$22+1)</f>
        <v>0</v>
      </c>
      <c r="M33" s="127" t="n">
        <f aca="false">VLOOKUP($B33,$C$6:$Z$17,M$22+1)</f>
        <v>0</v>
      </c>
      <c r="N33" s="127" t="n">
        <f aca="false">VLOOKUP($B33,$C$6:$Z$17,N$22+1)</f>
        <v>0</v>
      </c>
      <c r="O33" s="127" t="n">
        <f aca="false">VLOOKUP($B33,$C$6:$Z$17,O$22+1)</f>
        <v>0</v>
      </c>
      <c r="P33" s="127" t="n">
        <f aca="false">VLOOKUP($B33,$C$6:$Z$17,P$22+1)</f>
        <v>1.28189922894351</v>
      </c>
      <c r="Q33" s="127" t="n">
        <f aca="false">VLOOKUP($B33,$C$6:$Z$17,Q$22+1)</f>
        <v>1.227</v>
      </c>
      <c r="R33" s="127" t="n">
        <f aca="false">VLOOKUP($B33,$C$6:$Z$17,R$22+1)</f>
        <v>0</v>
      </c>
      <c r="S33" s="127" t="n">
        <f aca="false">VLOOKUP($B33,$C$6:$Z$17,S$22+1)</f>
        <v>0</v>
      </c>
      <c r="T33" s="127" t="n">
        <f aca="false">VLOOKUP($B33,$C$6:$Z$17,T$22+1)</f>
        <v>0</v>
      </c>
      <c r="U33" s="127" t="n">
        <f aca="false">VLOOKUP($B33,$C$6:$AB$17,T$22+3)-SUM(E33:T33)</f>
        <v>0</v>
      </c>
      <c r="W33" s="128" t="n">
        <f aca="false">$D33*E33</f>
        <v>0</v>
      </c>
      <c r="X33" s="128" t="n">
        <f aca="false">$D33*F33</f>
        <v>31.4290685984886</v>
      </c>
      <c r="Y33" s="128" t="n">
        <f aca="false">$D33*G33</f>
        <v>31.3334111378294</v>
      </c>
      <c r="Z33" s="128" t="n">
        <f aca="false">$D33*H33</f>
        <v>0</v>
      </c>
      <c r="AA33" s="128" t="n">
        <f aca="false">$D33*I33</f>
        <v>0</v>
      </c>
      <c r="AB33" s="128" t="n">
        <f aca="false">$D33*J33</f>
        <v>0</v>
      </c>
      <c r="AC33" s="128" t="n">
        <f aca="false">$D33*K33</f>
        <v>0</v>
      </c>
      <c r="AD33" s="128" t="n">
        <f aca="false">$D33*L33</f>
        <v>0</v>
      </c>
      <c r="AE33" s="128" t="n">
        <f aca="false">$D33*M33</f>
        <v>0</v>
      </c>
      <c r="AF33" s="128" t="n">
        <f aca="false">$D33*N33</f>
        <v>0</v>
      </c>
      <c r="AG33" s="128" t="n">
        <f aca="false">$D33*O33</f>
        <v>0</v>
      </c>
      <c r="AH33" s="128" t="n">
        <f aca="false">$D33*P33</f>
        <v>33.5793499109707</v>
      </c>
      <c r="AI33" s="128" t="n">
        <f aca="false">$D33*Q33</f>
        <v>32.1412646255493</v>
      </c>
      <c r="AJ33" s="128" t="n">
        <f aca="false">$D33*R33</f>
        <v>0</v>
      </c>
      <c r="AK33" s="128" t="n">
        <f aca="false">$D33*S33</f>
        <v>0</v>
      </c>
      <c r="AL33" s="128" t="n">
        <f aca="false">$D33*T33</f>
        <v>0</v>
      </c>
      <c r="AN33" s="129" t="n">
        <f aca="false">SUM(W33:AL33)/4</f>
        <v>32.1207735682095</v>
      </c>
      <c r="AO33" s="130" t="n">
        <f aca="false">D33</f>
        <v>26.1949996948242</v>
      </c>
      <c r="AP33" s="126"/>
      <c r="AQ33" s="126"/>
      <c r="AR33" s="126"/>
    </row>
    <row r="34" customFormat="false" ht="16.5" hidden="false" customHeight="false" outlineLevel="0" collapsed="false">
      <c r="B34" s="116" t="n">
        <f aca="false">MONTH(C34)</f>
        <v>2</v>
      </c>
      <c r="C34" s="125" t="n">
        <f aca="false">PJM_01212000!A18</f>
        <v>36579</v>
      </c>
      <c r="D34" s="126" t="n">
        <f aca="false">PJM_01212000!C18</f>
        <v>26.1949996948242</v>
      </c>
      <c r="E34" s="127" t="n">
        <f aca="false">VLOOKUP($B34,$C$6:$Z$17,E$22+1)</f>
        <v>0</v>
      </c>
      <c r="F34" s="127" t="n">
        <f aca="false">VLOOKUP($B34,$C$6:$Z$17,F$22+1)</f>
        <v>1.19981175661928</v>
      </c>
      <c r="G34" s="127" t="n">
        <f aca="false">VLOOKUP($B34,$C$6:$Z$17,G$22+1)</f>
        <v>1.19616001156207</v>
      </c>
      <c r="H34" s="127" t="n">
        <f aca="false">VLOOKUP($B34,$C$6:$Z$17,H$22+1)</f>
        <v>0</v>
      </c>
      <c r="I34" s="127" t="n">
        <f aca="false">VLOOKUP($B34,$C$6:$Z$17,I$22+1)</f>
        <v>0</v>
      </c>
      <c r="J34" s="127" t="n">
        <f aca="false">VLOOKUP($B34,$C$6:$Z$17,J$22+1)</f>
        <v>0</v>
      </c>
      <c r="K34" s="127" t="n">
        <f aca="false">VLOOKUP($B34,$C$6:$Z$17,K$22+1)</f>
        <v>0</v>
      </c>
      <c r="L34" s="127" t="n">
        <f aca="false">VLOOKUP($B34,$C$6:$Z$17,L$22+1)</f>
        <v>0</v>
      </c>
      <c r="M34" s="127" t="n">
        <f aca="false">VLOOKUP($B34,$C$6:$Z$17,M$22+1)</f>
        <v>0</v>
      </c>
      <c r="N34" s="127" t="n">
        <f aca="false">VLOOKUP($B34,$C$6:$Z$17,N$22+1)</f>
        <v>0</v>
      </c>
      <c r="O34" s="127" t="n">
        <f aca="false">VLOOKUP($B34,$C$6:$Z$17,O$22+1)</f>
        <v>0</v>
      </c>
      <c r="P34" s="127" t="n">
        <f aca="false">VLOOKUP($B34,$C$6:$Z$17,P$22+1)</f>
        <v>1.28189922894351</v>
      </c>
      <c r="Q34" s="127" t="n">
        <f aca="false">VLOOKUP($B34,$C$6:$Z$17,Q$22+1)</f>
        <v>1.227</v>
      </c>
      <c r="R34" s="127" t="n">
        <f aca="false">VLOOKUP($B34,$C$6:$Z$17,R$22+1)</f>
        <v>0</v>
      </c>
      <c r="S34" s="127" t="n">
        <f aca="false">VLOOKUP($B34,$C$6:$Z$17,S$22+1)</f>
        <v>0</v>
      </c>
      <c r="T34" s="127" t="n">
        <f aca="false">VLOOKUP($B34,$C$6:$Z$17,T$22+1)</f>
        <v>0</v>
      </c>
      <c r="U34" s="127" t="n">
        <f aca="false">VLOOKUP($B34,$C$6:$AB$17,T$22+3)-SUM(E34:T34)</f>
        <v>0</v>
      </c>
      <c r="W34" s="128" t="n">
        <f aca="false">$D34*E34</f>
        <v>0</v>
      </c>
      <c r="X34" s="128" t="n">
        <f aca="false">$D34*F34</f>
        <v>31.4290685984886</v>
      </c>
      <c r="Y34" s="128" t="n">
        <f aca="false">$D34*G34</f>
        <v>31.3334111378294</v>
      </c>
      <c r="Z34" s="128" t="n">
        <f aca="false">$D34*H34</f>
        <v>0</v>
      </c>
      <c r="AA34" s="128" t="n">
        <f aca="false">$D34*I34</f>
        <v>0</v>
      </c>
      <c r="AB34" s="128" t="n">
        <f aca="false">$D34*J34</f>
        <v>0</v>
      </c>
      <c r="AC34" s="128" t="n">
        <f aca="false">$D34*K34</f>
        <v>0</v>
      </c>
      <c r="AD34" s="128" t="n">
        <f aca="false">$D34*L34</f>
        <v>0</v>
      </c>
      <c r="AE34" s="128" t="n">
        <f aca="false">$D34*M34</f>
        <v>0</v>
      </c>
      <c r="AF34" s="128" t="n">
        <f aca="false">$D34*N34</f>
        <v>0</v>
      </c>
      <c r="AG34" s="128" t="n">
        <f aca="false">$D34*O34</f>
        <v>0</v>
      </c>
      <c r="AH34" s="128" t="n">
        <f aca="false">$D34*P34</f>
        <v>33.5793499109707</v>
      </c>
      <c r="AI34" s="128" t="n">
        <f aca="false">$D34*Q34</f>
        <v>32.1412646255493</v>
      </c>
      <c r="AJ34" s="128" t="n">
        <f aca="false">$D34*R34</f>
        <v>0</v>
      </c>
      <c r="AK34" s="128" t="n">
        <f aca="false">$D34*S34</f>
        <v>0</v>
      </c>
      <c r="AL34" s="128" t="n">
        <f aca="false">$D34*T34</f>
        <v>0</v>
      </c>
      <c r="AN34" s="129" t="n">
        <f aca="false">SUM(W34:AL34)/4</f>
        <v>32.1207735682095</v>
      </c>
      <c r="AO34" s="130" t="n">
        <f aca="false">D34</f>
        <v>26.1949996948242</v>
      </c>
      <c r="AP34" s="126"/>
      <c r="AQ34" s="126"/>
      <c r="AR34" s="126"/>
    </row>
    <row r="35" customFormat="false" ht="16.5" hidden="false" customHeight="false" outlineLevel="0" collapsed="false">
      <c r="B35" s="116" t="n">
        <f aca="false">MONTH(C35)</f>
        <v>2</v>
      </c>
      <c r="C35" s="125" t="n">
        <f aca="false">PJM_01212000!A19</f>
        <v>36580</v>
      </c>
      <c r="D35" s="126" t="n">
        <f aca="false">PJM_01212000!C19</f>
        <v>26.1949996948242</v>
      </c>
      <c r="E35" s="127" t="n">
        <f aca="false">VLOOKUP($B35,$C$6:$Z$17,E$22+1)</f>
        <v>0</v>
      </c>
      <c r="F35" s="127" t="n">
        <f aca="false">VLOOKUP($B35,$C$6:$Z$17,F$22+1)</f>
        <v>1.19981175661928</v>
      </c>
      <c r="G35" s="127" t="n">
        <f aca="false">VLOOKUP($B35,$C$6:$Z$17,G$22+1)</f>
        <v>1.19616001156207</v>
      </c>
      <c r="H35" s="127" t="n">
        <f aca="false">VLOOKUP($B35,$C$6:$Z$17,H$22+1)</f>
        <v>0</v>
      </c>
      <c r="I35" s="127" t="n">
        <f aca="false">VLOOKUP($B35,$C$6:$Z$17,I$22+1)</f>
        <v>0</v>
      </c>
      <c r="J35" s="127" t="n">
        <f aca="false">VLOOKUP($B35,$C$6:$Z$17,J$22+1)</f>
        <v>0</v>
      </c>
      <c r="K35" s="127" t="n">
        <f aca="false">VLOOKUP($B35,$C$6:$Z$17,K$22+1)</f>
        <v>0</v>
      </c>
      <c r="L35" s="127" t="n">
        <f aca="false">VLOOKUP($B35,$C$6:$Z$17,L$22+1)</f>
        <v>0</v>
      </c>
      <c r="M35" s="127" t="n">
        <f aca="false">VLOOKUP($B35,$C$6:$Z$17,M$22+1)</f>
        <v>0</v>
      </c>
      <c r="N35" s="127" t="n">
        <f aca="false">VLOOKUP($B35,$C$6:$Z$17,N$22+1)</f>
        <v>0</v>
      </c>
      <c r="O35" s="127" t="n">
        <f aca="false">VLOOKUP($B35,$C$6:$Z$17,O$22+1)</f>
        <v>0</v>
      </c>
      <c r="P35" s="127" t="n">
        <f aca="false">VLOOKUP($B35,$C$6:$Z$17,P$22+1)</f>
        <v>1.28189922894351</v>
      </c>
      <c r="Q35" s="127" t="n">
        <f aca="false">VLOOKUP($B35,$C$6:$Z$17,Q$22+1)</f>
        <v>1.227</v>
      </c>
      <c r="R35" s="127" t="n">
        <f aca="false">VLOOKUP($B35,$C$6:$Z$17,R$22+1)</f>
        <v>0</v>
      </c>
      <c r="S35" s="127" t="n">
        <f aca="false">VLOOKUP($B35,$C$6:$Z$17,S$22+1)</f>
        <v>0</v>
      </c>
      <c r="T35" s="127" t="n">
        <f aca="false">VLOOKUP($B35,$C$6:$Z$17,T$22+1)</f>
        <v>0</v>
      </c>
      <c r="U35" s="127" t="n">
        <f aca="false">VLOOKUP($B35,$C$6:$AB$17,T$22+3)-SUM(E35:T35)</f>
        <v>0</v>
      </c>
      <c r="W35" s="128" t="n">
        <f aca="false">$D35*E35</f>
        <v>0</v>
      </c>
      <c r="X35" s="128" t="n">
        <f aca="false">$D35*F35</f>
        <v>31.4290685984886</v>
      </c>
      <c r="Y35" s="128" t="n">
        <f aca="false">$D35*G35</f>
        <v>31.3334111378294</v>
      </c>
      <c r="Z35" s="128" t="n">
        <f aca="false">$D35*H35</f>
        <v>0</v>
      </c>
      <c r="AA35" s="128" t="n">
        <f aca="false">$D35*I35</f>
        <v>0</v>
      </c>
      <c r="AB35" s="128" t="n">
        <f aca="false">$D35*J35</f>
        <v>0</v>
      </c>
      <c r="AC35" s="128" t="n">
        <f aca="false">$D35*K35</f>
        <v>0</v>
      </c>
      <c r="AD35" s="128" t="n">
        <f aca="false">$D35*L35</f>
        <v>0</v>
      </c>
      <c r="AE35" s="128" t="n">
        <f aca="false">$D35*M35</f>
        <v>0</v>
      </c>
      <c r="AF35" s="128" t="n">
        <f aca="false">$D35*N35</f>
        <v>0</v>
      </c>
      <c r="AG35" s="128" t="n">
        <f aca="false">$D35*O35</f>
        <v>0</v>
      </c>
      <c r="AH35" s="128" t="n">
        <f aca="false">$D35*P35</f>
        <v>33.5793499109707</v>
      </c>
      <c r="AI35" s="128" t="n">
        <f aca="false">$D35*Q35</f>
        <v>32.1412646255493</v>
      </c>
      <c r="AJ35" s="128" t="n">
        <f aca="false">$D35*R35</f>
        <v>0</v>
      </c>
      <c r="AK35" s="128" t="n">
        <f aca="false">$D35*S35</f>
        <v>0</v>
      </c>
      <c r="AL35" s="128" t="n">
        <f aca="false">$D35*T35</f>
        <v>0</v>
      </c>
      <c r="AN35" s="129" t="n">
        <f aca="false">SUM(W35:AL35)/4</f>
        <v>32.1207735682095</v>
      </c>
      <c r="AO35" s="130" t="n">
        <f aca="false">D35</f>
        <v>26.1949996948242</v>
      </c>
      <c r="AP35" s="126"/>
      <c r="AQ35" s="126"/>
      <c r="AR35" s="126"/>
    </row>
    <row r="36" customFormat="false" ht="16.5" hidden="false" customHeight="false" outlineLevel="0" collapsed="false">
      <c r="B36" s="116" t="n">
        <f aca="false">MONTH(C36)</f>
        <v>2</v>
      </c>
      <c r="C36" s="125" t="n">
        <f aca="false">PJM_01212000!A20</f>
        <v>36581</v>
      </c>
      <c r="D36" s="126" t="n">
        <f aca="false">PJM_01212000!C20</f>
        <v>26.1949996948242</v>
      </c>
      <c r="E36" s="127" t="n">
        <f aca="false">VLOOKUP($B36,$C$6:$Z$17,E$22+1)</f>
        <v>0</v>
      </c>
      <c r="F36" s="127" t="n">
        <f aca="false">VLOOKUP($B36,$C$6:$Z$17,F$22+1)</f>
        <v>1.19981175661928</v>
      </c>
      <c r="G36" s="127" t="n">
        <f aca="false">VLOOKUP($B36,$C$6:$Z$17,G$22+1)</f>
        <v>1.19616001156207</v>
      </c>
      <c r="H36" s="127" t="n">
        <f aca="false">VLOOKUP($B36,$C$6:$Z$17,H$22+1)</f>
        <v>0</v>
      </c>
      <c r="I36" s="127" t="n">
        <f aca="false">VLOOKUP($B36,$C$6:$Z$17,I$22+1)</f>
        <v>0</v>
      </c>
      <c r="J36" s="127" t="n">
        <f aca="false">VLOOKUP($B36,$C$6:$Z$17,J$22+1)</f>
        <v>0</v>
      </c>
      <c r="K36" s="127" t="n">
        <f aca="false">VLOOKUP($B36,$C$6:$Z$17,K$22+1)</f>
        <v>0</v>
      </c>
      <c r="L36" s="127" t="n">
        <f aca="false">VLOOKUP($B36,$C$6:$Z$17,L$22+1)</f>
        <v>0</v>
      </c>
      <c r="M36" s="127" t="n">
        <f aca="false">VLOOKUP($B36,$C$6:$Z$17,M$22+1)</f>
        <v>0</v>
      </c>
      <c r="N36" s="127" t="n">
        <f aca="false">VLOOKUP($B36,$C$6:$Z$17,N$22+1)</f>
        <v>0</v>
      </c>
      <c r="O36" s="127" t="n">
        <f aca="false">VLOOKUP($B36,$C$6:$Z$17,O$22+1)</f>
        <v>0</v>
      </c>
      <c r="P36" s="127" t="n">
        <f aca="false">VLOOKUP($B36,$C$6:$Z$17,P$22+1)</f>
        <v>1.28189922894351</v>
      </c>
      <c r="Q36" s="127" t="n">
        <f aca="false">VLOOKUP($B36,$C$6:$Z$17,Q$22+1)</f>
        <v>1.227</v>
      </c>
      <c r="R36" s="127" t="n">
        <f aca="false">VLOOKUP($B36,$C$6:$Z$17,R$22+1)</f>
        <v>0</v>
      </c>
      <c r="S36" s="127" t="n">
        <f aca="false">VLOOKUP($B36,$C$6:$Z$17,S$22+1)</f>
        <v>0</v>
      </c>
      <c r="T36" s="127" t="n">
        <f aca="false">VLOOKUP($B36,$C$6:$Z$17,T$22+1)</f>
        <v>0</v>
      </c>
      <c r="U36" s="127" t="n">
        <f aca="false">VLOOKUP($B36,$C$6:$AB$17,T$22+3)-SUM(E36:T36)</f>
        <v>0</v>
      </c>
      <c r="W36" s="128" t="n">
        <f aca="false">$D36*E36</f>
        <v>0</v>
      </c>
      <c r="X36" s="128" t="n">
        <f aca="false">$D36*F36</f>
        <v>31.4290685984886</v>
      </c>
      <c r="Y36" s="128" t="n">
        <f aca="false">$D36*G36</f>
        <v>31.3334111378294</v>
      </c>
      <c r="Z36" s="128" t="n">
        <f aca="false">$D36*H36</f>
        <v>0</v>
      </c>
      <c r="AA36" s="128" t="n">
        <f aca="false">$D36*I36</f>
        <v>0</v>
      </c>
      <c r="AB36" s="128" t="n">
        <f aca="false">$D36*J36</f>
        <v>0</v>
      </c>
      <c r="AC36" s="128" t="n">
        <f aca="false">$D36*K36</f>
        <v>0</v>
      </c>
      <c r="AD36" s="128" t="n">
        <f aca="false">$D36*L36</f>
        <v>0</v>
      </c>
      <c r="AE36" s="128" t="n">
        <f aca="false">$D36*M36</f>
        <v>0</v>
      </c>
      <c r="AF36" s="128" t="n">
        <f aca="false">$D36*N36</f>
        <v>0</v>
      </c>
      <c r="AG36" s="128" t="n">
        <f aca="false">$D36*O36</f>
        <v>0</v>
      </c>
      <c r="AH36" s="128" t="n">
        <f aca="false">$D36*P36</f>
        <v>33.5793499109707</v>
      </c>
      <c r="AI36" s="128" t="n">
        <f aca="false">$D36*Q36</f>
        <v>32.1412646255493</v>
      </c>
      <c r="AJ36" s="128" t="n">
        <f aca="false">$D36*R36</f>
        <v>0</v>
      </c>
      <c r="AK36" s="128" t="n">
        <f aca="false">$D36*S36</f>
        <v>0</v>
      </c>
      <c r="AL36" s="128" t="n">
        <f aca="false">$D36*T36</f>
        <v>0</v>
      </c>
      <c r="AN36" s="129" t="n">
        <f aca="false">SUM(W36:AL36)/4</f>
        <v>32.1207735682095</v>
      </c>
      <c r="AO36" s="130" t="n">
        <f aca="false">D36</f>
        <v>26.1949996948242</v>
      </c>
      <c r="AP36" s="126"/>
      <c r="AQ36" s="126"/>
      <c r="AR36" s="126"/>
    </row>
    <row r="37" customFormat="false" ht="16.5" hidden="false" customHeight="false" outlineLevel="0" collapsed="false">
      <c r="B37" s="116" t="n">
        <f aca="false">MONTH(C37)</f>
        <v>2</v>
      </c>
      <c r="C37" s="125" t="n">
        <f aca="false">PJM_01212000!A21</f>
        <v>36582</v>
      </c>
      <c r="D37" s="126" t="n">
        <f aca="false">PJM_01212000!C21</f>
        <v>18.375</v>
      </c>
      <c r="E37" s="127" t="n">
        <f aca="false">VLOOKUP($B37,$C$6:$Z$17,E$22+1)</f>
        <v>0</v>
      </c>
      <c r="F37" s="127" t="n">
        <f aca="false">VLOOKUP($B37,$C$6:$Z$17,F$22+1)</f>
        <v>1.19981175661928</v>
      </c>
      <c r="G37" s="127" t="n">
        <f aca="false">VLOOKUP($B37,$C$6:$Z$17,G$22+1)</f>
        <v>1.19616001156207</v>
      </c>
      <c r="H37" s="127" t="n">
        <f aca="false">VLOOKUP($B37,$C$6:$Z$17,H$22+1)</f>
        <v>0</v>
      </c>
      <c r="I37" s="127" t="n">
        <f aca="false">VLOOKUP($B37,$C$6:$Z$17,I$22+1)</f>
        <v>0</v>
      </c>
      <c r="J37" s="127" t="n">
        <f aca="false">VLOOKUP($B37,$C$6:$Z$17,J$22+1)</f>
        <v>0</v>
      </c>
      <c r="K37" s="127" t="n">
        <f aca="false">VLOOKUP($B37,$C$6:$Z$17,K$22+1)</f>
        <v>0</v>
      </c>
      <c r="L37" s="127" t="n">
        <f aca="false">VLOOKUP($B37,$C$6:$Z$17,L$22+1)</f>
        <v>0</v>
      </c>
      <c r="M37" s="127" t="n">
        <f aca="false">VLOOKUP($B37,$C$6:$Z$17,M$22+1)</f>
        <v>0</v>
      </c>
      <c r="N37" s="127" t="n">
        <f aca="false">VLOOKUP($B37,$C$6:$Z$17,N$22+1)</f>
        <v>0</v>
      </c>
      <c r="O37" s="127" t="n">
        <f aca="false">VLOOKUP($B37,$C$6:$Z$17,O$22+1)</f>
        <v>0</v>
      </c>
      <c r="P37" s="127" t="n">
        <f aca="false">VLOOKUP($B37,$C$6:$Z$17,P$22+1)</f>
        <v>1.28189922894351</v>
      </c>
      <c r="Q37" s="127" t="n">
        <f aca="false">VLOOKUP($B37,$C$6:$Z$17,Q$22+1)</f>
        <v>1.227</v>
      </c>
      <c r="R37" s="127" t="n">
        <f aca="false">VLOOKUP($B37,$C$6:$Z$17,R$22+1)</f>
        <v>0</v>
      </c>
      <c r="S37" s="127" t="n">
        <f aca="false">VLOOKUP($B37,$C$6:$Z$17,S$22+1)</f>
        <v>0</v>
      </c>
      <c r="T37" s="127" t="n">
        <f aca="false">VLOOKUP($B37,$C$6:$Z$17,T$22+1)</f>
        <v>0</v>
      </c>
      <c r="U37" s="127" t="n">
        <f aca="false">VLOOKUP($B37,$C$6:$AB$17,T$22+3)-SUM(E37:T37)</f>
        <v>0</v>
      </c>
      <c r="W37" s="128" t="n">
        <f aca="false">$D37*E37</f>
        <v>0</v>
      </c>
      <c r="X37" s="128" t="n">
        <f aca="false">$D37*F37</f>
        <v>22.0465410278793</v>
      </c>
      <c r="Y37" s="128" t="n">
        <f aca="false">$D37*G37</f>
        <v>21.9794402124531</v>
      </c>
      <c r="Z37" s="128" t="n">
        <f aca="false">$D37*H37</f>
        <v>0</v>
      </c>
      <c r="AA37" s="128" t="n">
        <f aca="false">$D37*I37</f>
        <v>0</v>
      </c>
      <c r="AB37" s="128" t="n">
        <f aca="false">$D37*J37</f>
        <v>0</v>
      </c>
      <c r="AC37" s="128" t="n">
        <f aca="false">$D37*K37</f>
        <v>0</v>
      </c>
      <c r="AD37" s="128" t="n">
        <f aca="false">$D37*L37</f>
        <v>0</v>
      </c>
      <c r="AE37" s="128" t="n">
        <f aca="false">$D37*M37</f>
        <v>0</v>
      </c>
      <c r="AF37" s="128" t="n">
        <f aca="false">$D37*N37</f>
        <v>0</v>
      </c>
      <c r="AG37" s="128" t="n">
        <f aca="false">$D37*O37</f>
        <v>0</v>
      </c>
      <c r="AH37" s="128" t="n">
        <f aca="false">$D37*P37</f>
        <v>23.554898331837</v>
      </c>
      <c r="AI37" s="128" t="n">
        <f aca="false">$D37*Q37</f>
        <v>22.546125</v>
      </c>
      <c r="AJ37" s="128" t="n">
        <f aca="false">$D37*R37</f>
        <v>0</v>
      </c>
      <c r="AK37" s="128" t="n">
        <f aca="false">$D37*S37</f>
        <v>0</v>
      </c>
      <c r="AL37" s="128" t="n">
        <f aca="false">$D37*T37</f>
        <v>0</v>
      </c>
      <c r="AN37" s="129" t="n">
        <f aca="false">SUM(W37:AL37)/4</f>
        <v>22.5317511430424</v>
      </c>
      <c r="AO37" s="130" t="n">
        <f aca="false">D37</f>
        <v>18.375</v>
      </c>
      <c r="AP37" s="126"/>
      <c r="AQ37" s="126"/>
      <c r="AR37" s="126"/>
    </row>
    <row r="38" customFormat="false" ht="16.5" hidden="false" customHeight="false" outlineLevel="0" collapsed="false">
      <c r="B38" s="116" t="n">
        <f aca="false">MONTH(C38)</f>
        <v>2</v>
      </c>
      <c r="C38" s="125" t="n">
        <f aca="false">PJM_01212000!A22</f>
        <v>36583</v>
      </c>
      <c r="D38" s="126" t="n">
        <f aca="false">PJM_01212000!C22</f>
        <v>18.4750003814697</v>
      </c>
      <c r="E38" s="127" t="n">
        <f aca="false">VLOOKUP($B38,$C$6:$Z$17,E$22+1)</f>
        <v>0</v>
      </c>
      <c r="F38" s="127" t="n">
        <f aca="false">VLOOKUP($B38,$C$6:$Z$17,F$22+1)</f>
        <v>1.19981175661928</v>
      </c>
      <c r="G38" s="127" t="n">
        <f aca="false">VLOOKUP($B38,$C$6:$Z$17,G$22+1)</f>
        <v>1.19616001156207</v>
      </c>
      <c r="H38" s="127" t="n">
        <f aca="false">VLOOKUP($B38,$C$6:$Z$17,H$22+1)</f>
        <v>0</v>
      </c>
      <c r="I38" s="127" t="n">
        <f aca="false">VLOOKUP($B38,$C$6:$Z$17,I$22+1)</f>
        <v>0</v>
      </c>
      <c r="J38" s="127" t="n">
        <f aca="false">VLOOKUP($B38,$C$6:$Z$17,J$22+1)</f>
        <v>0</v>
      </c>
      <c r="K38" s="127" t="n">
        <f aca="false">VLOOKUP($B38,$C$6:$Z$17,K$22+1)</f>
        <v>0</v>
      </c>
      <c r="L38" s="127" t="n">
        <f aca="false">VLOOKUP($B38,$C$6:$Z$17,L$22+1)</f>
        <v>0</v>
      </c>
      <c r="M38" s="127" t="n">
        <f aca="false">VLOOKUP($B38,$C$6:$Z$17,M$22+1)</f>
        <v>0</v>
      </c>
      <c r="N38" s="127" t="n">
        <f aca="false">VLOOKUP($B38,$C$6:$Z$17,N$22+1)</f>
        <v>0</v>
      </c>
      <c r="O38" s="127" t="n">
        <f aca="false">VLOOKUP($B38,$C$6:$Z$17,O$22+1)</f>
        <v>0</v>
      </c>
      <c r="P38" s="127" t="n">
        <f aca="false">VLOOKUP($B38,$C$6:$Z$17,P$22+1)</f>
        <v>1.28189922894351</v>
      </c>
      <c r="Q38" s="127" t="n">
        <f aca="false">VLOOKUP($B38,$C$6:$Z$17,Q$22+1)</f>
        <v>1.227</v>
      </c>
      <c r="R38" s="127" t="n">
        <f aca="false">VLOOKUP($B38,$C$6:$Z$17,R$22+1)</f>
        <v>0</v>
      </c>
      <c r="S38" s="127" t="n">
        <f aca="false">VLOOKUP($B38,$C$6:$Z$17,S$22+1)</f>
        <v>0</v>
      </c>
      <c r="T38" s="127" t="n">
        <f aca="false">VLOOKUP($B38,$C$6:$Z$17,T$22+1)</f>
        <v>0</v>
      </c>
      <c r="U38" s="127" t="n">
        <f aca="false">VLOOKUP($B38,$C$6:$AB$17,T$22+3)-SUM(E38:T38)</f>
        <v>0</v>
      </c>
      <c r="W38" s="128" t="n">
        <f aca="false">$D38*E38</f>
        <v>0</v>
      </c>
      <c r="X38" s="128" t="n">
        <f aca="false">$D38*F38</f>
        <v>22.1665226612331</v>
      </c>
      <c r="Y38" s="128" t="n">
        <f aca="false">$D38*G38</f>
        <v>22.0990566699081</v>
      </c>
      <c r="Z38" s="128" t="n">
        <f aca="false">$D38*H38</f>
        <v>0</v>
      </c>
      <c r="AA38" s="128" t="n">
        <f aca="false">$D38*I38</f>
        <v>0</v>
      </c>
      <c r="AB38" s="128" t="n">
        <f aca="false">$D38*J38</f>
        <v>0</v>
      </c>
      <c r="AC38" s="128" t="n">
        <f aca="false">$D38*K38</f>
        <v>0</v>
      </c>
      <c r="AD38" s="128" t="n">
        <f aca="false">$D38*L38</f>
        <v>0</v>
      </c>
      <c r="AE38" s="128" t="n">
        <f aca="false">$D38*M38</f>
        <v>0</v>
      </c>
      <c r="AF38" s="128" t="n">
        <f aca="false">$D38*N38</f>
        <v>0</v>
      </c>
      <c r="AG38" s="128" t="n">
        <f aca="false">$D38*O38</f>
        <v>0</v>
      </c>
      <c r="AH38" s="128" t="n">
        <f aca="false">$D38*P38</f>
        <v>23.6830887437371</v>
      </c>
      <c r="AI38" s="128" t="n">
        <f aca="false">$D38*Q38</f>
        <v>22.6688254680634</v>
      </c>
      <c r="AJ38" s="128" t="n">
        <f aca="false">$D38*R38</f>
        <v>0</v>
      </c>
      <c r="AK38" s="128" t="n">
        <f aca="false">$D38*S38</f>
        <v>0</v>
      </c>
      <c r="AL38" s="128" t="n">
        <f aca="false">$D38*T38</f>
        <v>0</v>
      </c>
      <c r="AN38" s="129" t="n">
        <f aca="false">SUM(W38:AL38)/4</f>
        <v>22.6543733857354</v>
      </c>
      <c r="AO38" s="130" t="n">
        <f aca="false">D38</f>
        <v>18.4750003814697</v>
      </c>
      <c r="AP38" s="126"/>
      <c r="AQ38" s="126"/>
      <c r="AR38" s="126"/>
    </row>
    <row r="39" customFormat="false" ht="16.5" hidden="false" customHeight="false" outlineLevel="0" collapsed="false">
      <c r="B39" s="116" t="n">
        <f aca="false">MONTH(C39)</f>
        <v>2</v>
      </c>
      <c r="C39" s="125" t="n">
        <f aca="false">PJM_01212000!A23</f>
        <v>36584</v>
      </c>
      <c r="D39" s="126" t="n">
        <f aca="false">PJM_01212000!C23</f>
        <v>26.4750003814697</v>
      </c>
      <c r="E39" s="127" t="n">
        <f aca="false">VLOOKUP($B39,$C$6:$Z$17,E$22+1)</f>
        <v>0</v>
      </c>
      <c r="F39" s="127" t="n">
        <f aca="false">VLOOKUP($B39,$C$6:$Z$17,F$22+1)</f>
        <v>1.19981175661928</v>
      </c>
      <c r="G39" s="127" t="n">
        <f aca="false">VLOOKUP($B39,$C$6:$Z$17,G$22+1)</f>
        <v>1.19616001156207</v>
      </c>
      <c r="H39" s="127" t="n">
        <f aca="false">VLOOKUP($B39,$C$6:$Z$17,H$22+1)</f>
        <v>0</v>
      </c>
      <c r="I39" s="127" t="n">
        <f aca="false">VLOOKUP($B39,$C$6:$Z$17,I$22+1)</f>
        <v>0</v>
      </c>
      <c r="J39" s="127" t="n">
        <f aca="false">VLOOKUP($B39,$C$6:$Z$17,J$22+1)</f>
        <v>0</v>
      </c>
      <c r="K39" s="127" t="n">
        <f aca="false">VLOOKUP($B39,$C$6:$Z$17,K$22+1)</f>
        <v>0</v>
      </c>
      <c r="L39" s="127" t="n">
        <f aca="false">VLOOKUP($B39,$C$6:$Z$17,L$22+1)</f>
        <v>0</v>
      </c>
      <c r="M39" s="127" t="n">
        <f aca="false">VLOOKUP($B39,$C$6:$Z$17,M$22+1)</f>
        <v>0</v>
      </c>
      <c r="N39" s="127" t="n">
        <f aca="false">VLOOKUP($B39,$C$6:$Z$17,N$22+1)</f>
        <v>0</v>
      </c>
      <c r="O39" s="127" t="n">
        <f aca="false">VLOOKUP($B39,$C$6:$Z$17,O$22+1)</f>
        <v>0</v>
      </c>
      <c r="P39" s="127" t="n">
        <f aca="false">VLOOKUP($B39,$C$6:$Z$17,P$22+1)</f>
        <v>1.28189922894351</v>
      </c>
      <c r="Q39" s="127" t="n">
        <f aca="false">VLOOKUP($B39,$C$6:$Z$17,Q$22+1)</f>
        <v>1.227</v>
      </c>
      <c r="R39" s="127" t="n">
        <f aca="false">VLOOKUP($B39,$C$6:$Z$17,R$22+1)</f>
        <v>0</v>
      </c>
      <c r="S39" s="127" t="n">
        <f aca="false">VLOOKUP($B39,$C$6:$Z$17,S$22+1)</f>
        <v>0</v>
      </c>
      <c r="T39" s="127" t="n">
        <f aca="false">VLOOKUP($B39,$C$6:$Z$17,T$22+1)</f>
        <v>0</v>
      </c>
      <c r="U39" s="127" t="n">
        <f aca="false">VLOOKUP($B39,$C$6:$AB$17,T$22+3)-SUM(E39:T39)</f>
        <v>0</v>
      </c>
      <c r="W39" s="128" t="n">
        <f aca="false">$D39*E39</f>
        <v>0</v>
      </c>
      <c r="X39" s="128" t="n">
        <f aca="false">$D39*F39</f>
        <v>31.7650167141874</v>
      </c>
      <c r="Y39" s="128" t="n">
        <f aca="false">$D39*G39</f>
        <v>31.6683367624047</v>
      </c>
      <c r="Z39" s="128" t="n">
        <f aca="false">$D39*H39</f>
        <v>0</v>
      </c>
      <c r="AA39" s="128" t="n">
        <f aca="false">$D39*I39</f>
        <v>0</v>
      </c>
      <c r="AB39" s="128" t="n">
        <f aca="false">$D39*J39</f>
        <v>0</v>
      </c>
      <c r="AC39" s="128" t="n">
        <f aca="false">$D39*K39</f>
        <v>0</v>
      </c>
      <c r="AD39" s="128" t="n">
        <f aca="false">$D39*L39</f>
        <v>0</v>
      </c>
      <c r="AE39" s="128" t="n">
        <f aca="false">$D39*M39</f>
        <v>0</v>
      </c>
      <c r="AF39" s="128" t="n">
        <f aca="false">$D39*N39</f>
        <v>0</v>
      </c>
      <c r="AG39" s="128" t="n">
        <f aca="false">$D39*O39</f>
        <v>0</v>
      </c>
      <c r="AH39" s="128" t="n">
        <f aca="false">$D39*P39</f>
        <v>33.9382825752852</v>
      </c>
      <c r="AI39" s="128" t="n">
        <f aca="false">$D39*Q39</f>
        <v>32.4848254680634</v>
      </c>
      <c r="AJ39" s="128" t="n">
        <f aca="false">$D39*R39</f>
        <v>0</v>
      </c>
      <c r="AK39" s="128" t="n">
        <f aca="false">$D39*S39</f>
        <v>0</v>
      </c>
      <c r="AL39" s="128" t="n">
        <f aca="false">$D39*T39</f>
        <v>0</v>
      </c>
      <c r="AN39" s="129" t="n">
        <f aca="false">SUM(W39:AL39)/4</f>
        <v>32.4641153799852</v>
      </c>
      <c r="AO39" s="130" t="n">
        <f aca="false">D39</f>
        <v>26.4750003814697</v>
      </c>
      <c r="AP39" s="126"/>
      <c r="AQ39" s="126"/>
      <c r="AR39" s="126"/>
    </row>
    <row r="40" customFormat="false" ht="16.5" hidden="false" customHeight="false" outlineLevel="0" collapsed="false">
      <c r="B40" s="116" t="n">
        <f aca="false">MONTH(C40)</f>
        <v>2</v>
      </c>
      <c r="C40" s="125" t="n">
        <f aca="false">PJM_01212000!A24</f>
        <v>36585</v>
      </c>
      <c r="D40" s="126" t="n">
        <f aca="false">PJM_01212000!C24</f>
        <v>26.4750003814697</v>
      </c>
      <c r="E40" s="127" t="n">
        <f aca="false">VLOOKUP($B40,$C$6:$Z$17,E$22+1)</f>
        <v>0</v>
      </c>
      <c r="F40" s="127" t="n">
        <f aca="false">VLOOKUP($B40,$C$6:$Z$17,F$22+1)</f>
        <v>1.19981175661928</v>
      </c>
      <c r="G40" s="127" t="n">
        <f aca="false">VLOOKUP($B40,$C$6:$Z$17,G$22+1)</f>
        <v>1.19616001156207</v>
      </c>
      <c r="H40" s="127" t="n">
        <f aca="false">VLOOKUP($B40,$C$6:$Z$17,H$22+1)</f>
        <v>0</v>
      </c>
      <c r="I40" s="127" t="n">
        <f aca="false">VLOOKUP($B40,$C$6:$Z$17,I$22+1)</f>
        <v>0</v>
      </c>
      <c r="J40" s="127" t="n">
        <f aca="false">VLOOKUP($B40,$C$6:$Z$17,J$22+1)</f>
        <v>0</v>
      </c>
      <c r="K40" s="127" t="n">
        <f aca="false">VLOOKUP($B40,$C$6:$Z$17,K$22+1)</f>
        <v>0</v>
      </c>
      <c r="L40" s="127" t="n">
        <f aca="false">VLOOKUP($B40,$C$6:$Z$17,L$22+1)</f>
        <v>0</v>
      </c>
      <c r="M40" s="127" t="n">
        <f aca="false">VLOOKUP($B40,$C$6:$Z$17,M$22+1)</f>
        <v>0</v>
      </c>
      <c r="N40" s="127" t="n">
        <f aca="false">VLOOKUP($B40,$C$6:$Z$17,N$22+1)</f>
        <v>0</v>
      </c>
      <c r="O40" s="127" t="n">
        <f aca="false">VLOOKUP($B40,$C$6:$Z$17,O$22+1)</f>
        <v>0</v>
      </c>
      <c r="P40" s="127" t="n">
        <f aca="false">VLOOKUP($B40,$C$6:$Z$17,P$22+1)</f>
        <v>1.28189922894351</v>
      </c>
      <c r="Q40" s="127" t="n">
        <f aca="false">VLOOKUP($B40,$C$6:$Z$17,Q$22+1)</f>
        <v>1.227</v>
      </c>
      <c r="R40" s="127" t="n">
        <f aca="false">VLOOKUP($B40,$C$6:$Z$17,R$22+1)</f>
        <v>0</v>
      </c>
      <c r="S40" s="127" t="n">
        <f aca="false">VLOOKUP($B40,$C$6:$Z$17,S$22+1)</f>
        <v>0</v>
      </c>
      <c r="T40" s="127" t="n">
        <f aca="false">VLOOKUP($B40,$C$6:$Z$17,T$22+1)</f>
        <v>0</v>
      </c>
      <c r="U40" s="127" t="n">
        <f aca="false">VLOOKUP($B40,$C$6:$AB$17,T$22+3)-SUM(E40:T40)</f>
        <v>0</v>
      </c>
      <c r="W40" s="128" t="n">
        <f aca="false">$D40*E40</f>
        <v>0</v>
      </c>
      <c r="X40" s="128" t="n">
        <f aca="false">$D40*F40</f>
        <v>31.7650167141874</v>
      </c>
      <c r="Y40" s="128" t="n">
        <f aca="false">$D40*G40</f>
        <v>31.6683367624047</v>
      </c>
      <c r="Z40" s="128" t="n">
        <f aca="false">$D40*H40</f>
        <v>0</v>
      </c>
      <c r="AA40" s="128" t="n">
        <f aca="false">$D40*I40</f>
        <v>0</v>
      </c>
      <c r="AB40" s="128" t="n">
        <f aca="false">$D40*J40</f>
        <v>0</v>
      </c>
      <c r="AC40" s="128" t="n">
        <f aca="false">$D40*K40</f>
        <v>0</v>
      </c>
      <c r="AD40" s="128" t="n">
        <f aca="false">$D40*L40</f>
        <v>0</v>
      </c>
      <c r="AE40" s="128" t="n">
        <f aca="false">$D40*M40</f>
        <v>0</v>
      </c>
      <c r="AF40" s="128" t="n">
        <f aca="false">$D40*N40</f>
        <v>0</v>
      </c>
      <c r="AG40" s="128" t="n">
        <f aca="false">$D40*O40</f>
        <v>0</v>
      </c>
      <c r="AH40" s="128" t="n">
        <f aca="false">$D40*P40</f>
        <v>33.9382825752852</v>
      </c>
      <c r="AI40" s="128" t="n">
        <f aca="false">$D40*Q40</f>
        <v>32.4848254680634</v>
      </c>
      <c r="AJ40" s="128" t="n">
        <f aca="false">$D40*R40</f>
        <v>0</v>
      </c>
      <c r="AK40" s="128" t="n">
        <f aca="false">$D40*S40</f>
        <v>0</v>
      </c>
      <c r="AL40" s="128" t="n">
        <f aca="false">$D40*T40</f>
        <v>0</v>
      </c>
      <c r="AN40" s="129" t="n">
        <f aca="false">SUM(W40:AL40)/4</f>
        <v>32.4641153799852</v>
      </c>
      <c r="AO40" s="130" t="n">
        <f aca="false">D40</f>
        <v>26.4750003814697</v>
      </c>
      <c r="AP40" s="126"/>
      <c r="AQ40" s="126"/>
      <c r="AR40" s="126"/>
    </row>
    <row r="41" customFormat="false" ht="16.5" hidden="false" customHeight="false" outlineLevel="0" collapsed="false">
      <c r="B41" s="116" t="n">
        <f aca="false">MONTH(C41)</f>
        <v>3</v>
      </c>
      <c r="C41" s="125" t="n">
        <f aca="false">PJM_01212000!A25</f>
        <v>36586</v>
      </c>
      <c r="D41" s="126" t="n">
        <f aca="false">PJM_01212000!C25</f>
        <v>25.6499996185303</v>
      </c>
      <c r="E41" s="127" t="n">
        <f aca="false">VLOOKUP($B41,$C$6:$Z$17,E$22+1)</f>
        <v>0</v>
      </c>
      <c r="F41" s="127" t="n">
        <f aca="false">VLOOKUP($B41,$C$6:$Z$17,F$22+1)</f>
        <v>1.1898</v>
      </c>
      <c r="G41" s="127" t="n">
        <f aca="false">VLOOKUP($B41,$C$6:$Z$17,G$22+1)</f>
        <v>1.1862</v>
      </c>
      <c r="H41" s="127" t="n">
        <f aca="false">VLOOKUP($B41,$C$6:$Z$17,H$22+1)</f>
        <v>0</v>
      </c>
      <c r="I41" s="127" t="n">
        <f aca="false">VLOOKUP($B41,$C$6:$Z$17,I$22+1)</f>
        <v>0</v>
      </c>
      <c r="J41" s="127" t="n">
        <f aca="false">VLOOKUP($B41,$C$6:$Z$17,J$22+1)</f>
        <v>0</v>
      </c>
      <c r="K41" s="127" t="n">
        <f aca="false">VLOOKUP($B41,$C$6:$Z$17,K$22+1)</f>
        <v>0</v>
      </c>
      <c r="L41" s="127" t="n">
        <f aca="false">VLOOKUP($B41,$C$6:$Z$17,L$22+1)</f>
        <v>0</v>
      </c>
      <c r="M41" s="127" t="n">
        <f aca="false">VLOOKUP($B41,$C$6:$Z$17,M$22+1)</f>
        <v>0</v>
      </c>
      <c r="N41" s="127" t="n">
        <f aca="false">VLOOKUP($B41,$C$6:$Z$17,N$22+1)</f>
        <v>0</v>
      </c>
      <c r="O41" s="127" t="n">
        <f aca="false">VLOOKUP($B41,$C$6:$Z$17,O$22+1)</f>
        <v>0</v>
      </c>
      <c r="P41" s="127" t="n">
        <f aca="false">VLOOKUP($B41,$C$6:$Z$17,P$22+1)</f>
        <v>1.2719</v>
      </c>
      <c r="Q41" s="127" t="n">
        <f aca="false">VLOOKUP($B41,$C$6:$Z$17,Q$22+1)</f>
        <v>1.217</v>
      </c>
      <c r="R41" s="127" t="n">
        <f aca="false">VLOOKUP($B41,$C$6:$Z$17,R$22+1)</f>
        <v>0</v>
      </c>
      <c r="S41" s="127" t="n">
        <f aca="false">VLOOKUP($B41,$C$6:$Z$17,S$22+1)</f>
        <v>0</v>
      </c>
      <c r="T41" s="127" t="n">
        <f aca="false">VLOOKUP($B41,$C$6:$Z$17,T$22+1)</f>
        <v>0</v>
      </c>
      <c r="U41" s="127" t="n">
        <f aca="false">VLOOKUP($B41,$C$6:$AB$17,T$22+3)-SUM(E41:T41)</f>
        <v>0</v>
      </c>
      <c r="W41" s="128" t="n">
        <f aca="false">$D41*E41</f>
        <v>0</v>
      </c>
      <c r="X41" s="128" t="n">
        <f aca="false">$D41*F41</f>
        <v>30.5183695461273</v>
      </c>
      <c r="Y41" s="128" t="n">
        <f aca="false">$D41*G41</f>
        <v>30.4260295475006</v>
      </c>
      <c r="Z41" s="128" t="n">
        <f aca="false">$D41*H41</f>
        <v>0</v>
      </c>
      <c r="AA41" s="128" t="n">
        <f aca="false">$D41*I41</f>
        <v>0</v>
      </c>
      <c r="AB41" s="128" t="n">
        <f aca="false">$D41*J41</f>
        <v>0</v>
      </c>
      <c r="AC41" s="128" t="n">
        <f aca="false">$D41*K41</f>
        <v>0</v>
      </c>
      <c r="AD41" s="128" t="n">
        <f aca="false">$D41*L41</f>
        <v>0</v>
      </c>
      <c r="AE41" s="128" t="n">
        <f aca="false">$D41*M41</f>
        <v>0</v>
      </c>
      <c r="AF41" s="128" t="n">
        <f aca="false">$D41*N41</f>
        <v>0</v>
      </c>
      <c r="AG41" s="128" t="n">
        <f aca="false">$D41*O41</f>
        <v>0</v>
      </c>
      <c r="AH41" s="128" t="n">
        <f aca="false">$D41*P41</f>
        <v>32.6242345148087</v>
      </c>
      <c r="AI41" s="128" t="n">
        <f aca="false">$D41*Q41</f>
        <v>31.2160495357513</v>
      </c>
      <c r="AJ41" s="128" t="n">
        <f aca="false">$D41*R41</f>
        <v>0</v>
      </c>
      <c r="AK41" s="128" t="n">
        <f aca="false">$D41*S41</f>
        <v>0</v>
      </c>
      <c r="AL41" s="128" t="n">
        <f aca="false">$D41*T41</f>
        <v>0</v>
      </c>
      <c r="AN41" s="129" t="n">
        <f aca="false">SUM(W41:AL41)/4</f>
        <v>31.196170786047</v>
      </c>
      <c r="AO41" s="130" t="n">
        <f aca="false">D41</f>
        <v>25.6499996185303</v>
      </c>
      <c r="AP41" s="126"/>
      <c r="AQ41" s="126"/>
      <c r="AR41" s="126"/>
    </row>
    <row r="42" customFormat="false" ht="16.5" hidden="false" customHeight="false" outlineLevel="0" collapsed="false">
      <c r="B42" s="116" t="n">
        <f aca="false">MONTH(C42)</f>
        <v>3</v>
      </c>
      <c r="C42" s="125" t="n">
        <f aca="false">PJM_01212000!A26</f>
        <v>36587</v>
      </c>
      <c r="D42" s="126" t="n">
        <f aca="false">PJM_01212000!C26</f>
        <v>25.6499996185303</v>
      </c>
      <c r="E42" s="127" t="n">
        <f aca="false">VLOOKUP($B42,$C$6:$Z$17,E$22+1)</f>
        <v>0</v>
      </c>
      <c r="F42" s="127" t="n">
        <f aca="false">VLOOKUP($B42,$C$6:$Z$17,F$22+1)</f>
        <v>1.1898</v>
      </c>
      <c r="G42" s="127" t="n">
        <f aca="false">VLOOKUP($B42,$C$6:$Z$17,G$22+1)</f>
        <v>1.1862</v>
      </c>
      <c r="H42" s="127" t="n">
        <f aca="false">VLOOKUP($B42,$C$6:$Z$17,H$22+1)</f>
        <v>0</v>
      </c>
      <c r="I42" s="127" t="n">
        <f aca="false">VLOOKUP($B42,$C$6:$Z$17,I$22+1)</f>
        <v>0</v>
      </c>
      <c r="J42" s="127" t="n">
        <f aca="false">VLOOKUP($B42,$C$6:$Z$17,J$22+1)</f>
        <v>0</v>
      </c>
      <c r="K42" s="127" t="n">
        <f aca="false">VLOOKUP($B42,$C$6:$Z$17,K$22+1)</f>
        <v>0</v>
      </c>
      <c r="L42" s="127" t="n">
        <f aca="false">VLOOKUP($B42,$C$6:$Z$17,L$22+1)</f>
        <v>0</v>
      </c>
      <c r="M42" s="127" t="n">
        <f aca="false">VLOOKUP($B42,$C$6:$Z$17,M$22+1)</f>
        <v>0</v>
      </c>
      <c r="N42" s="127" t="n">
        <f aca="false">VLOOKUP($B42,$C$6:$Z$17,N$22+1)</f>
        <v>0</v>
      </c>
      <c r="O42" s="127" t="n">
        <f aca="false">VLOOKUP($B42,$C$6:$Z$17,O$22+1)</f>
        <v>0</v>
      </c>
      <c r="P42" s="127" t="n">
        <f aca="false">VLOOKUP($B42,$C$6:$Z$17,P$22+1)</f>
        <v>1.2719</v>
      </c>
      <c r="Q42" s="127" t="n">
        <f aca="false">VLOOKUP($B42,$C$6:$Z$17,Q$22+1)</f>
        <v>1.217</v>
      </c>
      <c r="R42" s="127" t="n">
        <f aca="false">VLOOKUP($B42,$C$6:$Z$17,R$22+1)</f>
        <v>0</v>
      </c>
      <c r="S42" s="127" t="n">
        <f aca="false">VLOOKUP($B42,$C$6:$Z$17,S$22+1)</f>
        <v>0</v>
      </c>
      <c r="T42" s="127" t="n">
        <f aca="false">VLOOKUP($B42,$C$6:$Z$17,T$22+1)</f>
        <v>0</v>
      </c>
      <c r="U42" s="127" t="n">
        <f aca="false">VLOOKUP($B42,$C$6:$AB$17,T$22+3)-SUM(E42:T42)</f>
        <v>0</v>
      </c>
      <c r="W42" s="128" t="n">
        <f aca="false">$D42*E42</f>
        <v>0</v>
      </c>
      <c r="X42" s="128" t="n">
        <f aca="false">$D42*F42</f>
        <v>30.5183695461273</v>
      </c>
      <c r="Y42" s="128" t="n">
        <f aca="false">$D42*G42</f>
        <v>30.4260295475006</v>
      </c>
      <c r="Z42" s="128" t="n">
        <f aca="false">$D42*H42</f>
        <v>0</v>
      </c>
      <c r="AA42" s="128" t="n">
        <f aca="false">$D42*I42</f>
        <v>0</v>
      </c>
      <c r="AB42" s="128" t="n">
        <f aca="false">$D42*J42</f>
        <v>0</v>
      </c>
      <c r="AC42" s="128" t="n">
        <f aca="false">$D42*K42</f>
        <v>0</v>
      </c>
      <c r="AD42" s="128" t="n">
        <f aca="false">$D42*L42</f>
        <v>0</v>
      </c>
      <c r="AE42" s="128" t="n">
        <f aca="false">$D42*M42</f>
        <v>0</v>
      </c>
      <c r="AF42" s="128" t="n">
        <f aca="false">$D42*N42</f>
        <v>0</v>
      </c>
      <c r="AG42" s="128" t="n">
        <f aca="false">$D42*O42</f>
        <v>0</v>
      </c>
      <c r="AH42" s="128" t="n">
        <f aca="false">$D42*P42</f>
        <v>32.6242345148087</v>
      </c>
      <c r="AI42" s="128" t="n">
        <f aca="false">$D42*Q42</f>
        <v>31.2160495357513</v>
      </c>
      <c r="AJ42" s="128" t="n">
        <f aca="false">$D42*R42</f>
        <v>0</v>
      </c>
      <c r="AK42" s="128" t="n">
        <f aca="false">$D42*S42</f>
        <v>0</v>
      </c>
      <c r="AL42" s="128" t="n">
        <f aca="false">$D42*T42</f>
        <v>0</v>
      </c>
      <c r="AN42" s="129" t="n">
        <f aca="false">SUM(W42:AL42)/4</f>
        <v>31.196170786047</v>
      </c>
      <c r="AO42" s="130" t="n">
        <f aca="false">D42</f>
        <v>25.6499996185303</v>
      </c>
    </row>
    <row r="43" customFormat="false" ht="16.5" hidden="false" customHeight="false" outlineLevel="0" collapsed="false">
      <c r="B43" s="116" t="n">
        <f aca="false">MONTH(C43)</f>
        <v>3</v>
      </c>
      <c r="C43" s="125" t="n">
        <f aca="false">PJM_01212000!A27</f>
        <v>36588</v>
      </c>
      <c r="D43" s="126" t="n">
        <f aca="false">PJM_01212000!C27</f>
        <v>25.6499996185303</v>
      </c>
      <c r="E43" s="127" t="n">
        <f aca="false">VLOOKUP($B43,$C$6:$Z$17,E$22+1)</f>
        <v>0</v>
      </c>
      <c r="F43" s="127" t="n">
        <f aca="false">VLOOKUP($B43,$C$6:$Z$17,F$22+1)</f>
        <v>1.1898</v>
      </c>
      <c r="G43" s="127" t="n">
        <f aca="false">VLOOKUP($B43,$C$6:$Z$17,G$22+1)</f>
        <v>1.1862</v>
      </c>
      <c r="H43" s="127" t="n">
        <f aca="false">VLOOKUP($B43,$C$6:$Z$17,H$22+1)</f>
        <v>0</v>
      </c>
      <c r="I43" s="127" t="n">
        <f aca="false">VLOOKUP($B43,$C$6:$Z$17,I$22+1)</f>
        <v>0</v>
      </c>
      <c r="J43" s="127" t="n">
        <f aca="false">VLOOKUP($B43,$C$6:$Z$17,J$22+1)</f>
        <v>0</v>
      </c>
      <c r="K43" s="127" t="n">
        <f aca="false">VLOOKUP($B43,$C$6:$Z$17,K$22+1)</f>
        <v>0</v>
      </c>
      <c r="L43" s="127" t="n">
        <f aca="false">VLOOKUP($B43,$C$6:$Z$17,L$22+1)</f>
        <v>0</v>
      </c>
      <c r="M43" s="127" t="n">
        <f aca="false">VLOOKUP($B43,$C$6:$Z$17,M$22+1)</f>
        <v>0</v>
      </c>
      <c r="N43" s="127" t="n">
        <f aca="false">VLOOKUP($B43,$C$6:$Z$17,N$22+1)</f>
        <v>0</v>
      </c>
      <c r="O43" s="127" t="n">
        <f aca="false">VLOOKUP($B43,$C$6:$Z$17,O$22+1)</f>
        <v>0</v>
      </c>
      <c r="P43" s="127" t="n">
        <f aca="false">VLOOKUP($B43,$C$6:$Z$17,P$22+1)</f>
        <v>1.2719</v>
      </c>
      <c r="Q43" s="127" t="n">
        <f aca="false">VLOOKUP($B43,$C$6:$Z$17,Q$22+1)</f>
        <v>1.217</v>
      </c>
      <c r="R43" s="127" t="n">
        <f aca="false">VLOOKUP($B43,$C$6:$Z$17,R$22+1)</f>
        <v>0</v>
      </c>
      <c r="S43" s="127" t="n">
        <f aca="false">VLOOKUP($B43,$C$6:$Z$17,S$22+1)</f>
        <v>0</v>
      </c>
      <c r="T43" s="127" t="n">
        <f aca="false">VLOOKUP($B43,$C$6:$Z$17,T$22+1)</f>
        <v>0</v>
      </c>
      <c r="U43" s="127" t="n">
        <f aca="false">VLOOKUP($B43,$C$6:$AB$17,T$22+3)-SUM(E43:T43)</f>
        <v>0</v>
      </c>
      <c r="W43" s="128" t="n">
        <f aca="false">$D43*E43</f>
        <v>0</v>
      </c>
      <c r="X43" s="128" t="n">
        <f aca="false">$D43*F43</f>
        <v>30.5183695461273</v>
      </c>
      <c r="Y43" s="128" t="n">
        <f aca="false">$D43*G43</f>
        <v>30.4260295475006</v>
      </c>
      <c r="Z43" s="128" t="n">
        <f aca="false">$D43*H43</f>
        <v>0</v>
      </c>
      <c r="AA43" s="128" t="n">
        <f aca="false">$D43*I43</f>
        <v>0</v>
      </c>
      <c r="AB43" s="128" t="n">
        <f aca="false">$D43*J43</f>
        <v>0</v>
      </c>
      <c r="AC43" s="128" t="n">
        <f aca="false">$D43*K43</f>
        <v>0</v>
      </c>
      <c r="AD43" s="128" t="n">
        <f aca="false">$D43*L43</f>
        <v>0</v>
      </c>
      <c r="AE43" s="128" t="n">
        <f aca="false">$D43*M43</f>
        <v>0</v>
      </c>
      <c r="AF43" s="128" t="n">
        <f aca="false">$D43*N43</f>
        <v>0</v>
      </c>
      <c r="AG43" s="128" t="n">
        <f aca="false">$D43*O43</f>
        <v>0</v>
      </c>
      <c r="AH43" s="128" t="n">
        <f aca="false">$D43*P43</f>
        <v>32.6242345148087</v>
      </c>
      <c r="AI43" s="128" t="n">
        <f aca="false">$D43*Q43</f>
        <v>31.2160495357513</v>
      </c>
      <c r="AJ43" s="128" t="n">
        <f aca="false">$D43*R43</f>
        <v>0</v>
      </c>
      <c r="AK43" s="128" t="n">
        <f aca="false">$D43*S43</f>
        <v>0</v>
      </c>
      <c r="AL43" s="128" t="n">
        <f aca="false">$D43*T43</f>
        <v>0</v>
      </c>
      <c r="AN43" s="129" t="n">
        <f aca="false">SUM(W43:AL43)/4</f>
        <v>31.196170786047</v>
      </c>
      <c r="AO43" s="130" t="n">
        <f aca="false">D43</f>
        <v>25.6499996185303</v>
      </c>
    </row>
    <row r="44" customFormat="false" ht="16.5" hidden="false" customHeight="false" outlineLevel="0" collapsed="false">
      <c r="B44" s="116" t="n">
        <f aca="false">MONTH(C44)</f>
        <v>3</v>
      </c>
      <c r="C44" s="125" t="n">
        <f aca="false">PJM_01212000!A28</f>
        <v>36589</v>
      </c>
      <c r="D44" s="126" t="n">
        <f aca="false">PJM_01212000!C28</f>
        <v>17</v>
      </c>
      <c r="E44" s="127" t="n">
        <f aca="false">VLOOKUP($B44,$C$6:$Z$17,E$22+1)</f>
        <v>0</v>
      </c>
      <c r="F44" s="127" t="n">
        <f aca="false">VLOOKUP($B44,$C$6:$Z$17,F$22+1)</f>
        <v>1.1898</v>
      </c>
      <c r="G44" s="127" t="n">
        <f aca="false">VLOOKUP($B44,$C$6:$Z$17,G$22+1)</f>
        <v>1.1862</v>
      </c>
      <c r="H44" s="127" t="n">
        <f aca="false">VLOOKUP($B44,$C$6:$Z$17,H$22+1)</f>
        <v>0</v>
      </c>
      <c r="I44" s="127" t="n">
        <f aca="false">VLOOKUP($B44,$C$6:$Z$17,I$22+1)</f>
        <v>0</v>
      </c>
      <c r="J44" s="127" t="n">
        <f aca="false">VLOOKUP($B44,$C$6:$Z$17,J$22+1)</f>
        <v>0</v>
      </c>
      <c r="K44" s="127" t="n">
        <f aca="false">VLOOKUP($B44,$C$6:$Z$17,K$22+1)</f>
        <v>0</v>
      </c>
      <c r="L44" s="127" t="n">
        <f aca="false">VLOOKUP($B44,$C$6:$Z$17,L$22+1)</f>
        <v>0</v>
      </c>
      <c r="M44" s="127" t="n">
        <f aca="false">VLOOKUP($B44,$C$6:$Z$17,M$22+1)</f>
        <v>0</v>
      </c>
      <c r="N44" s="127" t="n">
        <f aca="false">VLOOKUP($B44,$C$6:$Z$17,N$22+1)</f>
        <v>0</v>
      </c>
      <c r="O44" s="127" t="n">
        <f aca="false">VLOOKUP($B44,$C$6:$Z$17,O$22+1)</f>
        <v>0</v>
      </c>
      <c r="P44" s="127" t="n">
        <f aca="false">VLOOKUP($B44,$C$6:$Z$17,P$22+1)</f>
        <v>1.2719</v>
      </c>
      <c r="Q44" s="127" t="n">
        <f aca="false">VLOOKUP($B44,$C$6:$Z$17,Q$22+1)</f>
        <v>1.217</v>
      </c>
      <c r="R44" s="127" t="n">
        <f aca="false">VLOOKUP($B44,$C$6:$Z$17,R$22+1)</f>
        <v>0</v>
      </c>
      <c r="S44" s="127" t="n">
        <f aca="false">VLOOKUP($B44,$C$6:$Z$17,S$22+1)</f>
        <v>0</v>
      </c>
      <c r="T44" s="127" t="n">
        <f aca="false">VLOOKUP($B44,$C$6:$Z$17,T$22+1)</f>
        <v>0</v>
      </c>
      <c r="U44" s="127" t="n">
        <f aca="false">VLOOKUP($B44,$C$6:$AB$17,T$22+3)-SUM(E44:T44)</f>
        <v>0</v>
      </c>
      <c r="W44" s="128" t="n">
        <f aca="false">$D44*E44</f>
        <v>0</v>
      </c>
      <c r="X44" s="128" t="n">
        <f aca="false">$D44*F44</f>
        <v>20.2266</v>
      </c>
      <c r="Y44" s="128" t="n">
        <f aca="false">$D44*G44</f>
        <v>20.1654</v>
      </c>
      <c r="Z44" s="128" t="n">
        <f aca="false">$D44*H44</f>
        <v>0</v>
      </c>
      <c r="AA44" s="128" t="n">
        <f aca="false">$D44*I44</f>
        <v>0</v>
      </c>
      <c r="AB44" s="128" t="n">
        <f aca="false">$D44*J44</f>
        <v>0</v>
      </c>
      <c r="AC44" s="128" t="n">
        <f aca="false">$D44*K44</f>
        <v>0</v>
      </c>
      <c r="AD44" s="128" t="n">
        <f aca="false">$D44*L44</f>
        <v>0</v>
      </c>
      <c r="AE44" s="128" t="n">
        <f aca="false">$D44*M44</f>
        <v>0</v>
      </c>
      <c r="AF44" s="128" t="n">
        <f aca="false">$D44*N44</f>
        <v>0</v>
      </c>
      <c r="AG44" s="128" t="n">
        <f aca="false">$D44*O44</f>
        <v>0</v>
      </c>
      <c r="AH44" s="128" t="n">
        <f aca="false">$D44*P44</f>
        <v>21.6223</v>
      </c>
      <c r="AI44" s="128" t="n">
        <f aca="false">$D44*Q44</f>
        <v>20.689</v>
      </c>
      <c r="AJ44" s="128" t="n">
        <f aca="false">$D44*R44</f>
        <v>0</v>
      </c>
      <c r="AK44" s="128" t="n">
        <f aca="false">$D44*S44</f>
        <v>0</v>
      </c>
      <c r="AL44" s="128" t="n">
        <f aca="false">$D44*T44</f>
        <v>0</v>
      </c>
      <c r="AN44" s="129" t="n">
        <f aca="false">SUM(W44:AL44)/4</f>
        <v>20.675825</v>
      </c>
      <c r="AO44" s="130" t="n">
        <f aca="false">D44</f>
        <v>17</v>
      </c>
    </row>
    <row r="45" customFormat="false" ht="16.5" hidden="false" customHeight="false" outlineLevel="0" collapsed="false">
      <c r="B45" s="116" t="n">
        <f aca="false">MONTH(C45)</f>
        <v>3</v>
      </c>
      <c r="C45" s="125" t="n">
        <f aca="false">PJM_01212000!A29</f>
        <v>36590</v>
      </c>
      <c r="D45" s="126" t="n">
        <f aca="false">PJM_01212000!C29</f>
        <v>17</v>
      </c>
      <c r="E45" s="127" t="n">
        <f aca="false">VLOOKUP($B45,$C$6:$Z$17,E$22+1)</f>
        <v>0</v>
      </c>
      <c r="F45" s="127" t="n">
        <f aca="false">VLOOKUP($B45,$C$6:$Z$17,F$22+1)</f>
        <v>1.1898</v>
      </c>
      <c r="G45" s="127" t="n">
        <f aca="false">VLOOKUP($B45,$C$6:$Z$17,G$22+1)</f>
        <v>1.1862</v>
      </c>
      <c r="H45" s="127" t="n">
        <f aca="false">VLOOKUP($B45,$C$6:$Z$17,H$22+1)</f>
        <v>0</v>
      </c>
      <c r="I45" s="127" t="n">
        <f aca="false">VLOOKUP($B45,$C$6:$Z$17,I$22+1)</f>
        <v>0</v>
      </c>
      <c r="J45" s="127" t="n">
        <f aca="false">VLOOKUP($B45,$C$6:$Z$17,J$22+1)</f>
        <v>0</v>
      </c>
      <c r="K45" s="127" t="n">
        <f aca="false">VLOOKUP($B45,$C$6:$Z$17,K$22+1)</f>
        <v>0</v>
      </c>
      <c r="L45" s="127" t="n">
        <f aca="false">VLOOKUP($B45,$C$6:$Z$17,L$22+1)</f>
        <v>0</v>
      </c>
      <c r="M45" s="127" t="n">
        <f aca="false">VLOOKUP($B45,$C$6:$Z$17,M$22+1)</f>
        <v>0</v>
      </c>
      <c r="N45" s="127" t="n">
        <f aca="false">VLOOKUP($B45,$C$6:$Z$17,N$22+1)</f>
        <v>0</v>
      </c>
      <c r="O45" s="127" t="n">
        <f aca="false">VLOOKUP($B45,$C$6:$Z$17,O$22+1)</f>
        <v>0</v>
      </c>
      <c r="P45" s="127" t="n">
        <f aca="false">VLOOKUP($B45,$C$6:$Z$17,P$22+1)</f>
        <v>1.2719</v>
      </c>
      <c r="Q45" s="127" t="n">
        <f aca="false">VLOOKUP($B45,$C$6:$Z$17,Q$22+1)</f>
        <v>1.217</v>
      </c>
      <c r="R45" s="127" t="n">
        <f aca="false">VLOOKUP($B45,$C$6:$Z$17,R$22+1)</f>
        <v>0</v>
      </c>
      <c r="S45" s="127" t="n">
        <f aca="false">VLOOKUP($B45,$C$6:$Z$17,S$22+1)</f>
        <v>0</v>
      </c>
      <c r="T45" s="127" t="n">
        <f aca="false">VLOOKUP($B45,$C$6:$Z$17,T$22+1)</f>
        <v>0</v>
      </c>
      <c r="U45" s="127" t="n">
        <f aca="false">VLOOKUP($B45,$C$6:$AB$17,T$22+3)-SUM(E45:T45)</f>
        <v>0</v>
      </c>
      <c r="W45" s="128" t="n">
        <f aca="false">$D45*E45</f>
        <v>0</v>
      </c>
      <c r="X45" s="128" t="n">
        <f aca="false">$D45*F45</f>
        <v>20.2266</v>
      </c>
      <c r="Y45" s="128" t="n">
        <f aca="false">$D45*G45</f>
        <v>20.1654</v>
      </c>
      <c r="Z45" s="128" t="n">
        <f aca="false">$D45*H45</f>
        <v>0</v>
      </c>
      <c r="AA45" s="128" t="n">
        <f aca="false">$D45*I45</f>
        <v>0</v>
      </c>
      <c r="AB45" s="128" t="n">
        <f aca="false">$D45*J45</f>
        <v>0</v>
      </c>
      <c r="AC45" s="128" t="n">
        <f aca="false">$D45*K45</f>
        <v>0</v>
      </c>
      <c r="AD45" s="128" t="n">
        <f aca="false">$D45*L45</f>
        <v>0</v>
      </c>
      <c r="AE45" s="128" t="n">
        <f aca="false">$D45*M45</f>
        <v>0</v>
      </c>
      <c r="AF45" s="128" t="n">
        <f aca="false">$D45*N45</f>
        <v>0</v>
      </c>
      <c r="AG45" s="128" t="n">
        <f aca="false">$D45*O45</f>
        <v>0</v>
      </c>
      <c r="AH45" s="128" t="n">
        <f aca="false">$D45*P45</f>
        <v>21.6223</v>
      </c>
      <c r="AI45" s="128" t="n">
        <f aca="false">$D45*Q45</f>
        <v>20.689</v>
      </c>
      <c r="AJ45" s="128" t="n">
        <f aca="false">$D45*R45</f>
        <v>0</v>
      </c>
      <c r="AK45" s="128" t="n">
        <f aca="false">$D45*S45</f>
        <v>0</v>
      </c>
      <c r="AL45" s="128" t="n">
        <f aca="false">$D45*T45</f>
        <v>0</v>
      </c>
      <c r="AN45" s="129" t="n">
        <f aca="false">SUM(W45:AL45)/4</f>
        <v>20.675825</v>
      </c>
      <c r="AO45" s="130" t="n">
        <f aca="false">D45</f>
        <v>17</v>
      </c>
    </row>
    <row r="46" customFormat="false" ht="16.5" hidden="false" customHeight="false" outlineLevel="0" collapsed="false">
      <c r="B46" s="116" t="n">
        <f aca="false">MONTH(C46)</f>
        <v>3</v>
      </c>
      <c r="C46" s="125" t="n">
        <f aca="false">PJM_01212000!A30</f>
        <v>36591</v>
      </c>
      <c r="D46" s="126" t="n">
        <f aca="false">PJM_01212000!C30</f>
        <v>25.6499996185303</v>
      </c>
      <c r="E46" s="127" t="n">
        <f aca="false">VLOOKUP($B46,$C$6:$Z$17,E$22+1)</f>
        <v>0</v>
      </c>
      <c r="F46" s="127" t="n">
        <f aca="false">VLOOKUP($B46,$C$6:$Z$17,F$22+1)</f>
        <v>1.1898</v>
      </c>
      <c r="G46" s="127" t="n">
        <f aca="false">VLOOKUP($B46,$C$6:$Z$17,G$22+1)</f>
        <v>1.1862</v>
      </c>
      <c r="H46" s="127" t="n">
        <f aca="false">VLOOKUP($B46,$C$6:$Z$17,H$22+1)</f>
        <v>0</v>
      </c>
      <c r="I46" s="127" t="n">
        <f aca="false">VLOOKUP($B46,$C$6:$Z$17,I$22+1)</f>
        <v>0</v>
      </c>
      <c r="J46" s="127" t="n">
        <f aca="false">VLOOKUP($B46,$C$6:$Z$17,J$22+1)</f>
        <v>0</v>
      </c>
      <c r="K46" s="127" t="n">
        <f aca="false">VLOOKUP($B46,$C$6:$Z$17,K$22+1)</f>
        <v>0</v>
      </c>
      <c r="L46" s="127" t="n">
        <f aca="false">VLOOKUP($B46,$C$6:$Z$17,L$22+1)</f>
        <v>0</v>
      </c>
      <c r="M46" s="127" t="n">
        <f aca="false">VLOOKUP($B46,$C$6:$Z$17,M$22+1)</f>
        <v>0</v>
      </c>
      <c r="N46" s="127" t="n">
        <f aca="false">VLOOKUP($B46,$C$6:$Z$17,N$22+1)</f>
        <v>0</v>
      </c>
      <c r="O46" s="127" t="n">
        <f aca="false">VLOOKUP($B46,$C$6:$Z$17,O$22+1)</f>
        <v>0</v>
      </c>
      <c r="P46" s="127" t="n">
        <f aca="false">VLOOKUP($B46,$C$6:$Z$17,P$22+1)</f>
        <v>1.2719</v>
      </c>
      <c r="Q46" s="127" t="n">
        <f aca="false">VLOOKUP($B46,$C$6:$Z$17,Q$22+1)</f>
        <v>1.217</v>
      </c>
      <c r="R46" s="127" t="n">
        <f aca="false">VLOOKUP($B46,$C$6:$Z$17,R$22+1)</f>
        <v>0</v>
      </c>
      <c r="S46" s="127" t="n">
        <f aca="false">VLOOKUP($B46,$C$6:$Z$17,S$22+1)</f>
        <v>0</v>
      </c>
      <c r="T46" s="127" t="n">
        <f aca="false">VLOOKUP($B46,$C$6:$Z$17,T$22+1)</f>
        <v>0</v>
      </c>
      <c r="U46" s="127" t="n">
        <f aca="false">VLOOKUP($B46,$C$6:$AB$17,T$22+3)-SUM(E46:T46)</f>
        <v>0</v>
      </c>
      <c r="W46" s="128" t="n">
        <f aca="false">$D46*E46</f>
        <v>0</v>
      </c>
      <c r="X46" s="128" t="n">
        <f aca="false">$D46*F46</f>
        <v>30.5183695461273</v>
      </c>
      <c r="Y46" s="128" t="n">
        <f aca="false">$D46*G46</f>
        <v>30.4260295475006</v>
      </c>
      <c r="Z46" s="128" t="n">
        <f aca="false">$D46*H46</f>
        <v>0</v>
      </c>
      <c r="AA46" s="128" t="n">
        <f aca="false">$D46*I46</f>
        <v>0</v>
      </c>
      <c r="AB46" s="128" t="n">
        <f aca="false">$D46*J46</f>
        <v>0</v>
      </c>
      <c r="AC46" s="128" t="n">
        <f aca="false">$D46*K46</f>
        <v>0</v>
      </c>
      <c r="AD46" s="128" t="n">
        <f aca="false">$D46*L46</f>
        <v>0</v>
      </c>
      <c r="AE46" s="128" t="n">
        <f aca="false">$D46*M46</f>
        <v>0</v>
      </c>
      <c r="AF46" s="128" t="n">
        <f aca="false">$D46*N46</f>
        <v>0</v>
      </c>
      <c r="AG46" s="128" t="n">
        <f aca="false">$D46*O46</f>
        <v>0</v>
      </c>
      <c r="AH46" s="128" t="n">
        <f aca="false">$D46*P46</f>
        <v>32.6242345148087</v>
      </c>
      <c r="AI46" s="128" t="n">
        <f aca="false">$D46*Q46</f>
        <v>31.2160495357513</v>
      </c>
      <c r="AJ46" s="128" t="n">
        <f aca="false">$D46*R46</f>
        <v>0</v>
      </c>
      <c r="AK46" s="128" t="n">
        <f aca="false">$D46*S46</f>
        <v>0</v>
      </c>
      <c r="AL46" s="128" t="n">
        <f aca="false">$D46*T46</f>
        <v>0</v>
      </c>
      <c r="AN46" s="129" t="n">
        <f aca="false">SUM(W46:AL46)/4</f>
        <v>31.196170786047</v>
      </c>
      <c r="AO46" s="130" t="n">
        <f aca="false">D46</f>
        <v>25.6499996185303</v>
      </c>
    </row>
    <row r="47" customFormat="false" ht="16.5" hidden="false" customHeight="false" outlineLevel="0" collapsed="false">
      <c r="B47" s="116" t="n">
        <f aca="false">MONTH(C47)</f>
        <v>3</v>
      </c>
      <c r="C47" s="125" t="n">
        <f aca="false">PJM_01212000!A31</f>
        <v>36592</v>
      </c>
      <c r="D47" s="126" t="n">
        <f aca="false">PJM_01212000!C31</f>
        <v>25.6499996185303</v>
      </c>
      <c r="E47" s="127" t="n">
        <f aca="false">VLOOKUP($B47,$C$6:$Z$17,E$22+1)</f>
        <v>0</v>
      </c>
      <c r="F47" s="127" t="n">
        <f aca="false">VLOOKUP($B47,$C$6:$Z$17,F$22+1)</f>
        <v>1.1898</v>
      </c>
      <c r="G47" s="127" t="n">
        <f aca="false">VLOOKUP($B47,$C$6:$Z$17,G$22+1)</f>
        <v>1.1862</v>
      </c>
      <c r="H47" s="127" t="n">
        <f aca="false">VLOOKUP($B47,$C$6:$Z$17,H$22+1)</f>
        <v>0</v>
      </c>
      <c r="I47" s="127" t="n">
        <f aca="false">VLOOKUP($B47,$C$6:$Z$17,I$22+1)</f>
        <v>0</v>
      </c>
      <c r="J47" s="127" t="n">
        <f aca="false">VLOOKUP($B47,$C$6:$Z$17,J$22+1)</f>
        <v>0</v>
      </c>
      <c r="K47" s="127" t="n">
        <f aca="false">VLOOKUP($B47,$C$6:$Z$17,K$22+1)</f>
        <v>0</v>
      </c>
      <c r="L47" s="127" t="n">
        <f aca="false">VLOOKUP($B47,$C$6:$Z$17,L$22+1)</f>
        <v>0</v>
      </c>
      <c r="M47" s="127" t="n">
        <f aca="false">VLOOKUP($B47,$C$6:$Z$17,M$22+1)</f>
        <v>0</v>
      </c>
      <c r="N47" s="127" t="n">
        <f aca="false">VLOOKUP($B47,$C$6:$Z$17,N$22+1)</f>
        <v>0</v>
      </c>
      <c r="O47" s="127" t="n">
        <f aca="false">VLOOKUP($B47,$C$6:$Z$17,O$22+1)</f>
        <v>0</v>
      </c>
      <c r="P47" s="127" t="n">
        <f aca="false">VLOOKUP($B47,$C$6:$Z$17,P$22+1)</f>
        <v>1.2719</v>
      </c>
      <c r="Q47" s="127" t="n">
        <f aca="false">VLOOKUP($B47,$C$6:$Z$17,Q$22+1)</f>
        <v>1.217</v>
      </c>
      <c r="R47" s="127" t="n">
        <f aca="false">VLOOKUP($B47,$C$6:$Z$17,R$22+1)</f>
        <v>0</v>
      </c>
      <c r="S47" s="127" t="n">
        <f aca="false">VLOOKUP($B47,$C$6:$Z$17,S$22+1)</f>
        <v>0</v>
      </c>
      <c r="T47" s="127" t="n">
        <f aca="false">VLOOKUP($B47,$C$6:$Z$17,T$22+1)</f>
        <v>0</v>
      </c>
      <c r="U47" s="127" t="n">
        <f aca="false">VLOOKUP($B47,$C$6:$AB$17,T$22+3)-SUM(E47:T47)</f>
        <v>0</v>
      </c>
      <c r="W47" s="128" t="n">
        <f aca="false">$D47*E47</f>
        <v>0</v>
      </c>
      <c r="X47" s="128" t="n">
        <f aca="false">$D47*F47</f>
        <v>30.5183695461273</v>
      </c>
      <c r="Y47" s="128" t="n">
        <f aca="false">$D47*G47</f>
        <v>30.4260295475006</v>
      </c>
      <c r="Z47" s="128" t="n">
        <f aca="false">$D47*H47</f>
        <v>0</v>
      </c>
      <c r="AA47" s="128" t="n">
        <f aca="false">$D47*I47</f>
        <v>0</v>
      </c>
      <c r="AB47" s="128" t="n">
        <f aca="false">$D47*J47</f>
        <v>0</v>
      </c>
      <c r="AC47" s="128" t="n">
        <f aca="false">$D47*K47</f>
        <v>0</v>
      </c>
      <c r="AD47" s="128" t="n">
        <f aca="false">$D47*L47</f>
        <v>0</v>
      </c>
      <c r="AE47" s="128" t="n">
        <f aca="false">$D47*M47</f>
        <v>0</v>
      </c>
      <c r="AF47" s="128" t="n">
        <f aca="false">$D47*N47</f>
        <v>0</v>
      </c>
      <c r="AG47" s="128" t="n">
        <f aca="false">$D47*O47</f>
        <v>0</v>
      </c>
      <c r="AH47" s="128" t="n">
        <f aca="false">$D47*P47</f>
        <v>32.6242345148087</v>
      </c>
      <c r="AI47" s="128" t="n">
        <f aca="false">$D47*Q47</f>
        <v>31.2160495357513</v>
      </c>
      <c r="AJ47" s="128" t="n">
        <f aca="false">$D47*R47</f>
        <v>0</v>
      </c>
      <c r="AK47" s="128" t="n">
        <f aca="false">$D47*S47</f>
        <v>0</v>
      </c>
      <c r="AL47" s="128" t="n">
        <f aca="false">$D47*T47</f>
        <v>0</v>
      </c>
      <c r="AN47" s="129" t="n">
        <f aca="false">SUM(W47:AL47)/4</f>
        <v>31.196170786047</v>
      </c>
      <c r="AO47" s="130" t="n">
        <f aca="false">D47</f>
        <v>25.6499996185303</v>
      </c>
    </row>
    <row r="48" customFormat="false" ht="16.5" hidden="false" customHeight="false" outlineLevel="0" collapsed="false">
      <c r="B48" s="116" t="n">
        <f aca="false">MONTH(C48)</f>
        <v>3</v>
      </c>
      <c r="C48" s="125" t="n">
        <f aca="false">PJM_01212000!A32</f>
        <v>36593</v>
      </c>
      <c r="D48" s="126" t="n">
        <f aca="false">PJM_01212000!C32</f>
        <v>25.6499996185303</v>
      </c>
      <c r="E48" s="127" t="n">
        <f aca="false">VLOOKUP($B48,$C$6:$Z$17,E$22+1)</f>
        <v>0</v>
      </c>
      <c r="F48" s="127" t="n">
        <f aca="false">VLOOKUP($B48,$C$6:$Z$17,F$22+1)</f>
        <v>1.1898</v>
      </c>
      <c r="G48" s="127" t="n">
        <f aca="false">VLOOKUP($B48,$C$6:$Z$17,G$22+1)</f>
        <v>1.1862</v>
      </c>
      <c r="H48" s="127" t="n">
        <f aca="false">VLOOKUP($B48,$C$6:$Z$17,H$22+1)</f>
        <v>0</v>
      </c>
      <c r="I48" s="127" t="n">
        <f aca="false">VLOOKUP($B48,$C$6:$Z$17,I$22+1)</f>
        <v>0</v>
      </c>
      <c r="J48" s="127" t="n">
        <f aca="false">VLOOKUP($B48,$C$6:$Z$17,J$22+1)</f>
        <v>0</v>
      </c>
      <c r="K48" s="127" t="n">
        <f aca="false">VLOOKUP($B48,$C$6:$Z$17,K$22+1)</f>
        <v>0</v>
      </c>
      <c r="L48" s="127" t="n">
        <f aca="false">VLOOKUP($B48,$C$6:$Z$17,L$22+1)</f>
        <v>0</v>
      </c>
      <c r="M48" s="127" t="n">
        <f aca="false">VLOOKUP($B48,$C$6:$Z$17,M$22+1)</f>
        <v>0</v>
      </c>
      <c r="N48" s="127" t="n">
        <f aca="false">VLOOKUP($B48,$C$6:$Z$17,N$22+1)</f>
        <v>0</v>
      </c>
      <c r="O48" s="127" t="n">
        <f aca="false">VLOOKUP($B48,$C$6:$Z$17,O$22+1)</f>
        <v>0</v>
      </c>
      <c r="P48" s="127" t="n">
        <f aca="false">VLOOKUP($B48,$C$6:$Z$17,P$22+1)</f>
        <v>1.2719</v>
      </c>
      <c r="Q48" s="127" t="n">
        <f aca="false">VLOOKUP($B48,$C$6:$Z$17,Q$22+1)</f>
        <v>1.217</v>
      </c>
      <c r="R48" s="127" t="n">
        <f aca="false">VLOOKUP($B48,$C$6:$Z$17,R$22+1)</f>
        <v>0</v>
      </c>
      <c r="S48" s="127" t="n">
        <f aca="false">VLOOKUP($B48,$C$6:$Z$17,S$22+1)</f>
        <v>0</v>
      </c>
      <c r="T48" s="127" t="n">
        <f aca="false">VLOOKUP($B48,$C$6:$Z$17,T$22+1)</f>
        <v>0</v>
      </c>
      <c r="U48" s="127" t="n">
        <f aca="false">VLOOKUP($B48,$C$6:$AB$17,T$22+3)-SUM(E48:T48)</f>
        <v>0</v>
      </c>
      <c r="W48" s="128" t="n">
        <f aca="false">$D48*E48</f>
        <v>0</v>
      </c>
      <c r="X48" s="128" t="n">
        <f aca="false">$D48*F48</f>
        <v>30.5183695461273</v>
      </c>
      <c r="Y48" s="128" t="n">
        <f aca="false">$D48*G48</f>
        <v>30.4260295475006</v>
      </c>
      <c r="Z48" s="128" t="n">
        <f aca="false">$D48*H48</f>
        <v>0</v>
      </c>
      <c r="AA48" s="128" t="n">
        <f aca="false">$D48*I48</f>
        <v>0</v>
      </c>
      <c r="AB48" s="128" t="n">
        <f aca="false">$D48*J48</f>
        <v>0</v>
      </c>
      <c r="AC48" s="128" t="n">
        <f aca="false">$D48*K48</f>
        <v>0</v>
      </c>
      <c r="AD48" s="128" t="n">
        <f aca="false">$D48*L48</f>
        <v>0</v>
      </c>
      <c r="AE48" s="128" t="n">
        <f aca="false">$D48*M48</f>
        <v>0</v>
      </c>
      <c r="AF48" s="128" t="n">
        <f aca="false">$D48*N48</f>
        <v>0</v>
      </c>
      <c r="AG48" s="128" t="n">
        <f aca="false">$D48*O48</f>
        <v>0</v>
      </c>
      <c r="AH48" s="128" t="n">
        <f aca="false">$D48*P48</f>
        <v>32.6242345148087</v>
      </c>
      <c r="AI48" s="128" t="n">
        <f aca="false">$D48*Q48</f>
        <v>31.2160495357513</v>
      </c>
      <c r="AJ48" s="128" t="n">
        <f aca="false">$D48*R48</f>
        <v>0</v>
      </c>
      <c r="AK48" s="128" t="n">
        <f aca="false">$D48*S48</f>
        <v>0</v>
      </c>
      <c r="AL48" s="128" t="n">
        <f aca="false">$D48*T48</f>
        <v>0</v>
      </c>
      <c r="AN48" s="129" t="n">
        <f aca="false">SUM(W48:AL48)/4</f>
        <v>31.196170786047</v>
      </c>
      <c r="AO48" s="130" t="n">
        <f aca="false">D48</f>
        <v>25.6499996185303</v>
      </c>
    </row>
    <row r="49" customFormat="false" ht="16.5" hidden="false" customHeight="false" outlineLevel="0" collapsed="false">
      <c r="B49" s="116" t="n">
        <f aca="false">MONTH(C49)</f>
        <v>3</v>
      </c>
      <c r="C49" s="125" t="n">
        <f aca="false">PJM_01212000!A33</f>
        <v>36594</v>
      </c>
      <c r="D49" s="126" t="n">
        <f aca="false">PJM_01212000!C33</f>
        <v>25.6499996185303</v>
      </c>
      <c r="E49" s="127" t="n">
        <f aca="false">VLOOKUP($B49,$C$6:$Z$17,E$22+1)</f>
        <v>0</v>
      </c>
      <c r="F49" s="127" t="n">
        <f aca="false">VLOOKUP($B49,$C$6:$Z$17,F$22+1)</f>
        <v>1.1898</v>
      </c>
      <c r="G49" s="127" t="n">
        <f aca="false">VLOOKUP($B49,$C$6:$Z$17,G$22+1)</f>
        <v>1.1862</v>
      </c>
      <c r="H49" s="127" t="n">
        <f aca="false">VLOOKUP($B49,$C$6:$Z$17,H$22+1)</f>
        <v>0</v>
      </c>
      <c r="I49" s="127" t="n">
        <f aca="false">VLOOKUP($B49,$C$6:$Z$17,I$22+1)</f>
        <v>0</v>
      </c>
      <c r="J49" s="127" t="n">
        <f aca="false">VLOOKUP($B49,$C$6:$Z$17,J$22+1)</f>
        <v>0</v>
      </c>
      <c r="K49" s="127" t="n">
        <f aca="false">VLOOKUP($B49,$C$6:$Z$17,K$22+1)</f>
        <v>0</v>
      </c>
      <c r="L49" s="127" t="n">
        <f aca="false">VLOOKUP($B49,$C$6:$Z$17,L$22+1)</f>
        <v>0</v>
      </c>
      <c r="M49" s="127" t="n">
        <f aca="false">VLOOKUP($B49,$C$6:$Z$17,M$22+1)</f>
        <v>0</v>
      </c>
      <c r="N49" s="127" t="n">
        <f aca="false">VLOOKUP($B49,$C$6:$Z$17,N$22+1)</f>
        <v>0</v>
      </c>
      <c r="O49" s="127" t="n">
        <f aca="false">VLOOKUP($B49,$C$6:$Z$17,O$22+1)</f>
        <v>0</v>
      </c>
      <c r="P49" s="127" t="n">
        <f aca="false">VLOOKUP($B49,$C$6:$Z$17,P$22+1)</f>
        <v>1.2719</v>
      </c>
      <c r="Q49" s="127" t="n">
        <f aca="false">VLOOKUP($B49,$C$6:$Z$17,Q$22+1)</f>
        <v>1.217</v>
      </c>
      <c r="R49" s="127" t="n">
        <f aca="false">VLOOKUP($B49,$C$6:$Z$17,R$22+1)</f>
        <v>0</v>
      </c>
      <c r="S49" s="127" t="n">
        <f aca="false">VLOOKUP($B49,$C$6:$Z$17,S$22+1)</f>
        <v>0</v>
      </c>
      <c r="T49" s="127" t="n">
        <f aca="false">VLOOKUP($B49,$C$6:$Z$17,T$22+1)</f>
        <v>0</v>
      </c>
      <c r="U49" s="127" t="n">
        <f aca="false">VLOOKUP($B49,$C$6:$AB$17,T$22+3)-SUM(E49:T49)</f>
        <v>0</v>
      </c>
      <c r="W49" s="128" t="n">
        <f aca="false">$D49*E49</f>
        <v>0</v>
      </c>
      <c r="X49" s="128" t="n">
        <f aca="false">$D49*F49</f>
        <v>30.5183695461273</v>
      </c>
      <c r="Y49" s="128" t="n">
        <f aca="false">$D49*G49</f>
        <v>30.4260295475006</v>
      </c>
      <c r="Z49" s="128" t="n">
        <f aca="false">$D49*H49</f>
        <v>0</v>
      </c>
      <c r="AA49" s="128" t="n">
        <f aca="false">$D49*I49</f>
        <v>0</v>
      </c>
      <c r="AB49" s="128" t="n">
        <f aca="false">$D49*J49</f>
        <v>0</v>
      </c>
      <c r="AC49" s="128" t="n">
        <f aca="false">$D49*K49</f>
        <v>0</v>
      </c>
      <c r="AD49" s="128" t="n">
        <f aca="false">$D49*L49</f>
        <v>0</v>
      </c>
      <c r="AE49" s="128" t="n">
        <f aca="false">$D49*M49</f>
        <v>0</v>
      </c>
      <c r="AF49" s="128" t="n">
        <f aca="false">$D49*N49</f>
        <v>0</v>
      </c>
      <c r="AG49" s="128" t="n">
        <f aca="false">$D49*O49</f>
        <v>0</v>
      </c>
      <c r="AH49" s="128" t="n">
        <f aca="false">$D49*P49</f>
        <v>32.6242345148087</v>
      </c>
      <c r="AI49" s="128" t="n">
        <f aca="false">$D49*Q49</f>
        <v>31.2160495357513</v>
      </c>
      <c r="AJ49" s="128" t="n">
        <f aca="false">$D49*R49</f>
        <v>0</v>
      </c>
      <c r="AK49" s="128" t="n">
        <f aca="false">$D49*S49</f>
        <v>0</v>
      </c>
      <c r="AL49" s="128" t="n">
        <f aca="false">$D49*T49</f>
        <v>0</v>
      </c>
      <c r="AN49" s="129" t="n">
        <f aca="false">SUM(W49:AL49)/4</f>
        <v>31.196170786047</v>
      </c>
      <c r="AO49" s="130" t="n">
        <f aca="false">D49</f>
        <v>25.6499996185303</v>
      </c>
    </row>
    <row r="50" customFormat="false" ht="16.5" hidden="false" customHeight="false" outlineLevel="0" collapsed="false">
      <c r="B50" s="116" t="n">
        <f aca="false">MONTH(C50)</f>
        <v>3</v>
      </c>
      <c r="C50" s="125" t="n">
        <f aca="false">PJM_01212000!A34</f>
        <v>36595</v>
      </c>
      <c r="D50" s="126" t="n">
        <f aca="false">PJM_01212000!C34</f>
        <v>25.6499996185303</v>
      </c>
      <c r="E50" s="127" t="n">
        <f aca="false">VLOOKUP($B50,$C$6:$Z$17,E$22+1)</f>
        <v>0</v>
      </c>
      <c r="F50" s="127" t="n">
        <f aca="false">VLOOKUP($B50,$C$6:$Z$17,F$22+1)</f>
        <v>1.1898</v>
      </c>
      <c r="G50" s="127" t="n">
        <f aca="false">VLOOKUP($B50,$C$6:$Z$17,G$22+1)</f>
        <v>1.1862</v>
      </c>
      <c r="H50" s="127" t="n">
        <f aca="false">VLOOKUP($B50,$C$6:$Z$17,H$22+1)</f>
        <v>0</v>
      </c>
      <c r="I50" s="127" t="n">
        <f aca="false">VLOOKUP($B50,$C$6:$Z$17,I$22+1)</f>
        <v>0</v>
      </c>
      <c r="J50" s="127" t="n">
        <f aca="false">VLOOKUP($B50,$C$6:$Z$17,J$22+1)</f>
        <v>0</v>
      </c>
      <c r="K50" s="127" t="n">
        <f aca="false">VLOOKUP($B50,$C$6:$Z$17,K$22+1)</f>
        <v>0</v>
      </c>
      <c r="L50" s="127" t="n">
        <f aca="false">VLOOKUP($B50,$C$6:$Z$17,L$22+1)</f>
        <v>0</v>
      </c>
      <c r="M50" s="127" t="n">
        <f aca="false">VLOOKUP($B50,$C$6:$Z$17,M$22+1)</f>
        <v>0</v>
      </c>
      <c r="N50" s="127" t="n">
        <f aca="false">VLOOKUP($B50,$C$6:$Z$17,N$22+1)</f>
        <v>0</v>
      </c>
      <c r="O50" s="127" t="n">
        <f aca="false">VLOOKUP($B50,$C$6:$Z$17,O$22+1)</f>
        <v>0</v>
      </c>
      <c r="P50" s="127" t="n">
        <f aca="false">VLOOKUP($B50,$C$6:$Z$17,P$22+1)</f>
        <v>1.2719</v>
      </c>
      <c r="Q50" s="127" t="n">
        <f aca="false">VLOOKUP($B50,$C$6:$Z$17,Q$22+1)</f>
        <v>1.217</v>
      </c>
      <c r="R50" s="127" t="n">
        <f aca="false">VLOOKUP($B50,$C$6:$Z$17,R$22+1)</f>
        <v>0</v>
      </c>
      <c r="S50" s="127" t="n">
        <f aca="false">VLOOKUP($B50,$C$6:$Z$17,S$22+1)</f>
        <v>0</v>
      </c>
      <c r="T50" s="127" t="n">
        <f aca="false">VLOOKUP($B50,$C$6:$Z$17,T$22+1)</f>
        <v>0</v>
      </c>
      <c r="U50" s="127" t="n">
        <f aca="false">VLOOKUP($B50,$C$6:$AB$17,T$22+3)-SUM(E50:T50)</f>
        <v>0</v>
      </c>
      <c r="W50" s="128" t="n">
        <f aca="false">$D50*E50</f>
        <v>0</v>
      </c>
      <c r="X50" s="128" t="n">
        <f aca="false">$D50*F50</f>
        <v>30.5183695461273</v>
      </c>
      <c r="Y50" s="128" t="n">
        <f aca="false">$D50*G50</f>
        <v>30.4260295475006</v>
      </c>
      <c r="Z50" s="128" t="n">
        <f aca="false">$D50*H50</f>
        <v>0</v>
      </c>
      <c r="AA50" s="128" t="n">
        <f aca="false">$D50*I50</f>
        <v>0</v>
      </c>
      <c r="AB50" s="128" t="n">
        <f aca="false">$D50*J50</f>
        <v>0</v>
      </c>
      <c r="AC50" s="128" t="n">
        <f aca="false">$D50*K50</f>
        <v>0</v>
      </c>
      <c r="AD50" s="128" t="n">
        <f aca="false">$D50*L50</f>
        <v>0</v>
      </c>
      <c r="AE50" s="128" t="n">
        <f aca="false">$D50*M50</f>
        <v>0</v>
      </c>
      <c r="AF50" s="128" t="n">
        <f aca="false">$D50*N50</f>
        <v>0</v>
      </c>
      <c r="AG50" s="128" t="n">
        <f aca="false">$D50*O50</f>
        <v>0</v>
      </c>
      <c r="AH50" s="128" t="n">
        <f aca="false">$D50*P50</f>
        <v>32.6242345148087</v>
      </c>
      <c r="AI50" s="128" t="n">
        <f aca="false">$D50*Q50</f>
        <v>31.2160495357513</v>
      </c>
      <c r="AJ50" s="128" t="n">
        <f aca="false">$D50*R50</f>
        <v>0</v>
      </c>
      <c r="AK50" s="128" t="n">
        <f aca="false">$D50*S50</f>
        <v>0</v>
      </c>
      <c r="AL50" s="128" t="n">
        <f aca="false">$D50*T50</f>
        <v>0</v>
      </c>
      <c r="AN50" s="129" t="n">
        <f aca="false">SUM(W50:AL50)/4</f>
        <v>31.196170786047</v>
      </c>
      <c r="AO50" s="130" t="n">
        <f aca="false">D50</f>
        <v>25.6499996185303</v>
      </c>
    </row>
    <row r="51" customFormat="false" ht="16.5" hidden="false" customHeight="false" outlineLevel="0" collapsed="false">
      <c r="B51" s="116" t="n">
        <f aca="false">MONTH(C51)</f>
        <v>3</v>
      </c>
      <c r="C51" s="125" t="n">
        <f aca="false">PJM_01212000!A35</f>
        <v>36596</v>
      </c>
      <c r="D51" s="126" t="n">
        <f aca="false">PJM_01212000!C35</f>
        <v>17</v>
      </c>
      <c r="E51" s="127" t="n">
        <f aca="false">VLOOKUP($B51,$C$6:$Z$17,E$22+1)</f>
        <v>0</v>
      </c>
      <c r="F51" s="127" t="n">
        <f aca="false">VLOOKUP($B51,$C$6:$Z$17,F$22+1)</f>
        <v>1.1898</v>
      </c>
      <c r="G51" s="127" t="n">
        <f aca="false">VLOOKUP($B51,$C$6:$Z$17,G$22+1)</f>
        <v>1.1862</v>
      </c>
      <c r="H51" s="127" t="n">
        <f aca="false">VLOOKUP($B51,$C$6:$Z$17,H$22+1)</f>
        <v>0</v>
      </c>
      <c r="I51" s="127" t="n">
        <f aca="false">VLOOKUP($B51,$C$6:$Z$17,I$22+1)</f>
        <v>0</v>
      </c>
      <c r="J51" s="127" t="n">
        <f aca="false">VLOOKUP($B51,$C$6:$Z$17,J$22+1)</f>
        <v>0</v>
      </c>
      <c r="K51" s="127" t="n">
        <f aca="false">VLOOKUP($B51,$C$6:$Z$17,K$22+1)</f>
        <v>0</v>
      </c>
      <c r="L51" s="127" t="n">
        <f aca="false">VLOOKUP($B51,$C$6:$Z$17,L$22+1)</f>
        <v>0</v>
      </c>
      <c r="M51" s="127" t="n">
        <f aca="false">VLOOKUP($B51,$C$6:$Z$17,M$22+1)</f>
        <v>0</v>
      </c>
      <c r="N51" s="127" t="n">
        <f aca="false">VLOOKUP($B51,$C$6:$Z$17,N$22+1)</f>
        <v>0</v>
      </c>
      <c r="O51" s="127" t="n">
        <f aca="false">VLOOKUP($B51,$C$6:$Z$17,O$22+1)</f>
        <v>0</v>
      </c>
      <c r="P51" s="127" t="n">
        <f aca="false">VLOOKUP($B51,$C$6:$Z$17,P$22+1)</f>
        <v>1.2719</v>
      </c>
      <c r="Q51" s="127" t="n">
        <f aca="false">VLOOKUP($B51,$C$6:$Z$17,Q$22+1)</f>
        <v>1.217</v>
      </c>
      <c r="R51" s="127" t="n">
        <f aca="false">VLOOKUP($B51,$C$6:$Z$17,R$22+1)</f>
        <v>0</v>
      </c>
      <c r="S51" s="127" t="n">
        <f aca="false">VLOOKUP($B51,$C$6:$Z$17,S$22+1)</f>
        <v>0</v>
      </c>
      <c r="T51" s="127" t="n">
        <f aca="false">VLOOKUP($B51,$C$6:$Z$17,T$22+1)</f>
        <v>0</v>
      </c>
      <c r="U51" s="127" t="n">
        <f aca="false">VLOOKUP($B51,$C$6:$AB$17,T$22+3)-SUM(E51:T51)</f>
        <v>0</v>
      </c>
      <c r="W51" s="128" t="n">
        <f aca="false">$D51*E51</f>
        <v>0</v>
      </c>
      <c r="X51" s="128" t="n">
        <f aca="false">$D51*F51</f>
        <v>20.2266</v>
      </c>
      <c r="Y51" s="128" t="n">
        <f aca="false">$D51*G51</f>
        <v>20.1654</v>
      </c>
      <c r="Z51" s="128" t="n">
        <f aca="false">$D51*H51</f>
        <v>0</v>
      </c>
      <c r="AA51" s="128" t="n">
        <f aca="false">$D51*I51</f>
        <v>0</v>
      </c>
      <c r="AB51" s="128" t="n">
        <f aca="false">$D51*J51</f>
        <v>0</v>
      </c>
      <c r="AC51" s="128" t="n">
        <f aca="false">$D51*K51</f>
        <v>0</v>
      </c>
      <c r="AD51" s="128" t="n">
        <f aca="false">$D51*L51</f>
        <v>0</v>
      </c>
      <c r="AE51" s="128" t="n">
        <f aca="false">$D51*M51</f>
        <v>0</v>
      </c>
      <c r="AF51" s="128" t="n">
        <f aca="false">$D51*N51</f>
        <v>0</v>
      </c>
      <c r="AG51" s="128" t="n">
        <f aca="false">$D51*O51</f>
        <v>0</v>
      </c>
      <c r="AH51" s="128" t="n">
        <f aca="false">$D51*P51</f>
        <v>21.6223</v>
      </c>
      <c r="AI51" s="128" t="n">
        <f aca="false">$D51*Q51</f>
        <v>20.689</v>
      </c>
      <c r="AJ51" s="128" t="n">
        <f aca="false">$D51*R51</f>
        <v>0</v>
      </c>
      <c r="AK51" s="128" t="n">
        <f aca="false">$D51*S51</f>
        <v>0</v>
      </c>
      <c r="AL51" s="128" t="n">
        <f aca="false">$D51*T51</f>
        <v>0</v>
      </c>
      <c r="AN51" s="129" t="n">
        <f aca="false">SUM(W51:AL51)/4</f>
        <v>20.675825</v>
      </c>
      <c r="AO51" s="130" t="n">
        <f aca="false">D51</f>
        <v>17</v>
      </c>
    </row>
    <row r="52" customFormat="false" ht="16.5" hidden="false" customHeight="false" outlineLevel="0" collapsed="false">
      <c r="B52" s="116" t="n">
        <f aca="false">MONTH(C52)</f>
        <v>3</v>
      </c>
      <c r="C52" s="125" t="n">
        <f aca="false">PJM_01212000!A36</f>
        <v>36597</v>
      </c>
      <c r="D52" s="126" t="n">
        <f aca="false">PJM_01212000!C36</f>
        <v>17</v>
      </c>
      <c r="E52" s="127" t="n">
        <f aca="false">VLOOKUP($B52,$C$6:$Z$17,E$22+1)</f>
        <v>0</v>
      </c>
      <c r="F52" s="127" t="n">
        <f aca="false">VLOOKUP($B52,$C$6:$Z$17,F$22+1)</f>
        <v>1.1898</v>
      </c>
      <c r="G52" s="127" t="n">
        <f aca="false">VLOOKUP($B52,$C$6:$Z$17,G$22+1)</f>
        <v>1.1862</v>
      </c>
      <c r="H52" s="127" t="n">
        <f aca="false">VLOOKUP($B52,$C$6:$Z$17,H$22+1)</f>
        <v>0</v>
      </c>
      <c r="I52" s="127" t="n">
        <f aca="false">VLOOKUP($B52,$C$6:$Z$17,I$22+1)</f>
        <v>0</v>
      </c>
      <c r="J52" s="127" t="n">
        <f aca="false">VLOOKUP($B52,$C$6:$Z$17,J$22+1)</f>
        <v>0</v>
      </c>
      <c r="K52" s="127" t="n">
        <f aca="false">VLOOKUP($B52,$C$6:$Z$17,K$22+1)</f>
        <v>0</v>
      </c>
      <c r="L52" s="127" t="n">
        <f aca="false">VLOOKUP($B52,$C$6:$Z$17,L$22+1)</f>
        <v>0</v>
      </c>
      <c r="M52" s="127" t="n">
        <f aca="false">VLOOKUP($B52,$C$6:$Z$17,M$22+1)</f>
        <v>0</v>
      </c>
      <c r="N52" s="127" t="n">
        <f aca="false">VLOOKUP($B52,$C$6:$Z$17,N$22+1)</f>
        <v>0</v>
      </c>
      <c r="O52" s="127" t="n">
        <f aca="false">VLOOKUP($B52,$C$6:$Z$17,O$22+1)</f>
        <v>0</v>
      </c>
      <c r="P52" s="127" t="n">
        <f aca="false">VLOOKUP($B52,$C$6:$Z$17,P$22+1)</f>
        <v>1.2719</v>
      </c>
      <c r="Q52" s="127" t="n">
        <f aca="false">VLOOKUP($B52,$C$6:$Z$17,Q$22+1)</f>
        <v>1.217</v>
      </c>
      <c r="R52" s="127" t="n">
        <f aca="false">VLOOKUP($B52,$C$6:$Z$17,R$22+1)</f>
        <v>0</v>
      </c>
      <c r="S52" s="127" t="n">
        <f aca="false">VLOOKUP($B52,$C$6:$Z$17,S$22+1)</f>
        <v>0</v>
      </c>
      <c r="T52" s="127" t="n">
        <f aca="false">VLOOKUP($B52,$C$6:$Z$17,T$22+1)</f>
        <v>0</v>
      </c>
      <c r="U52" s="127" t="n">
        <f aca="false">VLOOKUP($B52,$C$6:$AB$17,T$22+3)-SUM(E52:T52)</f>
        <v>0</v>
      </c>
      <c r="W52" s="128" t="n">
        <f aca="false">$D52*E52</f>
        <v>0</v>
      </c>
      <c r="X52" s="128" t="n">
        <f aca="false">$D52*F52</f>
        <v>20.2266</v>
      </c>
      <c r="Y52" s="128" t="n">
        <f aca="false">$D52*G52</f>
        <v>20.1654</v>
      </c>
      <c r="Z52" s="128" t="n">
        <f aca="false">$D52*H52</f>
        <v>0</v>
      </c>
      <c r="AA52" s="128" t="n">
        <f aca="false">$D52*I52</f>
        <v>0</v>
      </c>
      <c r="AB52" s="128" t="n">
        <f aca="false">$D52*J52</f>
        <v>0</v>
      </c>
      <c r="AC52" s="128" t="n">
        <f aca="false">$D52*K52</f>
        <v>0</v>
      </c>
      <c r="AD52" s="128" t="n">
        <f aca="false">$D52*L52</f>
        <v>0</v>
      </c>
      <c r="AE52" s="128" t="n">
        <f aca="false">$D52*M52</f>
        <v>0</v>
      </c>
      <c r="AF52" s="128" t="n">
        <f aca="false">$D52*N52</f>
        <v>0</v>
      </c>
      <c r="AG52" s="128" t="n">
        <f aca="false">$D52*O52</f>
        <v>0</v>
      </c>
      <c r="AH52" s="128" t="n">
        <f aca="false">$D52*P52</f>
        <v>21.6223</v>
      </c>
      <c r="AI52" s="128" t="n">
        <f aca="false">$D52*Q52</f>
        <v>20.689</v>
      </c>
      <c r="AJ52" s="128" t="n">
        <f aca="false">$D52*R52</f>
        <v>0</v>
      </c>
      <c r="AK52" s="128" t="n">
        <f aca="false">$D52*S52</f>
        <v>0</v>
      </c>
      <c r="AL52" s="128" t="n">
        <f aca="false">$D52*T52</f>
        <v>0</v>
      </c>
      <c r="AN52" s="129" t="n">
        <f aca="false">SUM(W52:AL52)/4</f>
        <v>20.675825</v>
      </c>
      <c r="AO52" s="130" t="n">
        <f aca="false">D52</f>
        <v>17</v>
      </c>
    </row>
    <row r="53" customFormat="false" ht="16.5" hidden="false" customHeight="false" outlineLevel="0" collapsed="false">
      <c r="B53" s="116" t="n">
        <f aca="false">MONTH(C53)</f>
        <v>3</v>
      </c>
      <c r="C53" s="125" t="n">
        <f aca="false">PJM_01212000!A37</f>
        <v>36598</v>
      </c>
      <c r="D53" s="126" t="n">
        <f aca="false">PJM_01212000!C37</f>
        <v>24.6499996185303</v>
      </c>
      <c r="E53" s="127" t="n">
        <f aca="false">VLOOKUP($B53,$C$6:$Z$17,E$22+1)</f>
        <v>0</v>
      </c>
      <c r="F53" s="127" t="n">
        <f aca="false">VLOOKUP($B53,$C$6:$Z$17,F$22+1)</f>
        <v>1.1898</v>
      </c>
      <c r="G53" s="127" t="n">
        <f aca="false">VLOOKUP($B53,$C$6:$Z$17,G$22+1)</f>
        <v>1.1862</v>
      </c>
      <c r="H53" s="127" t="n">
        <f aca="false">VLOOKUP($B53,$C$6:$Z$17,H$22+1)</f>
        <v>0</v>
      </c>
      <c r="I53" s="127" t="n">
        <f aca="false">VLOOKUP($B53,$C$6:$Z$17,I$22+1)</f>
        <v>0</v>
      </c>
      <c r="J53" s="127" t="n">
        <f aca="false">VLOOKUP($B53,$C$6:$Z$17,J$22+1)</f>
        <v>0</v>
      </c>
      <c r="K53" s="127" t="n">
        <f aca="false">VLOOKUP($B53,$C$6:$Z$17,K$22+1)</f>
        <v>0</v>
      </c>
      <c r="L53" s="127" t="n">
        <f aca="false">VLOOKUP($B53,$C$6:$Z$17,L$22+1)</f>
        <v>0</v>
      </c>
      <c r="M53" s="127" t="n">
        <f aca="false">VLOOKUP($B53,$C$6:$Z$17,M$22+1)</f>
        <v>0</v>
      </c>
      <c r="N53" s="127" t="n">
        <f aca="false">VLOOKUP($B53,$C$6:$Z$17,N$22+1)</f>
        <v>0</v>
      </c>
      <c r="O53" s="127" t="n">
        <f aca="false">VLOOKUP($B53,$C$6:$Z$17,O$22+1)</f>
        <v>0</v>
      </c>
      <c r="P53" s="127" t="n">
        <f aca="false">VLOOKUP($B53,$C$6:$Z$17,P$22+1)</f>
        <v>1.2719</v>
      </c>
      <c r="Q53" s="127" t="n">
        <f aca="false">VLOOKUP($B53,$C$6:$Z$17,Q$22+1)</f>
        <v>1.217</v>
      </c>
      <c r="R53" s="127" t="n">
        <f aca="false">VLOOKUP($B53,$C$6:$Z$17,R$22+1)</f>
        <v>0</v>
      </c>
      <c r="S53" s="127" t="n">
        <f aca="false">VLOOKUP($B53,$C$6:$Z$17,S$22+1)</f>
        <v>0</v>
      </c>
      <c r="T53" s="127" t="n">
        <f aca="false">VLOOKUP($B53,$C$6:$Z$17,T$22+1)</f>
        <v>0</v>
      </c>
      <c r="U53" s="127" t="n">
        <f aca="false">VLOOKUP($B53,$C$6:$AB$17,T$22+3)-SUM(E53:T53)</f>
        <v>0</v>
      </c>
      <c r="W53" s="128" t="n">
        <f aca="false">$D53*E53</f>
        <v>0</v>
      </c>
      <c r="X53" s="128" t="n">
        <f aca="false">$D53*F53</f>
        <v>29.3285695461273</v>
      </c>
      <c r="Y53" s="128" t="n">
        <f aca="false">$D53*G53</f>
        <v>29.2398295475006</v>
      </c>
      <c r="Z53" s="128" t="n">
        <f aca="false">$D53*H53</f>
        <v>0</v>
      </c>
      <c r="AA53" s="128" t="n">
        <f aca="false">$D53*I53</f>
        <v>0</v>
      </c>
      <c r="AB53" s="128" t="n">
        <f aca="false">$D53*J53</f>
        <v>0</v>
      </c>
      <c r="AC53" s="128" t="n">
        <f aca="false">$D53*K53</f>
        <v>0</v>
      </c>
      <c r="AD53" s="128" t="n">
        <f aca="false">$D53*L53</f>
        <v>0</v>
      </c>
      <c r="AE53" s="128" t="n">
        <f aca="false">$D53*M53</f>
        <v>0</v>
      </c>
      <c r="AF53" s="128" t="n">
        <f aca="false">$D53*N53</f>
        <v>0</v>
      </c>
      <c r="AG53" s="128" t="n">
        <f aca="false">$D53*O53</f>
        <v>0</v>
      </c>
      <c r="AH53" s="128" t="n">
        <f aca="false">$D53*P53</f>
        <v>31.3523345148087</v>
      </c>
      <c r="AI53" s="128" t="n">
        <f aca="false">$D53*Q53</f>
        <v>29.9990495357513</v>
      </c>
      <c r="AJ53" s="128" t="n">
        <f aca="false">$D53*R53</f>
        <v>0</v>
      </c>
      <c r="AK53" s="128" t="n">
        <f aca="false">$D53*S53</f>
        <v>0</v>
      </c>
      <c r="AL53" s="128" t="n">
        <f aca="false">$D53*T53</f>
        <v>0</v>
      </c>
      <c r="AN53" s="129" t="n">
        <f aca="false">SUM(W53:AL53)/4</f>
        <v>29.979945786047</v>
      </c>
      <c r="AO53" s="130" t="n">
        <f aca="false">D53</f>
        <v>24.6499996185303</v>
      </c>
    </row>
    <row r="54" customFormat="false" ht="16.5" hidden="false" customHeight="false" outlineLevel="0" collapsed="false">
      <c r="B54" s="116" t="n">
        <f aca="false">MONTH(C54)</f>
        <v>3</v>
      </c>
      <c r="C54" s="125" t="n">
        <f aca="false">PJM_01212000!A38</f>
        <v>36616</v>
      </c>
      <c r="D54" s="126" t="n">
        <f aca="false">PJM_01212000!C38</f>
        <v>25</v>
      </c>
      <c r="E54" s="127" t="n">
        <f aca="false">VLOOKUP($B54,$C$6:$Z$17,E$22+1)</f>
        <v>0</v>
      </c>
      <c r="F54" s="127" t="n">
        <f aca="false">VLOOKUP($B54,$C$6:$Z$17,F$22+1)</f>
        <v>1.1898</v>
      </c>
      <c r="G54" s="127" t="n">
        <f aca="false">VLOOKUP($B54,$C$6:$Z$17,G$22+1)</f>
        <v>1.1862</v>
      </c>
      <c r="H54" s="127" t="n">
        <f aca="false">VLOOKUP($B54,$C$6:$Z$17,H$22+1)</f>
        <v>0</v>
      </c>
      <c r="I54" s="127" t="n">
        <f aca="false">VLOOKUP($B54,$C$6:$Z$17,I$22+1)</f>
        <v>0</v>
      </c>
      <c r="J54" s="127" t="n">
        <f aca="false">VLOOKUP($B54,$C$6:$Z$17,J$22+1)</f>
        <v>0</v>
      </c>
      <c r="K54" s="127" t="n">
        <f aca="false">VLOOKUP($B54,$C$6:$Z$17,K$22+1)</f>
        <v>0</v>
      </c>
      <c r="L54" s="127" t="n">
        <f aca="false">VLOOKUP($B54,$C$6:$Z$17,L$22+1)</f>
        <v>0</v>
      </c>
      <c r="M54" s="127" t="n">
        <f aca="false">VLOOKUP($B54,$C$6:$Z$17,M$22+1)</f>
        <v>0</v>
      </c>
      <c r="N54" s="127" t="n">
        <f aca="false">VLOOKUP($B54,$C$6:$Z$17,N$22+1)</f>
        <v>0</v>
      </c>
      <c r="O54" s="127" t="n">
        <f aca="false">VLOOKUP($B54,$C$6:$Z$17,O$22+1)</f>
        <v>0</v>
      </c>
      <c r="P54" s="127" t="n">
        <f aca="false">VLOOKUP($B54,$C$6:$Z$17,P$22+1)</f>
        <v>1.2719</v>
      </c>
      <c r="Q54" s="127" t="n">
        <f aca="false">VLOOKUP($B54,$C$6:$Z$17,Q$22+1)</f>
        <v>1.217</v>
      </c>
      <c r="R54" s="127" t="n">
        <f aca="false">VLOOKUP($B54,$C$6:$Z$17,R$22+1)</f>
        <v>0</v>
      </c>
      <c r="S54" s="127" t="n">
        <f aca="false">VLOOKUP($B54,$C$6:$Z$17,S$22+1)</f>
        <v>0</v>
      </c>
      <c r="T54" s="127" t="n">
        <f aca="false">VLOOKUP($B54,$C$6:$Z$17,T$22+1)</f>
        <v>0</v>
      </c>
      <c r="U54" s="127" t="n">
        <f aca="false">VLOOKUP($B54,$C$6:$AB$17,T$22+3)-SUM(E54:T54)</f>
        <v>0</v>
      </c>
      <c r="W54" s="128" t="n">
        <f aca="false">$D54*E54</f>
        <v>0</v>
      </c>
      <c r="X54" s="128" t="n">
        <f aca="false">$D54*F54</f>
        <v>29.745</v>
      </c>
      <c r="Y54" s="128" t="n">
        <f aca="false">$D54*G54</f>
        <v>29.655</v>
      </c>
      <c r="Z54" s="128" t="n">
        <f aca="false">$D54*H54</f>
        <v>0</v>
      </c>
      <c r="AA54" s="128" t="n">
        <f aca="false">$D54*I54</f>
        <v>0</v>
      </c>
      <c r="AB54" s="128" t="n">
        <f aca="false">$D54*J54</f>
        <v>0</v>
      </c>
      <c r="AC54" s="128" t="n">
        <f aca="false">$D54*K54</f>
        <v>0</v>
      </c>
      <c r="AD54" s="128" t="n">
        <f aca="false">$D54*L54</f>
        <v>0</v>
      </c>
      <c r="AE54" s="128" t="n">
        <f aca="false">$D54*M54</f>
        <v>0</v>
      </c>
      <c r="AF54" s="128" t="n">
        <f aca="false">$D54*N54</f>
        <v>0</v>
      </c>
      <c r="AG54" s="128" t="n">
        <f aca="false">$D54*O54</f>
        <v>0</v>
      </c>
      <c r="AH54" s="128" t="n">
        <f aca="false">$D54*P54</f>
        <v>31.7975</v>
      </c>
      <c r="AI54" s="128" t="n">
        <f aca="false">$D54*Q54</f>
        <v>30.425</v>
      </c>
      <c r="AJ54" s="128" t="n">
        <f aca="false">$D54*R54</f>
        <v>0</v>
      </c>
      <c r="AK54" s="128" t="n">
        <f aca="false">$D54*S54</f>
        <v>0</v>
      </c>
      <c r="AL54" s="128" t="n">
        <f aca="false">$D54*T54</f>
        <v>0</v>
      </c>
      <c r="AN54" s="129" t="n">
        <f aca="false">SUM(W54:AL54)/4</f>
        <v>30.405625</v>
      </c>
      <c r="AO54" s="130" t="n">
        <f aca="false">D54</f>
        <v>25</v>
      </c>
    </row>
    <row r="55" customFormat="false" ht="16.5" hidden="false" customHeight="false" outlineLevel="0" collapsed="false">
      <c r="B55" s="116" t="n">
        <f aca="false">MONTH(C55)</f>
        <v>4</v>
      </c>
      <c r="C55" s="125" t="n">
        <f aca="false">PJM_01212000!A39</f>
        <v>36617</v>
      </c>
      <c r="D55" s="126" t="n">
        <f aca="false">PJM_01212000!C39</f>
        <v>25.3999992370606</v>
      </c>
      <c r="E55" s="127" t="n">
        <f aca="false">VLOOKUP($B55,$C$6:$Z$17,E$22+1)</f>
        <v>1.1232726508202</v>
      </c>
      <c r="F55" s="127" t="n">
        <f aca="false">VLOOKUP($B55,$C$6:$Z$17,F$22+1)</f>
        <v>1.14131544612562</v>
      </c>
      <c r="G55" s="127" t="n">
        <f aca="false">VLOOKUP($B55,$C$6:$Z$17,G$22+1)</f>
        <v>0</v>
      </c>
      <c r="H55" s="127" t="n">
        <f aca="false">VLOOKUP($B55,$C$6:$Z$17,H$22+1)</f>
        <v>0</v>
      </c>
      <c r="I55" s="127" t="n">
        <f aca="false">VLOOKUP($B55,$C$6:$Z$17,I$22+1)</f>
        <v>1.11852454679246</v>
      </c>
      <c r="J55" s="127" t="n">
        <f aca="false">VLOOKUP($B55,$C$6:$Z$17,J$22+1)</f>
        <v>0</v>
      </c>
      <c r="K55" s="127" t="n">
        <f aca="false">VLOOKUP($B55,$C$6:$Z$17,K$22+1)</f>
        <v>0</v>
      </c>
      <c r="L55" s="127" t="n">
        <f aca="false">VLOOKUP($B55,$C$6:$Z$17,L$22+1)</f>
        <v>0</v>
      </c>
      <c r="M55" s="127" t="n">
        <f aca="false">VLOOKUP($B55,$C$6:$Z$17,M$22+1)</f>
        <v>0</v>
      </c>
      <c r="N55" s="127" t="n">
        <f aca="false">VLOOKUP($B55,$C$6:$Z$17,N$22+1)</f>
        <v>0</v>
      </c>
      <c r="O55" s="127" t="n">
        <f aca="false">VLOOKUP($B55,$C$6:$Z$17,O$22+1)</f>
        <v>0</v>
      </c>
      <c r="P55" s="127" t="n">
        <f aca="false">VLOOKUP($B55,$C$6:$Z$17,P$22+1)</f>
        <v>0</v>
      </c>
      <c r="Q55" s="127" t="n">
        <f aca="false">VLOOKUP($B55,$C$6:$Z$17,Q$22+1)</f>
        <v>0</v>
      </c>
      <c r="R55" s="127" t="n">
        <f aca="false">VLOOKUP($B55,$C$6:$Z$17,R$22+1)</f>
        <v>1.15433651784915</v>
      </c>
      <c r="S55" s="127" t="n">
        <f aca="false">VLOOKUP($B55,$C$6:$Z$17,S$22+1)</f>
        <v>0</v>
      </c>
      <c r="T55" s="127" t="n">
        <f aca="false">VLOOKUP($B55,$C$6:$Z$17,T$22+1)</f>
        <v>0</v>
      </c>
      <c r="U55" s="127" t="n">
        <f aca="false">VLOOKUP($B55,$C$6:$AB$17,T$22+3)-SUM(E55:T55)</f>
        <v>0</v>
      </c>
      <c r="W55" s="128" t="n">
        <f aca="false">$D55*E55</f>
        <v>28.5311244738442</v>
      </c>
      <c r="X55" s="128" t="n">
        <f aca="false">$D55*F55</f>
        <v>28.9894114608361</v>
      </c>
      <c r="Y55" s="128" t="n">
        <f aca="false">$D55*G55</f>
        <v>0</v>
      </c>
      <c r="Z55" s="128" t="n">
        <f aca="false">$D55*H55</f>
        <v>0</v>
      </c>
      <c r="AA55" s="128" t="n">
        <f aca="false">$D55*I55</f>
        <v>28.4105226351621</v>
      </c>
      <c r="AB55" s="128" t="n">
        <f aca="false">$D55*J55</f>
        <v>0</v>
      </c>
      <c r="AC55" s="128" t="n">
        <f aca="false">$D55*K55</f>
        <v>0</v>
      </c>
      <c r="AD55" s="128" t="n">
        <f aca="false">$D55*L55</f>
        <v>0</v>
      </c>
      <c r="AE55" s="128" t="n">
        <f aca="false">$D55*M55</f>
        <v>0</v>
      </c>
      <c r="AF55" s="128" t="n">
        <f aca="false">$D55*N55</f>
        <v>0</v>
      </c>
      <c r="AG55" s="128" t="n">
        <f aca="false">$D55*O55</f>
        <v>0</v>
      </c>
      <c r="AH55" s="128" t="n">
        <f aca="false">$D55*P55</f>
        <v>0</v>
      </c>
      <c r="AI55" s="128" t="n">
        <f aca="false">$D55*Q55</f>
        <v>0</v>
      </c>
      <c r="AJ55" s="128" t="n">
        <f aca="false">$D55*R55</f>
        <v>29.3201466726795</v>
      </c>
      <c r="AK55" s="128" t="n">
        <f aca="false">$D55*S55</f>
        <v>0</v>
      </c>
      <c r="AL55" s="128" t="n">
        <f aca="false">$D55*T55</f>
        <v>0</v>
      </c>
      <c r="AN55" s="129" t="n">
        <f aca="false">SUM(W55:AL55)/4</f>
        <v>28.8128013106305</v>
      </c>
      <c r="AO55" s="130" t="n">
        <f aca="false">D55</f>
        <v>25.3999992370606</v>
      </c>
    </row>
    <row r="56" customFormat="false" ht="16.5" hidden="false" customHeight="false" outlineLevel="0" collapsed="false">
      <c r="B56" s="116" t="n">
        <f aca="false">MONTH(C56)</f>
        <v>5</v>
      </c>
      <c r="C56" s="125" t="n">
        <f aca="false">PJM_01212000!A40</f>
        <v>36647</v>
      </c>
      <c r="D56" s="126" t="n">
        <f aca="false">PJM_01212000!C40</f>
        <v>30.7000007629395</v>
      </c>
      <c r="E56" s="127" t="n">
        <f aca="false">VLOOKUP($B56,$C$6:$Z$17,E$22+1)</f>
        <v>0</v>
      </c>
      <c r="F56" s="127" t="n">
        <f aca="false">VLOOKUP($B56,$C$6:$Z$17,F$22+1)</f>
        <v>0</v>
      </c>
      <c r="G56" s="127" t="n">
        <f aca="false">VLOOKUP($B56,$C$6:$Z$17,G$22+1)</f>
        <v>1.06102662180267</v>
      </c>
      <c r="H56" s="127" t="n">
        <f aca="false">VLOOKUP($B56,$C$6:$Z$17,H$22+1)</f>
        <v>1.12549986193072</v>
      </c>
      <c r="I56" s="127" t="n">
        <f aca="false">VLOOKUP($B56,$C$6:$Z$17,I$22+1)</f>
        <v>1.11699070333514</v>
      </c>
      <c r="J56" s="127" t="n">
        <f aca="false">VLOOKUP($B56,$C$6:$Z$17,J$22+1)</f>
        <v>0</v>
      </c>
      <c r="K56" s="127" t="n">
        <f aca="false">VLOOKUP($B56,$C$6:$Z$17,K$22+1)</f>
        <v>0</v>
      </c>
      <c r="L56" s="127" t="n">
        <f aca="false">VLOOKUP($B56,$C$6:$Z$17,L$22+1)</f>
        <v>0</v>
      </c>
      <c r="M56" s="127" t="n">
        <f aca="false">VLOOKUP($B56,$C$6:$Z$17,M$22+1)</f>
        <v>0</v>
      </c>
      <c r="N56" s="127" t="n">
        <f aca="false">VLOOKUP($B56,$C$6:$Z$17,N$22+1)</f>
        <v>0</v>
      </c>
      <c r="O56" s="127" t="n">
        <f aca="false">VLOOKUP($B56,$C$6:$Z$17,O$22+1)</f>
        <v>0</v>
      </c>
      <c r="P56" s="127" t="n">
        <f aca="false">VLOOKUP($B56,$C$6:$Z$17,P$22+1)</f>
        <v>0</v>
      </c>
      <c r="Q56" s="127" t="n">
        <f aca="false">VLOOKUP($B56,$C$6:$Z$17,Q$22+1)</f>
        <v>0</v>
      </c>
      <c r="R56" s="127" t="n">
        <f aca="false">VLOOKUP($B56,$C$6:$Z$17,R$22+1)</f>
        <v>1.08769956124651</v>
      </c>
      <c r="S56" s="127" t="n">
        <f aca="false">VLOOKUP($B56,$C$6:$Z$17,S$22+1)</f>
        <v>0</v>
      </c>
      <c r="T56" s="127" t="n">
        <f aca="false">VLOOKUP($B56,$C$6:$Z$17,T$22+1)</f>
        <v>0</v>
      </c>
      <c r="U56" s="127" t="n">
        <f aca="false">VLOOKUP($B56,$C$6:$AB$17,T$22+3)-SUM(E56:T56)</f>
        <v>0</v>
      </c>
      <c r="W56" s="128" t="n">
        <f aca="false">$D56*E56</f>
        <v>0</v>
      </c>
      <c r="X56" s="128" t="n">
        <f aca="false">$D56*F56</f>
        <v>0</v>
      </c>
      <c r="Y56" s="128" t="n">
        <f aca="false">$D56*G56</f>
        <v>32.5735180988411</v>
      </c>
      <c r="Z56" s="128" t="n">
        <f aca="false">$D56*H56</f>
        <v>34.5528466199613</v>
      </c>
      <c r="AA56" s="128" t="n">
        <f aca="false">$D56*I56</f>
        <v>34.2916154445851</v>
      </c>
      <c r="AB56" s="128" t="n">
        <f aca="false">$D56*J56</f>
        <v>0</v>
      </c>
      <c r="AC56" s="128" t="n">
        <f aca="false">$D56*K56</f>
        <v>0</v>
      </c>
      <c r="AD56" s="128" t="n">
        <f aca="false">$D56*L56</f>
        <v>0</v>
      </c>
      <c r="AE56" s="128" t="n">
        <f aca="false">$D56*M56</f>
        <v>0</v>
      </c>
      <c r="AF56" s="128" t="n">
        <f aca="false">$D56*N56</f>
        <v>0</v>
      </c>
      <c r="AG56" s="128" t="n">
        <f aca="false">$D56*O56</f>
        <v>0</v>
      </c>
      <c r="AH56" s="128" t="n">
        <f aca="false">$D56*P56</f>
        <v>0</v>
      </c>
      <c r="AI56" s="128" t="n">
        <f aca="false">$D56*Q56</f>
        <v>0</v>
      </c>
      <c r="AJ56" s="128" t="n">
        <f aca="false">$D56*R56</f>
        <v>33.3923773601168</v>
      </c>
      <c r="AK56" s="128" t="n">
        <f aca="false">$D56*S56</f>
        <v>0</v>
      </c>
      <c r="AL56" s="128" t="n">
        <f aca="false">$D56*T56</f>
        <v>0</v>
      </c>
      <c r="AN56" s="129" t="n">
        <f aca="false">SUM(W56:AL56)/4</f>
        <v>33.7025893808761</v>
      </c>
      <c r="AO56" s="130" t="n">
        <f aca="false">D56</f>
        <v>30.7000007629395</v>
      </c>
    </row>
    <row r="57" customFormat="false" ht="16.5" hidden="false" customHeight="false" outlineLevel="0" collapsed="false">
      <c r="A57" s="136"/>
      <c r="B57" s="137" t="n">
        <f aca="false">MONTH(C57)</f>
        <v>6</v>
      </c>
      <c r="C57" s="138" t="n">
        <f aca="false">PJM_01212000!A41</f>
        <v>36678</v>
      </c>
      <c r="D57" s="139" t="n">
        <f aca="false">PJM_01212000!C41</f>
        <v>58.0750007629395</v>
      </c>
      <c r="E57" s="140" t="n">
        <f aca="false">VLOOKUP($B57,$C$6:$Z$17,E$22+1)</f>
        <v>0</v>
      </c>
      <c r="F57" s="140" t="n">
        <f aca="false">VLOOKUP($B57,$C$6:$Z$17,F$22+1)</f>
        <v>0</v>
      </c>
      <c r="G57" s="140" t="n">
        <f aca="false">VLOOKUP($B57,$C$6:$Z$17,G$22+1)</f>
        <v>0</v>
      </c>
      <c r="H57" s="140" t="n">
        <f aca="false">VLOOKUP($B57,$C$6:$Z$17,H$22+1)</f>
        <v>0</v>
      </c>
      <c r="I57" s="140" t="n">
        <f aca="false">VLOOKUP($B57,$C$6:$Z$17,I$22+1)</f>
        <v>0</v>
      </c>
      <c r="J57" s="140" t="n">
        <f aca="false">VLOOKUP($B57,$C$6:$Z$17,J$22+1)</f>
        <v>0</v>
      </c>
      <c r="K57" s="140" t="n">
        <f aca="false">VLOOKUP($B57,$C$6:$Z$17,K$22+1)</f>
        <v>1.22092018621818</v>
      </c>
      <c r="L57" s="140" t="n">
        <f aca="false">VLOOKUP($B57,$C$6:$Z$17,L$22+1)</f>
        <v>1.23031497714214</v>
      </c>
      <c r="M57" s="140" t="n">
        <f aca="false">VLOOKUP($B57,$C$6:$Z$17,M$22+1)</f>
        <v>1.23232814662584</v>
      </c>
      <c r="N57" s="140" t="n">
        <f aca="false">VLOOKUP($B57,$C$6:$Z$17,N$22+1)</f>
        <v>1.25232563016399</v>
      </c>
      <c r="O57" s="140" t="n">
        <f aca="false">VLOOKUP($B57,$C$6:$Z$17,O$22+1)</f>
        <v>0</v>
      </c>
      <c r="P57" s="140" t="n">
        <f aca="false">VLOOKUP($B57,$C$6:$Z$17,P$22+1)</f>
        <v>0</v>
      </c>
      <c r="Q57" s="140" t="n">
        <f aca="false">VLOOKUP($B57,$C$6:$Z$17,Q$22+1)</f>
        <v>0</v>
      </c>
      <c r="R57" s="140" t="n">
        <f aca="false">VLOOKUP($B57,$C$6:$Z$17,R$22+1)</f>
        <v>0</v>
      </c>
      <c r="S57" s="140" t="n">
        <f aca="false">VLOOKUP($B57,$C$6:$Z$17,S$22+1)</f>
        <v>0</v>
      </c>
      <c r="T57" s="140" t="n">
        <f aca="false">VLOOKUP($B57,$C$6:$Z$17,T$22+1)</f>
        <v>0</v>
      </c>
      <c r="U57" s="140" t="n">
        <f aca="false">VLOOKUP($B57,$C$6:$AB$17,T$22+3)-SUM(E57:T57)</f>
        <v>0</v>
      </c>
      <c r="V57" s="136"/>
      <c r="W57" s="141" t="n">
        <f aca="false">$D57*E57</f>
        <v>0</v>
      </c>
      <c r="X57" s="141" t="n">
        <f aca="false">$D57*F57</f>
        <v>0</v>
      </c>
      <c r="Y57" s="141" t="n">
        <f aca="false">$D57*G57</f>
        <v>0</v>
      </c>
      <c r="Z57" s="141" t="n">
        <f aca="false">$D57*H57</f>
        <v>0</v>
      </c>
      <c r="AA57" s="141" t="n">
        <f aca="false">$D57*I57</f>
        <v>0</v>
      </c>
      <c r="AB57" s="141" t="n">
        <f aca="false">$D57*J57</f>
        <v>0</v>
      </c>
      <c r="AC57" s="141" t="n">
        <f aca="false">$D57*K57</f>
        <v>70.9049407461088</v>
      </c>
      <c r="AD57" s="141" t="n">
        <f aca="false">$D57*L57</f>
        <v>71.4505432361855</v>
      </c>
      <c r="AE57" s="141" t="n">
        <f aca="false">$D57*M57</f>
        <v>71.5674580554876</v>
      </c>
      <c r="AF57" s="141" t="n">
        <f aca="false">$D57*N57</f>
        <v>72.7288119272223</v>
      </c>
      <c r="AG57" s="141" t="n">
        <f aca="false">$D57*O57</f>
        <v>0</v>
      </c>
      <c r="AH57" s="141" t="n">
        <f aca="false">$D57*P57</f>
        <v>0</v>
      </c>
      <c r="AI57" s="141" t="n">
        <f aca="false">$D57*Q57</f>
        <v>0</v>
      </c>
      <c r="AJ57" s="141" t="n">
        <f aca="false">$D57*R57</f>
        <v>0</v>
      </c>
      <c r="AK57" s="141" t="n">
        <f aca="false">$D57*S57</f>
        <v>0</v>
      </c>
      <c r="AL57" s="141" t="n">
        <f aca="false">$D57*T57</f>
        <v>0</v>
      </c>
      <c r="AM57" s="136"/>
      <c r="AN57" s="142" t="n">
        <f aca="false">SUM(W57:AL57)/4</f>
        <v>71.6629384912511</v>
      </c>
      <c r="AO57" s="143" t="n">
        <f aca="false">D57</f>
        <v>58.0750007629395</v>
      </c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  <c r="BZ57" s="144"/>
      <c r="CA57" s="144"/>
      <c r="CB57" s="144"/>
      <c r="CC57" s="144"/>
      <c r="CD57" s="144"/>
      <c r="CE57" s="144"/>
      <c r="CF57" s="144"/>
      <c r="CG57" s="144"/>
      <c r="CH57" s="144"/>
      <c r="CI57" s="144"/>
      <c r="CJ57" s="144"/>
      <c r="CK57" s="144"/>
      <c r="CL57" s="144"/>
      <c r="CM57" s="144"/>
      <c r="CN57" s="144"/>
      <c r="CO57" s="144"/>
      <c r="CP57" s="144"/>
      <c r="CQ57" s="144"/>
      <c r="CR57" s="144"/>
      <c r="CS57" s="144"/>
      <c r="CT57" s="144"/>
      <c r="CU57" s="144"/>
      <c r="CV57" s="144"/>
      <c r="CW57" s="144"/>
      <c r="CX57" s="144"/>
      <c r="CY57" s="144"/>
      <c r="CZ57" s="144"/>
      <c r="DA57" s="144"/>
      <c r="DB57" s="144"/>
      <c r="DC57" s="144"/>
      <c r="DD57" s="144"/>
      <c r="DE57" s="144"/>
      <c r="DF57" s="144"/>
      <c r="DG57" s="144"/>
      <c r="DH57" s="144"/>
      <c r="DI57" s="144"/>
      <c r="DJ57" s="144"/>
      <c r="DK57" s="144"/>
      <c r="DL57" s="144"/>
      <c r="DM57" s="144"/>
      <c r="DN57" s="144"/>
      <c r="DO57" s="144"/>
      <c r="DP57" s="144"/>
      <c r="DQ57" s="144"/>
      <c r="DR57" s="144"/>
      <c r="DS57" s="144"/>
      <c r="DT57" s="144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4"/>
      <c r="FT57" s="144"/>
      <c r="FU57" s="144"/>
      <c r="FV57" s="144"/>
      <c r="FW57" s="144"/>
      <c r="FX57" s="144"/>
      <c r="FY57" s="144"/>
      <c r="FZ57" s="144"/>
      <c r="GA57" s="144"/>
      <c r="GB57" s="144"/>
      <c r="GC57" s="144"/>
      <c r="GD57" s="144"/>
      <c r="GE57" s="144"/>
      <c r="GF57" s="144"/>
      <c r="GG57" s="144"/>
      <c r="GH57" s="144"/>
      <c r="GI57" s="144"/>
      <c r="GJ57" s="144"/>
      <c r="GK57" s="144"/>
      <c r="GL57" s="144"/>
      <c r="GM57" s="144"/>
      <c r="GN57" s="144"/>
      <c r="GO57" s="144"/>
      <c r="GP57" s="144"/>
      <c r="GQ57" s="144"/>
      <c r="GR57" s="144"/>
      <c r="GS57" s="144"/>
      <c r="GT57" s="144"/>
      <c r="GU57" s="144"/>
      <c r="GV57" s="144"/>
      <c r="GW57" s="144"/>
      <c r="GX57" s="144"/>
      <c r="GY57" s="144"/>
      <c r="GZ57" s="144"/>
      <c r="HA57" s="144"/>
      <c r="HB57" s="144"/>
      <c r="HC57" s="144"/>
      <c r="HD57" s="144"/>
      <c r="HE57" s="144"/>
      <c r="HF57" s="144"/>
      <c r="HG57" s="144"/>
      <c r="HH57" s="144"/>
      <c r="HI57" s="144"/>
      <c r="HJ57" s="144"/>
      <c r="HK57" s="144"/>
      <c r="HL57" s="144"/>
      <c r="HM57" s="144"/>
      <c r="HN57" s="144"/>
      <c r="HO57" s="144"/>
      <c r="HP57" s="144"/>
      <c r="HQ57" s="144"/>
      <c r="HR57" s="144"/>
      <c r="HS57" s="144"/>
      <c r="HT57" s="144"/>
      <c r="HU57" s="144"/>
      <c r="HV57" s="144"/>
      <c r="HW57" s="144"/>
      <c r="HX57" s="144"/>
      <c r="HY57" s="144"/>
      <c r="HZ57" s="144"/>
      <c r="IA57" s="144"/>
      <c r="IB57" s="144"/>
      <c r="IC57" s="144"/>
      <c r="ID57" s="144"/>
      <c r="IE57" s="144"/>
      <c r="IF57" s="144"/>
      <c r="IG57" s="144"/>
      <c r="IH57" s="144"/>
      <c r="II57" s="144"/>
      <c r="IJ57" s="144"/>
      <c r="IK57" s="144"/>
      <c r="IL57" s="144"/>
      <c r="IM57" s="144"/>
      <c r="IN57" s="144"/>
      <c r="IO57" s="144"/>
      <c r="IP57" s="144"/>
      <c r="IQ57" s="144"/>
      <c r="IR57" s="144"/>
      <c r="IS57" s="144"/>
      <c r="IT57" s="144"/>
      <c r="IU57" s="144"/>
      <c r="IV57" s="144"/>
      <c r="IW57" s="144"/>
    </row>
    <row r="58" customFormat="false" ht="16.5" hidden="false" customHeight="false" outlineLevel="0" collapsed="false">
      <c r="B58" s="116" t="n">
        <f aca="false">MONTH(C58)</f>
        <v>7</v>
      </c>
      <c r="C58" s="125" t="n">
        <f aca="false">PJM_01212000!A42</f>
        <v>36708</v>
      </c>
      <c r="D58" s="126" t="n">
        <f aca="false">PJM_01212000!C42</f>
        <v>103.75</v>
      </c>
      <c r="E58" s="127" t="n">
        <f aca="false">VLOOKUP($B58,$C$6:$Z$17,E$22+1)</f>
        <v>0</v>
      </c>
      <c r="F58" s="127" t="n">
        <f aca="false">VLOOKUP($B58,$C$6:$Z$17,F$22+1)</f>
        <v>0</v>
      </c>
      <c r="G58" s="127" t="n">
        <f aca="false">VLOOKUP($B58,$C$6:$Z$17,G$22+1)</f>
        <v>0</v>
      </c>
      <c r="H58" s="127" t="n">
        <f aca="false">VLOOKUP($B58,$C$6:$Z$17,H$22+1)</f>
        <v>0</v>
      </c>
      <c r="I58" s="127" t="n">
        <f aca="false">VLOOKUP($B58,$C$6:$Z$17,I$22+1)</f>
        <v>0</v>
      </c>
      <c r="J58" s="127" t="n">
        <f aca="false">VLOOKUP($B58,$C$6:$Z$17,J$22+1)</f>
        <v>0</v>
      </c>
      <c r="K58" s="127" t="n">
        <f aca="false">VLOOKUP($B58,$C$6:$Z$17,K$22+1)</f>
        <v>0</v>
      </c>
      <c r="L58" s="127" t="n">
        <f aca="false">VLOOKUP($B58,$C$6:$Z$17,L$22+1)</f>
        <v>1.2506946851613</v>
      </c>
      <c r="M58" s="127" t="n">
        <f aca="false">VLOOKUP($B58,$C$6:$Z$17,M$22+1)</f>
        <v>1.32734019400042</v>
      </c>
      <c r="N58" s="127" t="n">
        <f aca="false">VLOOKUP($B58,$C$6:$Z$17,N$22+1)</f>
        <v>1.35388881627921</v>
      </c>
      <c r="O58" s="127" t="n">
        <f aca="false">VLOOKUP($B58,$C$6:$Z$17,O$22+1)</f>
        <v>1.32033935867348</v>
      </c>
      <c r="P58" s="127" t="n">
        <f aca="false">VLOOKUP($B58,$C$6:$Z$17,P$22+1)</f>
        <v>0</v>
      </c>
      <c r="Q58" s="127" t="n">
        <f aca="false">VLOOKUP($B58,$C$6:$Z$17,Q$22+1)</f>
        <v>0</v>
      </c>
      <c r="R58" s="127" t="n">
        <f aca="false">VLOOKUP($B58,$C$6:$Z$17,R$22+1)</f>
        <v>0</v>
      </c>
      <c r="S58" s="127" t="n">
        <f aca="false">VLOOKUP($B58,$C$6:$Z$17,S$22+1)</f>
        <v>0</v>
      </c>
      <c r="T58" s="127" t="n">
        <f aca="false">VLOOKUP($B58,$C$6:$Z$17,T$22+1)</f>
        <v>0</v>
      </c>
      <c r="U58" s="127" t="n">
        <f aca="false">VLOOKUP($B58,$C$6:$AB$17,T$22+3)-SUM(E58:T58)</f>
        <v>0</v>
      </c>
      <c r="W58" s="128" t="n">
        <f aca="false">$D58*E58</f>
        <v>0</v>
      </c>
      <c r="X58" s="128" t="n">
        <f aca="false">$D58*F58</f>
        <v>0</v>
      </c>
      <c r="Y58" s="128" t="n">
        <f aca="false">$D58*G58</f>
        <v>0</v>
      </c>
      <c r="Z58" s="128" t="n">
        <f aca="false">$D58*H58</f>
        <v>0</v>
      </c>
      <c r="AA58" s="128" t="n">
        <f aca="false">$D58*I58</f>
        <v>0</v>
      </c>
      <c r="AB58" s="128" t="n">
        <f aca="false">$D58*J58</f>
        <v>0</v>
      </c>
      <c r="AC58" s="128" t="n">
        <f aca="false">$D58*K58</f>
        <v>0</v>
      </c>
      <c r="AD58" s="128" t="n">
        <f aca="false">$D58*L58</f>
        <v>129.759573585485</v>
      </c>
      <c r="AE58" s="128" t="n">
        <f aca="false">$D58*M58</f>
        <v>137.711545127544</v>
      </c>
      <c r="AF58" s="128" t="n">
        <f aca="false">$D58*N58</f>
        <v>140.465964688968</v>
      </c>
      <c r="AG58" s="128" t="n">
        <f aca="false">$D58*O58</f>
        <v>136.985208462373</v>
      </c>
      <c r="AH58" s="128" t="n">
        <f aca="false">$D58*P58</f>
        <v>0</v>
      </c>
      <c r="AI58" s="128" t="n">
        <f aca="false">$D58*Q58</f>
        <v>0</v>
      </c>
      <c r="AJ58" s="128" t="n">
        <f aca="false">$D58*R58</f>
        <v>0</v>
      </c>
      <c r="AK58" s="128" t="n">
        <f aca="false">$D58*S58</f>
        <v>0</v>
      </c>
      <c r="AL58" s="128" t="n">
        <f aca="false">$D58*T58</f>
        <v>0</v>
      </c>
      <c r="AN58" s="129" t="n">
        <f aca="false">SUM(W58:AL58)/4</f>
        <v>136.230572966092</v>
      </c>
      <c r="AO58" s="130" t="n">
        <f aca="false">D58</f>
        <v>103.75</v>
      </c>
    </row>
    <row r="59" customFormat="false" ht="16.5" hidden="false" customHeight="false" outlineLevel="0" collapsed="false">
      <c r="B59" s="116" t="n">
        <f aca="false">MONTH(C59)</f>
        <v>8</v>
      </c>
      <c r="C59" s="125" t="n">
        <f aca="false">PJM_01212000!A43</f>
        <v>36739</v>
      </c>
      <c r="D59" s="126" t="n">
        <f aca="false">PJM_01212000!C43</f>
        <v>90.75</v>
      </c>
      <c r="E59" s="127" t="n">
        <f aca="false">VLOOKUP($B59,$C$6:$Z$17,E$22+1)</f>
        <v>0</v>
      </c>
      <c r="F59" s="127" t="n">
        <f aca="false">VLOOKUP($B59,$C$6:$Z$17,F$22+1)</f>
        <v>0</v>
      </c>
      <c r="G59" s="127" t="n">
        <f aca="false">VLOOKUP($B59,$C$6:$Z$17,G$22+1)</f>
        <v>0</v>
      </c>
      <c r="H59" s="127" t="n">
        <f aca="false">VLOOKUP($B59,$C$6:$Z$17,H$22+1)</f>
        <v>0</v>
      </c>
      <c r="I59" s="127" t="n">
        <f aca="false">VLOOKUP($B59,$C$6:$Z$17,I$22+1)</f>
        <v>0</v>
      </c>
      <c r="J59" s="127" t="n">
        <f aca="false">VLOOKUP($B59,$C$6:$Z$17,J$22+1)</f>
        <v>0</v>
      </c>
      <c r="K59" s="127" t="n">
        <f aca="false">VLOOKUP($B59,$C$6:$Z$17,K$22+1)</f>
        <v>1.19072909190695</v>
      </c>
      <c r="L59" s="127" t="n">
        <f aca="false">VLOOKUP($B59,$C$6:$Z$17,L$22+1)</f>
        <v>1.26057331025457</v>
      </c>
      <c r="M59" s="127" t="n">
        <f aca="false">VLOOKUP($B59,$C$6:$Z$17,M$22+1)</f>
        <v>1.24301093426774</v>
      </c>
      <c r="N59" s="127" t="n">
        <f aca="false">VLOOKUP($B59,$C$6:$Z$17,N$22+1)</f>
        <v>1.21504622788872</v>
      </c>
      <c r="O59" s="127" t="n">
        <f aca="false">VLOOKUP($B59,$C$6:$Z$17,O$22+1)</f>
        <v>0</v>
      </c>
      <c r="P59" s="127" t="n">
        <f aca="false">VLOOKUP($B59,$C$6:$Z$17,P$22+1)</f>
        <v>0</v>
      </c>
      <c r="Q59" s="127" t="n">
        <f aca="false">VLOOKUP($B59,$C$6:$Z$17,Q$22+1)</f>
        <v>0</v>
      </c>
      <c r="R59" s="127" t="n">
        <f aca="false">VLOOKUP($B59,$C$6:$Z$17,R$22+1)</f>
        <v>0</v>
      </c>
      <c r="S59" s="127" t="n">
        <f aca="false">VLOOKUP($B59,$C$6:$Z$17,S$22+1)</f>
        <v>0</v>
      </c>
      <c r="T59" s="127" t="n">
        <f aca="false">VLOOKUP($B59,$C$6:$Z$17,T$22+1)</f>
        <v>0</v>
      </c>
      <c r="U59" s="127" t="n">
        <f aca="false">VLOOKUP($B59,$C$6:$AB$17,T$22+3)-SUM(E59:T59)</f>
        <v>0</v>
      </c>
      <c r="W59" s="128" t="n">
        <f aca="false">$D59*E59</f>
        <v>0</v>
      </c>
      <c r="X59" s="128" t="n">
        <f aca="false">$D59*F59</f>
        <v>0</v>
      </c>
      <c r="Y59" s="128" t="n">
        <f aca="false">$D59*G59</f>
        <v>0</v>
      </c>
      <c r="Z59" s="128" t="n">
        <f aca="false">$D59*H59</f>
        <v>0</v>
      </c>
      <c r="AA59" s="128" t="n">
        <f aca="false">$D59*I59</f>
        <v>0</v>
      </c>
      <c r="AB59" s="128" t="n">
        <f aca="false">$D59*J59</f>
        <v>0</v>
      </c>
      <c r="AC59" s="128" t="n">
        <f aca="false">$D59*K59</f>
        <v>108.058665090556</v>
      </c>
      <c r="AD59" s="128" t="n">
        <f aca="false">$D59*L59</f>
        <v>114.397027905602</v>
      </c>
      <c r="AE59" s="128" t="n">
        <f aca="false">$D59*M59</f>
        <v>112.803242284798</v>
      </c>
      <c r="AF59" s="128" t="n">
        <f aca="false">$D59*N59</f>
        <v>110.265445180901</v>
      </c>
      <c r="AG59" s="128" t="n">
        <f aca="false">$D59*O59</f>
        <v>0</v>
      </c>
      <c r="AH59" s="128" t="n">
        <f aca="false">$D59*P59</f>
        <v>0</v>
      </c>
      <c r="AI59" s="128" t="n">
        <f aca="false">$D59*Q59</f>
        <v>0</v>
      </c>
      <c r="AJ59" s="128" t="n">
        <f aca="false">$D59*R59</f>
        <v>0</v>
      </c>
      <c r="AK59" s="128" t="n">
        <f aca="false">$D59*S59</f>
        <v>0</v>
      </c>
      <c r="AL59" s="128" t="n">
        <f aca="false">$D59*T59</f>
        <v>0</v>
      </c>
      <c r="AN59" s="129" t="n">
        <f aca="false">SUM(W59:AL59)/4</f>
        <v>111.381095115464</v>
      </c>
      <c r="AO59" s="130" t="n">
        <f aca="false">D59</f>
        <v>90.75</v>
      </c>
    </row>
    <row r="60" customFormat="false" ht="16.5" hidden="false" customHeight="false" outlineLevel="0" collapsed="false">
      <c r="B60" s="116" t="n">
        <f aca="false">MONTH(C60)</f>
        <v>9</v>
      </c>
      <c r="C60" s="125" t="n">
        <f aca="false">PJM_01212000!A44</f>
        <v>36770</v>
      </c>
      <c r="D60" s="126" t="n">
        <f aca="false">PJM_01212000!C44</f>
        <v>35.5499992370606</v>
      </c>
      <c r="E60" s="127" t="n">
        <f aca="false">VLOOKUP($B60,$C$6:$Z$17,E$22+1)</f>
        <v>0</v>
      </c>
      <c r="F60" s="127" t="n">
        <f aca="false">VLOOKUP($B60,$C$6:$Z$17,F$22+1)</f>
        <v>0</v>
      </c>
      <c r="G60" s="127" t="n">
        <f aca="false">VLOOKUP($B60,$C$6:$Z$17,G$22+1)</f>
        <v>0</v>
      </c>
      <c r="H60" s="127" t="n">
        <f aca="false">VLOOKUP($B60,$C$6:$Z$17,H$22+1)</f>
        <v>0</v>
      </c>
      <c r="I60" s="127" t="n">
        <f aca="false">VLOOKUP($B60,$C$6:$Z$17,I$22+1)</f>
        <v>0</v>
      </c>
      <c r="J60" s="127" t="n">
        <f aca="false">VLOOKUP($B60,$C$6:$Z$17,J$22+1)</f>
        <v>0</v>
      </c>
      <c r="K60" s="127" t="n">
        <f aca="false">VLOOKUP($B60,$C$6:$Z$17,K$22+1)</f>
        <v>0</v>
      </c>
      <c r="L60" s="127" t="n">
        <f aca="false">VLOOKUP($B60,$C$6:$Z$17,L$22+1)</f>
        <v>0</v>
      </c>
      <c r="M60" s="127" t="n">
        <f aca="false">VLOOKUP($B60,$C$6:$Z$17,M$22+1)</f>
        <v>0</v>
      </c>
      <c r="N60" s="127" t="n">
        <f aca="false">VLOOKUP($B60,$C$6:$Z$17,N$22+1)</f>
        <v>1.13452840898687</v>
      </c>
      <c r="O60" s="127" t="n">
        <f aca="false">VLOOKUP($B60,$C$6:$Z$17,O$22+1)</f>
        <v>1.1066962078626</v>
      </c>
      <c r="P60" s="127" t="n">
        <f aca="false">VLOOKUP($B60,$C$6:$Z$17,P$22+1)</f>
        <v>0</v>
      </c>
      <c r="Q60" s="127" t="n">
        <f aca="false">VLOOKUP($B60,$C$6:$Z$17,Q$22+1)</f>
        <v>1.18462637101057</v>
      </c>
      <c r="R60" s="127" t="n">
        <f aca="false">VLOOKUP($B60,$C$6:$Z$17,R$22+1)</f>
        <v>1.1944408840386</v>
      </c>
      <c r="S60" s="127" t="n">
        <f aca="false">VLOOKUP($B60,$C$6:$Z$17,S$22+1)</f>
        <v>0</v>
      </c>
      <c r="T60" s="127" t="n">
        <f aca="false">VLOOKUP($B60,$C$6:$Z$17,T$22+1)</f>
        <v>0</v>
      </c>
      <c r="U60" s="127" t="n">
        <f aca="false">VLOOKUP($B60,$C$6:$AB$17,T$22+3)-SUM(E60:T60)</f>
        <v>0</v>
      </c>
      <c r="W60" s="128" t="n">
        <f aca="false">$D60*E60</f>
        <v>0</v>
      </c>
      <c r="X60" s="128" t="n">
        <f aca="false">$D60*F60</f>
        <v>0</v>
      </c>
      <c r="Y60" s="128" t="n">
        <f aca="false">$D60*G60</f>
        <v>0</v>
      </c>
      <c r="Z60" s="128" t="n">
        <f aca="false">$D60*H60</f>
        <v>0</v>
      </c>
      <c r="AA60" s="128" t="n">
        <f aca="false">$D60*I60</f>
        <v>0</v>
      </c>
      <c r="AB60" s="128" t="n">
        <f aca="false">$D60*J60</f>
        <v>0</v>
      </c>
      <c r="AC60" s="128" t="n">
        <f aca="false">$D60*K60</f>
        <v>0</v>
      </c>
      <c r="AD60" s="128" t="n">
        <f aca="false">$D60*L60</f>
        <v>0</v>
      </c>
      <c r="AE60" s="128" t="n">
        <f aca="false">$D60*M60</f>
        <v>0</v>
      </c>
      <c r="AF60" s="128" t="n">
        <f aca="false">$D60*N60</f>
        <v>40.3324840739068</v>
      </c>
      <c r="AG60" s="128" t="n">
        <f aca="false">$D60*O60</f>
        <v>39.3430493451731</v>
      </c>
      <c r="AH60" s="128" t="n">
        <f aca="false">$D60*P60</f>
        <v>0</v>
      </c>
      <c r="AI60" s="128" t="n">
        <f aca="false">$D60*Q60</f>
        <v>42.1134665856274</v>
      </c>
      <c r="AJ60" s="128" t="n">
        <f aca="false">$D60*R60</f>
        <v>42.4623725162861</v>
      </c>
      <c r="AK60" s="128" t="n">
        <f aca="false">$D60*S60</f>
        <v>0</v>
      </c>
      <c r="AL60" s="128" t="n">
        <f aca="false">$D60*T60</f>
        <v>0</v>
      </c>
      <c r="AN60" s="129" t="n">
        <f aca="false">SUM(W60:AL60)/4</f>
        <v>41.0628431302484</v>
      </c>
      <c r="AO60" s="130" t="n">
        <f aca="false">D60</f>
        <v>35.5499992370606</v>
      </c>
    </row>
    <row r="61" customFormat="false" ht="16.5" hidden="false" customHeight="false" outlineLevel="0" collapsed="false">
      <c r="B61" s="116" t="n">
        <f aca="false">MONTH(C61)</f>
        <v>10</v>
      </c>
      <c r="C61" s="125" t="n">
        <f aca="false">PJM_01212000!A45</f>
        <v>36800</v>
      </c>
      <c r="D61" s="126" t="n">
        <f aca="false">PJM_01212000!C45</f>
        <v>25.4500007629395</v>
      </c>
      <c r="E61" s="127" t="n">
        <f aca="false">VLOOKUP($B61,$C$6:$Z$17,E$22+1)</f>
        <v>0</v>
      </c>
      <c r="F61" s="127" t="n">
        <f aca="false">VLOOKUP($B61,$C$6:$Z$17,F$22+1)</f>
        <v>1.1326</v>
      </c>
      <c r="G61" s="127" t="n">
        <f aca="false">VLOOKUP($B61,$C$6:$Z$17,G$22+1)</f>
        <v>0</v>
      </c>
      <c r="H61" s="127" t="n">
        <f aca="false">VLOOKUP($B61,$C$6:$Z$17,H$22+1)</f>
        <v>0</v>
      </c>
      <c r="I61" s="127" t="n">
        <f aca="false">VLOOKUP($B61,$C$6:$Z$17,I$22+1)</f>
        <v>0</v>
      </c>
      <c r="J61" s="127" t="n">
        <f aca="false">VLOOKUP($B61,$C$6:$Z$17,J$22+1)</f>
        <v>0</v>
      </c>
      <c r="K61" s="127" t="n">
        <f aca="false">VLOOKUP($B61,$C$6:$Z$17,K$22+1)</f>
        <v>0</v>
      </c>
      <c r="L61" s="127" t="n">
        <f aca="false">VLOOKUP($B61,$C$6:$Z$17,L$22+1)</f>
        <v>0</v>
      </c>
      <c r="M61" s="127" t="n">
        <f aca="false">VLOOKUP($B61,$C$6:$Z$17,M$22+1)</f>
        <v>0</v>
      </c>
      <c r="N61" s="127" t="n">
        <f aca="false">VLOOKUP($B61,$C$6:$Z$17,N$22+1)</f>
        <v>0</v>
      </c>
      <c r="O61" s="127" t="n">
        <f aca="false">VLOOKUP($B61,$C$6:$Z$17,O$22+1)</f>
        <v>1.2001</v>
      </c>
      <c r="P61" s="127" t="n">
        <f aca="false">VLOOKUP($B61,$C$6:$Z$17,P$22+1)</f>
        <v>1.2095</v>
      </c>
      <c r="Q61" s="127" t="n">
        <f aca="false">VLOOKUP($B61,$C$6:$Z$17,Q$22+1)</f>
        <v>1.1567</v>
      </c>
      <c r="R61" s="127" t="n">
        <f aca="false">VLOOKUP($B61,$C$6:$Z$17,R$22+1)</f>
        <v>0</v>
      </c>
      <c r="S61" s="127" t="n">
        <f aca="false">VLOOKUP($B61,$C$6:$Z$17,S$22+1)</f>
        <v>0</v>
      </c>
      <c r="T61" s="127" t="n">
        <f aca="false">VLOOKUP($B61,$C$6:$Z$17,T$22+1)</f>
        <v>0</v>
      </c>
      <c r="U61" s="127" t="n">
        <f aca="false">VLOOKUP($B61,$C$6:$AB$17,T$22+3)-SUM(E61:T61)</f>
        <v>0</v>
      </c>
      <c r="W61" s="128" t="n">
        <f aca="false">$D61*E61</f>
        <v>0</v>
      </c>
      <c r="X61" s="128" t="n">
        <f aca="false">$D61*F61</f>
        <v>28.8246708641052</v>
      </c>
      <c r="Y61" s="128" t="n">
        <f aca="false">$D61*G61</f>
        <v>0</v>
      </c>
      <c r="Z61" s="128" t="n">
        <f aca="false">$D61*H61</f>
        <v>0</v>
      </c>
      <c r="AA61" s="128" t="n">
        <f aca="false">$D61*I61</f>
        <v>0</v>
      </c>
      <c r="AB61" s="128" t="n">
        <f aca="false">$D61*J61</f>
        <v>0</v>
      </c>
      <c r="AC61" s="128" t="n">
        <f aca="false">$D61*K61</f>
        <v>0</v>
      </c>
      <c r="AD61" s="128" t="n">
        <f aca="false">$D61*L61</f>
        <v>0</v>
      </c>
      <c r="AE61" s="128" t="n">
        <f aca="false">$D61*M61</f>
        <v>0</v>
      </c>
      <c r="AF61" s="128" t="n">
        <f aca="false">$D61*N61</f>
        <v>0</v>
      </c>
      <c r="AG61" s="128" t="n">
        <f aca="false">$D61*O61</f>
        <v>30.5425459156036</v>
      </c>
      <c r="AH61" s="128" t="n">
        <f aca="false">$D61*P61</f>
        <v>30.7817759227753</v>
      </c>
      <c r="AI61" s="128" t="n">
        <f aca="false">$D61*Q61</f>
        <v>29.4380158824921</v>
      </c>
      <c r="AJ61" s="128" t="n">
        <f aca="false">$D61*R61</f>
        <v>0</v>
      </c>
      <c r="AK61" s="128" t="n">
        <f aca="false">$D61*S61</f>
        <v>0</v>
      </c>
      <c r="AL61" s="128" t="n">
        <f aca="false">$D61*T61</f>
        <v>0</v>
      </c>
      <c r="AN61" s="129" t="n">
        <f aca="false">SUM(W61:AL61)/4</f>
        <v>29.896752146244</v>
      </c>
      <c r="AO61" s="130" t="n">
        <f aca="false">D61</f>
        <v>25.4500007629395</v>
      </c>
    </row>
    <row r="62" customFormat="false" ht="16.5" hidden="false" customHeight="false" outlineLevel="0" collapsed="false">
      <c r="B62" s="116" t="n">
        <f aca="false">MONTH(C62)</f>
        <v>11</v>
      </c>
      <c r="C62" s="125" t="n">
        <f aca="false">PJM_01212000!A46</f>
        <v>36831</v>
      </c>
      <c r="D62" s="126" t="n">
        <f aca="false">PJM_01212000!C46</f>
        <v>25.1499996185303</v>
      </c>
      <c r="E62" s="127" t="n">
        <f aca="false">VLOOKUP($B62,$C$6:$Z$17,E$22+1)</f>
        <v>0</v>
      </c>
      <c r="F62" s="127" t="n">
        <f aca="false">VLOOKUP($B62,$C$6:$Z$17,F$22+1)</f>
        <v>1.1426</v>
      </c>
      <c r="G62" s="127" t="n">
        <f aca="false">VLOOKUP($B62,$C$6:$Z$17,G$22+1)</f>
        <v>0</v>
      </c>
      <c r="H62" s="127" t="n">
        <f aca="false">VLOOKUP($B62,$C$6:$Z$17,H$22+1)</f>
        <v>0</v>
      </c>
      <c r="I62" s="127" t="n">
        <f aca="false">VLOOKUP($B62,$C$6:$Z$17,I$22+1)</f>
        <v>0</v>
      </c>
      <c r="J62" s="127" t="n">
        <f aca="false">VLOOKUP($B62,$C$6:$Z$17,J$22+1)</f>
        <v>0</v>
      </c>
      <c r="K62" s="127" t="n">
        <f aca="false">VLOOKUP($B62,$C$6:$Z$17,K$22+1)</f>
        <v>0</v>
      </c>
      <c r="L62" s="127" t="n">
        <f aca="false">VLOOKUP($B62,$C$6:$Z$17,L$22+1)</f>
        <v>0</v>
      </c>
      <c r="M62" s="127" t="n">
        <f aca="false">VLOOKUP($B62,$C$6:$Z$17,M$22+1)</f>
        <v>0</v>
      </c>
      <c r="N62" s="127" t="n">
        <f aca="false">VLOOKUP($B62,$C$6:$Z$17,N$22+1)</f>
        <v>0</v>
      </c>
      <c r="O62" s="127" t="n">
        <f aca="false">VLOOKUP($B62,$C$6:$Z$17,O$22+1)</f>
        <v>1.2171</v>
      </c>
      <c r="P62" s="127" t="n">
        <f aca="false">VLOOKUP($B62,$C$6:$Z$17,P$22+1)</f>
        <v>1.2269</v>
      </c>
      <c r="Q62" s="127" t="n">
        <f aca="false">VLOOKUP($B62,$C$6:$Z$17,Q$22+1)</f>
        <v>1.1767</v>
      </c>
      <c r="R62" s="127" t="n">
        <f aca="false">VLOOKUP($B62,$C$6:$Z$17,R$22+1)</f>
        <v>0</v>
      </c>
      <c r="S62" s="127" t="n">
        <f aca="false">VLOOKUP($B62,$C$6:$Z$17,S$22+1)</f>
        <v>0</v>
      </c>
      <c r="T62" s="127" t="n">
        <f aca="false">VLOOKUP($B62,$C$6:$Z$17,T$22+1)</f>
        <v>0</v>
      </c>
      <c r="U62" s="127" t="n">
        <f aca="false">VLOOKUP($B62,$C$6:$AB$17,T$22+3)-SUM(E62:T62)</f>
        <v>0</v>
      </c>
      <c r="W62" s="128" t="n">
        <f aca="false">$D62*E62</f>
        <v>0</v>
      </c>
      <c r="X62" s="128" t="n">
        <f aca="false">$D62*F62</f>
        <v>28.7363895641327</v>
      </c>
      <c r="Y62" s="128" t="n">
        <f aca="false">$D62*G62</f>
        <v>0</v>
      </c>
      <c r="Z62" s="128" t="n">
        <f aca="false">$D62*H62</f>
        <v>0</v>
      </c>
      <c r="AA62" s="128" t="n">
        <f aca="false">$D62*I62</f>
        <v>0</v>
      </c>
      <c r="AB62" s="128" t="n">
        <f aca="false">$D62*J62</f>
        <v>0</v>
      </c>
      <c r="AC62" s="128" t="n">
        <f aca="false">$D62*K62</f>
        <v>0</v>
      </c>
      <c r="AD62" s="128" t="n">
        <f aca="false">$D62*L62</f>
        <v>0</v>
      </c>
      <c r="AE62" s="128" t="n">
        <f aca="false">$D62*M62</f>
        <v>0</v>
      </c>
      <c r="AF62" s="128" t="n">
        <f aca="false">$D62*N62</f>
        <v>0</v>
      </c>
      <c r="AG62" s="128" t="n">
        <f aca="false">$D62*O62</f>
        <v>30.6100645357132</v>
      </c>
      <c r="AH62" s="128" t="n">
        <f aca="false">$D62*P62</f>
        <v>30.8565345319748</v>
      </c>
      <c r="AI62" s="128" t="n">
        <f aca="false">$D62*Q62</f>
        <v>29.5940045511246</v>
      </c>
      <c r="AJ62" s="128" t="n">
        <f aca="false">$D62*R62</f>
        <v>0</v>
      </c>
      <c r="AK62" s="128" t="n">
        <f aca="false">$D62*S62</f>
        <v>0</v>
      </c>
      <c r="AL62" s="128" t="n">
        <f aca="false">$D62*T62</f>
        <v>0</v>
      </c>
      <c r="AN62" s="129" t="n">
        <f aca="false">SUM(W62:AL62)/4</f>
        <v>29.9492482957363</v>
      </c>
      <c r="AO62" s="130" t="n">
        <f aca="false">D62</f>
        <v>25.1499996185303</v>
      </c>
    </row>
    <row r="63" customFormat="false" ht="16.5" hidden="false" customHeight="false" outlineLevel="0" collapsed="false">
      <c r="B63" s="116" t="n">
        <f aca="false">MONTH(C63)</f>
        <v>12</v>
      </c>
      <c r="C63" s="125" t="n">
        <f aca="false">PJM_01212000!A47</f>
        <v>36861</v>
      </c>
      <c r="D63" s="126" t="n">
        <f aca="false">PJM_01212000!C47</f>
        <v>27.375</v>
      </c>
      <c r="E63" s="127" t="n">
        <f aca="false">VLOOKUP($B63,$C$6:$Z$17,E$22+1)</f>
        <v>0</v>
      </c>
      <c r="F63" s="127" t="n">
        <f aca="false">VLOOKUP($B63,$C$6:$Z$17,F$22+1)</f>
        <v>1.1638</v>
      </c>
      <c r="G63" s="127" t="n">
        <f aca="false">VLOOKUP($B63,$C$6:$Z$17,G$22+1)</f>
        <v>0</v>
      </c>
      <c r="H63" s="127" t="n">
        <f aca="false">VLOOKUP($B63,$C$6:$Z$17,H$22+1)</f>
        <v>0</v>
      </c>
      <c r="I63" s="127" t="n">
        <f aca="false">VLOOKUP($B63,$C$6:$Z$17,I$22+1)</f>
        <v>0</v>
      </c>
      <c r="J63" s="127" t="n">
        <f aca="false">VLOOKUP($B63,$C$6:$Z$17,J$22+1)</f>
        <v>0</v>
      </c>
      <c r="K63" s="127" t="n">
        <f aca="false">VLOOKUP($B63,$C$6:$Z$17,K$22+1)</f>
        <v>0</v>
      </c>
      <c r="L63" s="127" t="n">
        <f aca="false">VLOOKUP($B63,$C$6:$Z$17,L$22+1)</f>
        <v>0</v>
      </c>
      <c r="M63" s="127" t="n">
        <f aca="false">VLOOKUP($B63,$C$6:$Z$17,M$22+1)</f>
        <v>0</v>
      </c>
      <c r="N63" s="127" t="n">
        <f aca="false">VLOOKUP($B63,$C$6:$Z$17,N$22+1)</f>
        <v>0</v>
      </c>
      <c r="O63" s="127" t="n">
        <f aca="false">VLOOKUP($B63,$C$6:$Z$17,O$22+1)</f>
        <v>1.23965925286319</v>
      </c>
      <c r="P63" s="127" t="n">
        <f aca="false">VLOOKUP($B63,$C$6:$Z$17,P$22+1)</f>
        <v>1.2314</v>
      </c>
      <c r="Q63" s="127" t="n">
        <f aca="false">VLOOKUP($B63,$C$6:$Z$17,Q$22+1)</f>
        <v>1.18899630831453</v>
      </c>
      <c r="R63" s="127" t="n">
        <f aca="false">VLOOKUP($B63,$C$6:$Z$17,R$22+1)</f>
        <v>0</v>
      </c>
      <c r="S63" s="127" t="n">
        <f aca="false">VLOOKUP($B63,$C$6:$Z$17,S$22+1)</f>
        <v>0</v>
      </c>
      <c r="T63" s="127" t="n">
        <f aca="false">VLOOKUP($B63,$C$6:$Z$17,T$22+1)</f>
        <v>0</v>
      </c>
      <c r="U63" s="127" t="n">
        <f aca="false">VLOOKUP($B63,$C$6:$AB$17,T$22+3)-SUM(E63:T63)</f>
        <v>0</v>
      </c>
      <c r="W63" s="128" t="n">
        <f aca="false">$D63*E63</f>
        <v>0</v>
      </c>
      <c r="X63" s="128" t="n">
        <f aca="false">$D63*F63</f>
        <v>31.859025</v>
      </c>
      <c r="Y63" s="128" t="n">
        <f aca="false">$D63*G63</f>
        <v>0</v>
      </c>
      <c r="Z63" s="128" t="n">
        <f aca="false">$D63*H63</f>
        <v>0</v>
      </c>
      <c r="AA63" s="128" t="n">
        <f aca="false">$D63*I63</f>
        <v>0</v>
      </c>
      <c r="AB63" s="128" t="n">
        <f aca="false">$D63*J63</f>
        <v>0</v>
      </c>
      <c r="AC63" s="128" t="n">
        <f aca="false">$D63*K63</f>
        <v>0</v>
      </c>
      <c r="AD63" s="128" t="n">
        <f aca="false">$D63*L63</f>
        <v>0</v>
      </c>
      <c r="AE63" s="128" t="n">
        <f aca="false">$D63*M63</f>
        <v>0</v>
      </c>
      <c r="AF63" s="128" t="n">
        <f aca="false">$D63*N63</f>
        <v>0</v>
      </c>
      <c r="AG63" s="128" t="n">
        <f aca="false">$D63*O63</f>
        <v>33.9356720471298</v>
      </c>
      <c r="AH63" s="128" t="n">
        <f aca="false">$D63*P63</f>
        <v>33.709575</v>
      </c>
      <c r="AI63" s="128" t="n">
        <f aca="false">$D63*Q63</f>
        <v>32.5487739401103</v>
      </c>
      <c r="AJ63" s="128" t="n">
        <f aca="false">$D63*R63</f>
        <v>0</v>
      </c>
      <c r="AK63" s="128" t="n">
        <f aca="false">$D63*S63</f>
        <v>0</v>
      </c>
      <c r="AL63" s="128" t="n">
        <f aca="false">$D63*T63</f>
        <v>0</v>
      </c>
      <c r="AN63" s="129" t="n">
        <f aca="false">SUM(W63:AL63)/4</f>
        <v>33.01326149681</v>
      </c>
      <c r="AO63" s="130" t="n">
        <f aca="false">D63</f>
        <v>27.375</v>
      </c>
    </row>
    <row r="64" customFormat="false" ht="16.5" hidden="false" customHeight="false" outlineLevel="0" collapsed="false">
      <c r="B64" s="116" t="n">
        <f aca="false">MONTH(C64)</f>
        <v>1</v>
      </c>
      <c r="C64" s="125" t="n">
        <f aca="false">PJM_01212000!A48</f>
        <v>36892</v>
      </c>
      <c r="D64" s="126" t="n">
        <f aca="false">PJM_01212000!C48</f>
        <v>35.2249984741211</v>
      </c>
      <c r="E64" s="127" t="n">
        <f aca="false">VLOOKUP($B64,$C$6:$Z$17,E$22+1)</f>
        <v>0</v>
      </c>
      <c r="F64" s="127" t="n">
        <f aca="false">VLOOKUP($B64,$C$6:$Z$17,F$22+1)</f>
        <v>1.19981175661928</v>
      </c>
      <c r="G64" s="127" t="n">
        <f aca="false">VLOOKUP($B64,$C$6:$Z$17,G$22+1)</f>
        <v>1.19616001156207</v>
      </c>
      <c r="H64" s="127" t="n">
        <f aca="false">VLOOKUP($B64,$C$6:$Z$17,H$22+1)</f>
        <v>0</v>
      </c>
      <c r="I64" s="127" t="n">
        <f aca="false">VLOOKUP($B64,$C$6:$Z$17,I$22+1)</f>
        <v>0</v>
      </c>
      <c r="J64" s="127" t="n">
        <f aca="false">VLOOKUP($B64,$C$6:$Z$17,J$22+1)</f>
        <v>0</v>
      </c>
      <c r="K64" s="127" t="n">
        <f aca="false">VLOOKUP($B64,$C$6:$Z$17,K$22+1)</f>
        <v>0</v>
      </c>
      <c r="L64" s="127" t="n">
        <f aca="false">VLOOKUP($B64,$C$6:$Z$17,L$22+1)</f>
        <v>0</v>
      </c>
      <c r="M64" s="127" t="n">
        <f aca="false">VLOOKUP($B64,$C$6:$Z$17,M$22+1)</f>
        <v>0</v>
      </c>
      <c r="N64" s="127" t="n">
        <f aca="false">VLOOKUP($B64,$C$6:$Z$17,N$22+1)</f>
        <v>0</v>
      </c>
      <c r="O64" s="127" t="n">
        <f aca="false">VLOOKUP($B64,$C$6:$Z$17,O$22+1)</f>
        <v>0</v>
      </c>
      <c r="P64" s="127" t="n">
        <f aca="false">VLOOKUP($B64,$C$6:$Z$17,P$22+1)</f>
        <v>1.28189922894351</v>
      </c>
      <c r="Q64" s="127" t="n">
        <f aca="false">VLOOKUP($B64,$C$6:$Z$17,Q$22+1)</f>
        <v>1.227</v>
      </c>
      <c r="R64" s="127" t="n">
        <f aca="false">VLOOKUP($B64,$C$6:$Z$17,R$22+1)</f>
        <v>0</v>
      </c>
      <c r="S64" s="127" t="n">
        <f aca="false">VLOOKUP($B64,$C$6:$Z$17,S$22+1)</f>
        <v>0</v>
      </c>
      <c r="T64" s="127" t="n">
        <f aca="false">VLOOKUP($B64,$C$6:$Z$17,T$22+1)</f>
        <v>0</v>
      </c>
      <c r="U64" s="127" t="n">
        <f aca="false">VLOOKUP($B64,$C$6:$AB$17,T$22+3)-SUM(E64:T64)</f>
        <v>0</v>
      </c>
      <c r="W64" s="128" t="n">
        <f aca="false">$D64*E64</f>
        <v>0</v>
      </c>
      <c r="X64" s="128" t="n">
        <f aca="false">$D64*F64</f>
        <v>42.2633672961468</v>
      </c>
      <c r="Y64" s="128" t="n">
        <f aca="false">$D64*G64</f>
        <v>42.1347345820786</v>
      </c>
      <c r="Z64" s="128" t="n">
        <f aca="false">$D64*H64</f>
        <v>0</v>
      </c>
      <c r="AA64" s="128" t="n">
        <f aca="false">$D64*I64</f>
        <v>0</v>
      </c>
      <c r="AB64" s="128" t="n">
        <f aca="false">$D64*J64</f>
        <v>0</v>
      </c>
      <c r="AC64" s="128" t="n">
        <f aca="false">$D64*K64</f>
        <v>0</v>
      </c>
      <c r="AD64" s="128" t="n">
        <f aca="false">$D64*L64</f>
        <v>0</v>
      </c>
      <c r="AE64" s="128" t="n">
        <f aca="false">$D64*M64</f>
        <v>0</v>
      </c>
      <c r="AF64" s="128" t="n">
        <f aca="false">$D64*N64</f>
        <v>0</v>
      </c>
      <c r="AG64" s="128" t="n">
        <f aca="false">$D64*O64</f>
        <v>0</v>
      </c>
      <c r="AH64" s="128" t="n">
        <f aca="false">$D64*P64</f>
        <v>45.1548983835122</v>
      </c>
      <c r="AI64" s="128" t="n">
        <f aca="false">$D64*Q64</f>
        <v>43.2210731277466</v>
      </c>
      <c r="AJ64" s="128" t="n">
        <f aca="false">$D64*R64</f>
        <v>0</v>
      </c>
      <c r="AK64" s="128" t="n">
        <f aca="false">$D64*S64</f>
        <v>0</v>
      </c>
      <c r="AL64" s="128" t="n">
        <f aca="false">$D64*T64</f>
        <v>0</v>
      </c>
      <c r="AN64" s="129" t="n">
        <f aca="false">SUM(W64:AL64)/4</f>
        <v>43.1935183473711</v>
      </c>
      <c r="AO64" s="130" t="n">
        <f aca="false">D64</f>
        <v>35.2249984741211</v>
      </c>
    </row>
    <row r="65" customFormat="false" ht="16.5" hidden="false" customHeight="false" outlineLevel="0" collapsed="false">
      <c r="B65" s="116" t="n">
        <f aca="false">MONTH(C65)</f>
        <v>2</v>
      </c>
      <c r="C65" s="125" t="n">
        <f aca="false">PJM_01212000!A49</f>
        <v>36923</v>
      </c>
      <c r="D65" s="126" t="n">
        <f aca="false">PJM_01212000!C49</f>
        <v>35.2249984741211</v>
      </c>
      <c r="E65" s="127" t="n">
        <f aca="false">VLOOKUP($B65,$C$6:$Z$17,E$22+1)</f>
        <v>0</v>
      </c>
      <c r="F65" s="127" t="n">
        <f aca="false">VLOOKUP($B65,$C$6:$Z$17,F$22+1)</f>
        <v>1.19981175661928</v>
      </c>
      <c r="G65" s="127" t="n">
        <f aca="false">VLOOKUP($B65,$C$6:$Z$17,G$22+1)</f>
        <v>1.19616001156207</v>
      </c>
      <c r="H65" s="127" t="n">
        <f aca="false">VLOOKUP($B65,$C$6:$Z$17,H$22+1)</f>
        <v>0</v>
      </c>
      <c r="I65" s="127" t="n">
        <f aca="false">VLOOKUP($B65,$C$6:$Z$17,I$22+1)</f>
        <v>0</v>
      </c>
      <c r="J65" s="127" t="n">
        <f aca="false">VLOOKUP($B65,$C$6:$Z$17,J$22+1)</f>
        <v>0</v>
      </c>
      <c r="K65" s="127" t="n">
        <f aca="false">VLOOKUP($B65,$C$6:$Z$17,K$22+1)</f>
        <v>0</v>
      </c>
      <c r="L65" s="127" t="n">
        <f aca="false">VLOOKUP($B65,$C$6:$Z$17,L$22+1)</f>
        <v>0</v>
      </c>
      <c r="M65" s="127" t="n">
        <f aca="false">VLOOKUP($B65,$C$6:$Z$17,M$22+1)</f>
        <v>0</v>
      </c>
      <c r="N65" s="127" t="n">
        <f aca="false">VLOOKUP($B65,$C$6:$Z$17,N$22+1)</f>
        <v>0</v>
      </c>
      <c r="O65" s="127" t="n">
        <f aca="false">VLOOKUP($B65,$C$6:$Z$17,O$22+1)</f>
        <v>0</v>
      </c>
      <c r="P65" s="127" t="n">
        <f aca="false">VLOOKUP($B65,$C$6:$Z$17,P$22+1)</f>
        <v>1.28189922894351</v>
      </c>
      <c r="Q65" s="127" t="n">
        <f aca="false">VLOOKUP($B65,$C$6:$Z$17,Q$22+1)</f>
        <v>1.227</v>
      </c>
      <c r="R65" s="127" t="n">
        <f aca="false">VLOOKUP($B65,$C$6:$Z$17,R$22+1)</f>
        <v>0</v>
      </c>
      <c r="S65" s="127" t="n">
        <f aca="false">VLOOKUP($B65,$C$6:$Z$17,S$22+1)</f>
        <v>0</v>
      </c>
      <c r="T65" s="127" t="n">
        <f aca="false">VLOOKUP($B65,$C$6:$Z$17,T$22+1)</f>
        <v>0</v>
      </c>
      <c r="U65" s="127" t="n">
        <f aca="false">VLOOKUP($B65,$C$6:$AB$17,T$22+3)-SUM(E65:T65)</f>
        <v>0</v>
      </c>
      <c r="W65" s="128" t="n">
        <f aca="false">$D65*E65</f>
        <v>0</v>
      </c>
      <c r="X65" s="128" t="n">
        <f aca="false">$D65*F65</f>
        <v>42.2633672961468</v>
      </c>
      <c r="Y65" s="128" t="n">
        <f aca="false">$D65*G65</f>
        <v>42.1347345820786</v>
      </c>
      <c r="Z65" s="128" t="n">
        <f aca="false">$D65*H65</f>
        <v>0</v>
      </c>
      <c r="AA65" s="128" t="n">
        <f aca="false">$D65*I65</f>
        <v>0</v>
      </c>
      <c r="AB65" s="128" t="n">
        <f aca="false">$D65*J65</f>
        <v>0</v>
      </c>
      <c r="AC65" s="128" t="n">
        <f aca="false">$D65*K65</f>
        <v>0</v>
      </c>
      <c r="AD65" s="128" t="n">
        <f aca="false">$D65*L65</f>
        <v>0</v>
      </c>
      <c r="AE65" s="128" t="n">
        <f aca="false">$D65*M65</f>
        <v>0</v>
      </c>
      <c r="AF65" s="128" t="n">
        <f aca="false">$D65*N65</f>
        <v>0</v>
      </c>
      <c r="AG65" s="128" t="n">
        <f aca="false">$D65*O65</f>
        <v>0</v>
      </c>
      <c r="AH65" s="128" t="n">
        <f aca="false">$D65*P65</f>
        <v>45.1548983835122</v>
      </c>
      <c r="AI65" s="128" t="n">
        <f aca="false">$D65*Q65</f>
        <v>43.2210731277466</v>
      </c>
      <c r="AJ65" s="128" t="n">
        <f aca="false">$D65*R65</f>
        <v>0</v>
      </c>
      <c r="AK65" s="128" t="n">
        <f aca="false">$D65*S65</f>
        <v>0</v>
      </c>
      <c r="AL65" s="128" t="n">
        <f aca="false">$D65*T65</f>
        <v>0</v>
      </c>
      <c r="AN65" s="129" t="n">
        <f aca="false">SUM(W65:AL65)/4</f>
        <v>43.1935183473711</v>
      </c>
      <c r="AO65" s="130" t="n">
        <f aca="false">D65</f>
        <v>35.2249984741211</v>
      </c>
    </row>
    <row r="66" customFormat="false" ht="16.5" hidden="false" customHeight="false" outlineLevel="0" collapsed="false">
      <c r="B66" s="116" t="n">
        <f aca="false">MONTH(C66)</f>
        <v>3</v>
      </c>
      <c r="C66" s="125" t="n">
        <f aca="false">PJM_01212000!A50</f>
        <v>36951</v>
      </c>
      <c r="D66" s="126" t="n">
        <f aca="false">PJM_01212000!C50</f>
        <v>25.5750007629395</v>
      </c>
      <c r="E66" s="127" t="n">
        <f aca="false">VLOOKUP($B66,$C$6:$Z$17,E$22+1)</f>
        <v>0</v>
      </c>
      <c r="F66" s="127" t="n">
        <f aca="false">VLOOKUP($B66,$C$6:$Z$17,F$22+1)</f>
        <v>1.1898</v>
      </c>
      <c r="G66" s="127" t="n">
        <f aca="false">VLOOKUP($B66,$C$6:$Z$17,G$22+1)</f>
        <v>1.1862</v>
      </c>
      <c r="H66" s="127" t="n">
        <f aca="false">VLOOKUP($B66,$C$6:$Z$17,H$22+1)</f>
        <v>0</v>
      </c>
      <c r="I66" s="127" t="n">
        <f aca="false">VLOOKUP($B66,$C$6:$Z$17,I$22+1)</f>
        <v>0</v>
      </c>
      <c r="J66" s="127" t="n">
        <f aca="false">VLOOKUP($B66,$C$6:$Z$17,J$22+1)</f>
        <v>0</v>
      </c>
      <c r="K66" s="127" t="n">
        <f aca="false">VLOOKUP($B66,$C$6:$Z$17,K$22+1)</f>
        <v>0</v>
      </c>
      <c r="L66" s="127" t="n">
        <f aca="false">VLOOKUP($B66,$C$6:$Z$17,L$22+1)</f>
        <v>0</v>
      </c>
      <c r="M66" s="127" t="n">
        <f aca="false">VLOOKUP($B66,$C$6:$Z$17,M$22+1)</f>
        <v>0</v>
      </c>
      <c r="N66" s="127" t="n">
        <f aca="false">VLOOKUP($B66,$C$6:$Z$17,N$22+1)</f>
        <v>0</v>
      </c>
      <c r="O66" s="127" t="n">
        <f aca="false">VLOOKUP($B66,$C$6:$Z$17,O$22+1)</f>
        <v>0</v>
      </c>
      <c r="P66" s="127" t="n">
        <f aca="false">VLOOKUP($B66,$C$6:$Z$17,P$22+1)</f>
        <v>1.2719</v>
      </c>
      <c r="Q66" s="127" t="n">
        <f aca="false">VLOOKUP($B66,$C$6:$Z$17,Q$22+1)</f>
        <v>1.217</v>
      </c>
      <c r="R66" s="127" t="n">
        <f aca="false">VLOOKUP($B66,$C$6:$Z$17,R$22+1)</f>
        <v>0</v>
      </c>
      <c r="S66" s="127" t="n">
        <f aca="false">VLOOKUP($B66,$C$6:$Z$17,S$22+1)</f>
        <v>0</v>
      </c>
      <c r="T66" s="127" t="n">
        <f aca="false">VLOOKUP($B66,$C$6:$Z$17,T$22+1)</f>
        <v>0</v>
      </c>
      <c r="U66" s="127" t="n">
        <f aca="false">VLOOKUP($B66,$C$6:$AB$17,T$22+3)-SUM(E66:T66)</f>
        <v>0</v>
      </c>
      <c r="W66" s="128" t="n">
        <f aca="false">$D66*E66</f>
        <v>0</v>
      </c>
      <c r="X66" s="128" t="n">
        <f aca="false">$D66*F66</f>
        <v>30.4291359077454</v>
      </c>
      <c r="Y66" s="128" t="n">
        <f aca="false">$D66*G66</f>
        <v>30.3370659049988</v>
      </c>
      <c r="Z66" s="128" t="n">
        <f aca="false">$D66*H66</f>
        <v>0</v>
      </c>
      <c r="AA66" s="128" t="n">
        <f aca="false">$D66*I66</f>
        <v>0</v>
      </c>
      <c r="AB66" s="128" t="n">
        <f aca="false">$D66*J66</f>
        <v>0</v>
      </c>
      <c r="AC66" s="128" t="n">
        <f aca="false">$D66*K66</f>
        <v>0</v>
      </c>
      <c r="AD66" s="128" t="n">
        <f aca="false">$D66*L66</f>
        <v>0</v>
      </c>
      <c r="AE66" s="128" t="n">
        <f aca="false">$D66*M66</f>
        <v>0</v>
      </c>
      <c r="AF66" s="128" t="n">
        <f aca="false">$D66*N66</f>
        <v>0</v>
      </c>
      <c r="AG66" s="128" t="n">
        <f aca="false">$D66*O66</f>
        <v>0</v>
      </c>
      <c r="AH66" s="128" t="n">
        <f aca="false">$D66*P66</f>
        <v>32.5288434703827</v>
      </c>
      <c r="AI66" s="128" t="n">
        <f aca="false">$D66*Q66</f>
        <v>31.1247759284973</v>
      </c>
      <c r="AJ66" s="128" t="n">
        <f aca="false">$D66*R66</f>
        <v>0</v>
      </c>
      <c r="AK66" s="128" t="n">
        <f aca="false">$D66*S66</f>
        <v>0</v>
      </c>
      <c r="AL66" s="128" t="n">
        <f aca="false">$D66*T66</f>
        <v>0</v>
      </c>
      <c r="AN66" s="129" t="n">
        <f aca="false">SUM(W66:AL66)/4</f>
        <v>31.104955302906</v>
      </c>
      <c r="AO66" s="130" t="n">
        <f aca="false">D66</f>
        <v>25.5750007629395</v>
      </c>
    </row>
    <row r="67" customFormat="false" ht="16.5" hidden="false" customHeight="false" outlineLevel="0" collapsed="false">
      <c r="B67" s="116" t="n">
        <f aca="false">MONTH(C67)</f>
        <v>4</v>
      </c>
      <c r="C67" s="125" t="n">
        <f aca="false">PJM_01212000!A51</f>
        <v>36982</v>
      </c>
      <c r="D67" s="126" t="n">
        <f aca="false">PJM_01212000!C51</f>
        <v>25.5750007629395</v>
      </c>
      <c r="E67" s="127" t="n">
        <f aca="false">VLOOKUP($B67,$C$6:$Z$17,E$22+1)</f>
        <v>1.1232726508202</v>
      </c>
      <c r="F67" s="127" t="n">
        <f aca="false">VLOOKUP($B67,$C$6:$Z$17,F$22+1)</f>
        <v>1.14131544612562</v>
      </c>
      <c r="G67" s="127" t="n">
        <f aca="false">VLOOKUP($B67,$C$6:$Z$17,G$22+1)</f>
        <v>0</v>
      </c>
      <c r="H67" s="127" t="n">
        <f aca="false">VLOOKUP($B67,$C$6:$Z$17,H$22+1)</f>
        <v>0</v>
      </c>
      <c r="I67" s="127" t="n">
        <f aca="false">VLOOKUP($B67,$C$6:$Z$17,I$22+1)</f>
        <v>1.11852454679246</v>
      </c>
      <c r="J67" s="127" t="n">
        <f aca="false">VLOOKUP($B67,$C$6:$Z$17,J$22+1)</f>
        <v>0</v>
      </c>
      <c r="K67" s="127" t="n">
        <f aca="false">VLOOKUP($B67,$C$6:$Z$17,K$22+1)</f>
        <v>0</v>
      </c>
      <c r="L67" s="127" t="n">
        <f aca="false">VLOOKUP($B67,$C$6:$Z$17,L$22+1)</f>
        <v>0</v>
      </c>
      <c r="M67" s="127" t="n">
        <f aca="false">VLOOKUP($B67,$C$6:$Z$17,M$22+1)</f>
        <v>0</v>
      </c>
      <c r="N67" s="127" t="n">
        <f aca="false">VLOOKUP($B67,$C$6:$Z$17,N$22+1)</f>
        <v>0</v>
      </c>
      <c r="O67" s="127" t="n">
        <f aca="false">VLOOKUP($B67,$C$6:$Z$17,O$22+1)</f>
        <v>0</v>
      </c>
      <c r="P67" s="127" t="n">
        <f aca="false">VLOOKUP($B67,$C$6:$Z$17,P$22+1)</f>
        <v>0</v>
      </c>
      <c r="Q67" s="127" t="n">
        <f aca="false">VLOOKUP($B67,$C$6:$Z$17,Q$22+1)</f>
        <v>0</v>
      </c>
      <c r="R67" s="127" t="n">
        <f aca="false">VLOOKUP($B67,$C$6:$Z$17,R$22+1)</f>
        <v>1.15433651784915</v>
      </c>
      <c r="S67" s="127" t="n">
        <f aca="false">VLOOKUP($B67,$C$6:$Z$17,S$22+1)</f>
        <v>0</v>
      </c>
      <c r="T67" s="127" t="n">
        <f aca="false">VLOOKUP($B67,$C$6:$Z$17,T$22+1)</f>
        <v>0</v>
      </c>
      <c r="U67" s="127" t="n">
        <f aca="false">VLOOKUP($B67,$C$6:$AB$17,T$22+3)-SUM(E67:T67)</f>
        <v>0</v>
      </c>
      <c r="W67" s="128" t="n">
        <f aca="false">$D67*E67</f>
        <v>28.7276989017158</v>
      </c>
      <c r="X67" s="128" t="n">
        <f aca="false">$D67*F67</f>
        <v>29.1891434054172</v>
      </c>
      <c r="Y67" s="128" t="n">
        <f aca="false">$D67*G67</f>
        <v>0</v>
      </c>
      <c r="Z67" s="128" t="n">
        <f aca="false">$D67*H67</f>
        <v>0</v>
      </c>
      <c r="AA67" s="128" t="n">
        <f aca="false">$D67*I67</f>
        <v>28.6062661375838</v>
      </c>
      <c r="AB67" s="128" t="n">
        <f aca="false">$D67*J67</f>
        <v>0</v>
      </c>
      <c r="AC67" s="128" t="n">
        <f aca="false">$D67*K67</f>
        <v>0</v>
      </c>
      <c r="AD67" s="128" t="n">
        <f aca="false">$D67*L67</f>
        <v>0</v>
      </c>
      <c r="AE67" s="128" t="n">
        <f aca="false">$D67*M67</f>
        <v>0</v>
      </c>
      <c r="AF67" s="128" t="n">
        <f aca="false">$D67*N67</f>
        <v>0</v>
      </c>
      <c r="AG67" s="128" t="n">
        <f aca="false">$D67*O67</f>
        <v>0</v>
      </c>
      <c r="AH67" s="128" t="n">
        <f aca="false">$D67*P67</f>
        <v>0</v>
      </c>
      <c r="AI67" s="128" t="n">
        <f aca="false">$D67*Q67</f>
        <v>0</v>
      </c>
      <c r="AJ67" s="128" t="n">
        <f aca="false">$D67*R67</f>
        <v>29.5221573246809</v>
      </c>
      <c r="AK67" s="128" t="n">
        <f aca="false">$D67*S67</f>
        <v>0</v>
      </c>
      <c r="AL67" s="128" t="n">
        <f aca="false">$D67*T67</f>
        <v>0</v>
      </c>
      <c r="AN67" s="129" t="n">
        <f aca="false">SUM(W67:AL67)/4</f>
        <v>29.0113164423494</v>
      </c>
      <c r="AO67" s="130" t="n">
        <f aca="false">D67</f>
        <v>25.5750007629395</v>
      </c>
    </row>
    <row r="68" customFormat="false" ht="16.5" hidden="false" customHeight="false" outlineLevel="0" collapsed="false">
      <c r="B68" s="116" t="n">
        <f aca="false">MONTH(C68)</f>
        <v>5</v>
      </c>
      <c r="C68" s="125" t="n">
        <f aca="false">PJM_01212000!A52</f>
        <v>37012</v>
      </c>
      <c r="D68" s="126" t="n">
        <f aca="false">PJM_01212000!C52</f>
        <v>30.875</v>
      </c>
      <c r="E68" s="127" t="n">
        <f aca="false">VLOOKUP($B68,$C$6:$Z$17,E$22+1)</f>
        <v>0</v>
      </c>
      <c r="F68" s="127" t="n">
        <f aca="false">VLOOKUP($B68,$C$6:$Z$17,F$22+1)</f>
        <v>0</v>
      </c>
      <c r="G68" s="127" t="n">
        <f aca="false">VLOOKUP($B68,$C$6:$Z$17,G$22+1)</f>
        <v>1.06102662180267</v>
      </c>
      <c r="H68" s="127" t="n">
        <f aca="false">VLOOKUP($B68,$C$6:$Z$17,H$22+1)</f>
        <v>1.12549986193072</v>
      </c>
      <c r="I68" s="127" t="n">
        <f aca="false">VLOOKUP($B68,$C$6:$Z$17,I$22+1)</f>
        <v>1.11699070333514</v>
      </c>
      <c r="J68" s="127" t="n">
        <f aca="false">VLOOKUP($B68,$C$6:$Z$17,J$22+1)</f>
        <v>0</v>
      </c>
      <c r="K68" s="127" t="n">
        <f aca="false">VLOOKUP($B68,$C$6:$Z$17,K$22+1)</f>
        <v>0</v>
      </c>
      <c r="L68" s="127" t="n">
        <f aca="false">VLOOKUP($B68,$C$6:$Z$17,L$22+1)</f>
        <v>0</v>
      </c>
      <c r="M68" s="127" t="n">
        <f aca="false">VLOOKUP($B68,$C$6:$Z$17,M$22+1)</f>
        <v>0</v>
      </c>
      <c r="N68" s="127" t="n">
        <f aca="false">VLOOKUP($B68,$C$6:$Z$17,N$22+1)</f>
        <v>0</v>
      </c>
      <c r="O68" s="127" t="n">
        <f aca="false">VLOOKUP($B68,$C$6:$Z$17,O$22+1)</f>
        <v>0</v>
      </c>
      <c r="P68" s="127" t="n">
        <f aca="false">VLOOKUP($B68,$C$6:$Z$17,P$22+1)</f>
        <v>0</v>
      </c>
      <c r="Q68" s="127" t="n">
        <f aca="false">VLOOKUP($B68,$C$6:$Z$17,Q$22+1)</f>
        <v>0</v>
      </c>
      <c r="R68" s="127" t="n">
        <f aca="false">VLOOKUP($B68,$C$6:$Z$17,R$22+1)</f>
        <v>1.08769956124651</v>
      </c>
      <c r="S68" s="127" t="n">
        <f aca="false">VLOOKUP($B68,$C$6:$Z$17,S$22+1)</f>
        <v>0</v>
      </c>
      <c r="T68" s="127" t="n">
        <f aca="false">VLOOKUP($B68,$C$6:$Z$17,T$22+1)</f>
        <v>0</v>
      </c>
      <c r="U68" s="127" t="n">
        <f aca="false">VLOOKUP($B68,$C$6:$AB$17,T$22+3)-SUM(E68:T68)</f>
        <v>0</v>
      </c>
      <c r="W68" s="128" t="n">
        <f aca="false">$D68*E68</f>
        <v>0</v>
      </c>
      <c r="X68" s="128" t="n">
        <f aca="false">$D68*F68</f>
        <v>0</v>
      </c>
      <c r="Y68" s="128" t="n">
        <f aca="false">$D68*G68</f>
        <v>32.7591969481575</v>
      </c>
      <c r="Z68" s="128" t="n">
        <f aca="false">$D68*H68</f>
        <v>34.749808237111</v>
      </c>
      <c r="AA68" s="128" t="n">
        <f aca="false">$D68*I68</f>
        <v>34.4870879654724</v>
      </c>
      <c r="AB68" s="128" t="n">
        <f aca="false">$D68*J68</f>
        <v>0</v>
      </c>
      <c r="AC68" s="128" t="n">
        <f aca="false">$D68*K68</f>
        <v>0</v>
      </c>
      <c r="AD68" s="128" t="n">
        <f aca="false">$D68*L68</f>
        <v>0</v>
      </c>
      <c r="AE68" s="128" t="n">
        <f aca="false">$D68*M68</f>
        <v>0</v>
      </c>
      <c r="AF68" s="128" t="n">
        <f aca="false">$D68*N68</f>
        <v>0</v>
      </c>
      <c r="AG68" s="128" t="n">
        <f aca="false">$D68*O68</f>
        <v>0</v>
      </c>
      <c r="AH68" s="128" t="n">
        <f aca="false">$D68*P68</f>
        <v>0</v>
      </c>
      <c r="AI68" s="128" t="n">
        <f aca="false">$D68*Q68</f>
        <v>0</v>
      </c>
      <c r="AJ68" s="128" t="n">
        <f aca="false">$D68*R68</f>
        <v>33.582723953486</v>
      </c>
      <c r="AK68" s="128" t="n">
        <f aca="false">$D68*S68</f>
        <v>0</v>
      </c>
      <c r="AL68" s="128" t="n">
        <f aca="false">$D68*T68</f>
        <v>0</v>
      </c>
      <c r="AN68" s="129" t="n">
        <f aca="false">SUM(W68:AL68)/4</f>
        <v>33.8947042760567</v>
      </c>
      <c r="AO68" s="130" t="n">
        <f aca="false">D68</f>
        <v>30.875</v>
      </c>
    </row>
    <row r="69" customFormat="false" ht="16.5" hidden="false" customHeight="false" outlineLevel="0" collapsed="false">
      <c r="B69" s="116" t="n">
        <f aca="false">MONTH(C69)</f>
        <v>6</v>
      </c>
      <c r="C69" s="125" t="n">
        <f aca="false">PJM_01212000!A53</f>
        <v>37043</v>
      </c>
      <c r="D69" s="126" t="n">
        <f aca="false">PJM_01212000!C53</f>
        <v>55.3499984741211</v>
      </c>
      <c r="E69" s="127" t="n">
        <f aca="false">VLOOKUP($B69,$C$6:$Z$17,E$22+1)</f>
        <v>0</v>
      </c>
      <c r="F69" s="127" t="n">
        <f aca="false">VLOOKUP($B69,$C$6:$Z$17,F$22+1)</f>
        <v>0</v>
      </c>
      <c r="G69" s="127" t="n">
        <f aca="false">VLOOKUP($B69,$C$6:$Z$17,G$22+1)</f>
        <v>0</v>
      </c>
      <c r="H69" s="127" t="n">
        <f aca="false">VLOOKUP($B69,$C$6:$Z$17,H$22+1)</f>
        <v>0</v>
      </c>
      <c r="I69" s="127" t="n">
        <f aca="false">VLOOKUP($B69,$C$6:$Z$17,I$22+1)</f>
        <v>0</v>
      </c>
      <c r="J69" s="127" t="n">
        <f aca="false">VLOOKUP($B69,$C$6:$Z$17,J$22+1)</f>
        <v>0</v>
      </c>
      <c r="K69" s="127" t="n">
        <f aca="false">VLOOKUP($B69,$C$6:$Z$17,K$22+1)</f>
        <v>1.22092018621818</v>
      </c>
      <c r="L69" s="127" t="n">
        <f aca="false">VLOOKUP($B69,$C$6:$Z$17,L$22+1)</f>
        <v>1.23031497714214</v>
      </c>
      <c r="M69" s="127" t="n">
        <f aca="false">VLOOKUP($B69,$C$6:$Z$17,M$22+1)</f>
        <v>1.23232814662584</v>
      </c>
      <c r="N69" s="127" t="n">
        <f aca="false">VLOOKUP($B69,$C$6:$Z$17,N$22+1)</f>
        <v>1.25232563016399</v>
      </c>
      <c r="O69" s="127" t="n">
        <f aca="false">VLOOKUP($B69,$C$6:$Z$17,O$22+1)</f>
        <v>0</v>
      </c>
      <c r="P69" s="127" t="n">
        <f aca="false">VLOOKUP($B69,$C$6:$Z$17,P$22+1)</f>
        <v>0</v>
      </c>
      <c r="Q69" s="127" t="n">
        <f aca="false">VLOOKUP($B69,$C$6:$Z$17,Q$22+1)</f>
        <v>0</v>
      </c>
      <c r="R69" s="127" t="n">
        <f aca="false">VLOOKUP($B69,$C$6:$Z$17,R$22+1)</f>
        <v>0</v>
      </c>
      <c r="S69" s="127" t="n">
        <f aca="false">VLOOKUP($B69,$C$6:$Z$17,S$22+1)</f>
        <v>0</v>
      </c>
      <c r="T69" s="127" t="n">
        <f aca="false">VLOOKUP($B69,$C$6:$Z$17,T$22+1)</f>
        <v>0</v>
      </c>
      <c r="U69" s="127" t="n">
        <f aca="false">VLOOKUP($B69,$C$6:$AB$17,T$22+3)-SUM(E69:T69)</f>
        <v>0</v>
      </c>
      <c r="W69" s="128" t="n">
        <f aca="false">$D69*E69</f>
        <v>0</v>
      </c>
      <c r="X69" s="128" t="n">
        <f aca="false">$D69*F69</f>
        <v>0</v>
      </c>
      <c r="Y69" s="128" t="n">
        <f aca="false">$D69*G69</f>
        <v>0</v>
      </c>
      <c r="Z69" s="128" t="n">
        <f aca="false">$D69*H69</f>
        <v>0</v>
      </c>
      <c r="AA69" s="128" t="n">
        <f aca="false">$D69*I69</f>
        <v>0</v>
      </c>
      <c r="AB69" s="128" t="n">
        <f aca="false">$D69*J69</f>
        <v>0</v>
      </c>
      <c r="AC69" s="128" t="n">
        <f aca="false">$D69*K69</f>
        <v>67.5779304441998</v>
      </c>
      <c r="AD69" s="128" t="n">
        <f aca="false">$D69*L69</f>
        <v>68.0979321075057</v>
      </c>
      <c r="AE69" s="128" t="n">
        <f aca="false">$D69*M69</f>
        <v>68.2093610353569</v>
      </c>
      <c r="AF69" s="128" t="n">
        <f aca="false">$D69*N69</f>
        <v>69.3162217186796</v>
      </c>
      <c r="AG69" s="128" t="n">
        <f aca="false">$D69*O69</f>
        <v>0</v>
      </c>
      <c r="AH69" s="128" t="n">
        <f aca="false">$D69*P69</f>
        <v>0</v>
      </c>
      <c r="AI69" s="128" t="n">
        <f aca="false">$D69*Q69</f>
        <v>0</v>
      </c>
      <c r="AJ69" s="128" t="n">
        <f aca="false">$D69*R69</f>
        <v>0</v>
      </c>
      <c r="AK69" s="128" t="n">
        <f aca="false">$D69*S69</f>
        <v>0</v>
      </c>
      <c r="AL69" s="128" t="n">
        <f aca="false">$D69*T69</f>
        <v>0</v>
      </c>
      <c r="AN69" s="129" t="n">
        <f aca="false">SUM(W69:AL69)/4</f>
        <v>68.3003613264355</v>
      </c>
      <c r="AO69" s="130" t="n">
        <f aca="false">D69</f>
        <v>55.3499984741211</v>
      </c>
    </row>
    <row r="70" customFormat="false" ht="16.5" hidden="false" customHeight="false" outlineLevel="0" collapsed="false">
      <c r="B70" s="116" t="n">
        <f aca="false">MONTH(C70)</f>
        <v>7</v>
      </c>
      <c r="C70" s="125" t="n">
        <f aca="false">PJM_01212000!A54</f>
        <v>37073</v>
      </c>
      <c r="D70" s="126" t="n">
        <f aca="false">PJM_01212000!C54</f>
        <v>96.6999969482422</v>
      </c>
      <c r="E70" s="127" t="n">
        <f aca="false">VLOOKUP($B70,$C$6:$Z$17,E$22+1)</f>
        <v>0</v>
      </c>
      <c r="F70" s="127" t="n">
        <f aca="false">VLOOKUP($B70,$C$6:$Z$17,F$22+1)</f>
        <v>0</v>
      </c>
      <c r="G70" s="127" t="n">
        <f aca="false">VLOOKUP($B70,$C$6:$Z$17,G$22+1)</f>
        <v>0</v>
      </c>
      <c r="H70" s="127" t="n">
        <f aca="false">VLOOKUP($B70,$C$6:$Z$17,H$22+1)</f>
        <v>0</v>
      </c>
      <c r="I70" s="127" t="n">
        <f aca="false">VLOOKUP($B70,$C$6:$Z$17,I$22+1)</f>
        <v>0</v>
      </c>
      <c r="J70" s="127" t="n">
        <f aca="false">VLOOKUP($B70,$C$6:$Z$17,J$22+1)</f>
        <v>0</v>
      </c>
      <c r="K70" s="127" t="n">
        <f aca="false">VLOOKUP($B70,$C$6:$Z$17,K$22+1)</f>
        <v>0</v>
      </c>
      <c r="L70" s="127" t="n">
        <f aca="false">VLOOKUP($B70,$C$6:$Z$17,L$22+1)</f>
        <v>1.2506946851613</v>
      </c>
      <c r="M70" s="127" t="n">
        <f aca="false">VLOOKUP($B70,$C$6:$Z$17,M$22+1)</f>
        <v>1.32734019400042</v>
      </c>
      <c r="N70" s="127" t="n">
        <f aca="false">VLOOKUP($B70,$C$6:$Z$17,N$22+1)</f>
        <v>1.35388881627921</v>
      </c>
      <c r="O70" s="127" t="n">
        <f aca="false">VLOOKUP($B70,$C$6:$Z$17,O$22+1)</f>
        <v>1.32033935867348</v>
      </c>
      <c r="P70" s="127" t="n">
        <f aca="false">VLOOKUP($B70,$C$6:$Z$17,P$22+1)</f>
        <v>0</v>
      </c>
      <c r="Q70" s="127" t="n">
        <f aca="false">VLOOKUP($B70,$C$6:$Z$17,Q$22+1)</f>
        <v>0</v>
      </c>
      <c r="R70" s="127" t="n">
        <f aca="false">VLOOKUP($B70,$C$6:$Z$17,R$22+1)</f>
        <v>0</v>
      </c>
      <c r="S70" s="127" t="n">
        <f aca="false">VLOOKUP($B70,$C$6:$Z$17,S$22+1)</f>
        <v>0</v>
      </c>
      <c r="T70" s="127" t="n">
        <f aca="false">VLOOKUP($B70,$C$6:$Z$17,T$22+1)</f>
        <v>0</v>
      </c>
      <c r="U70" s="127" t="n">
        <f aca="false">VLOOKUP($B70,$C$6:$AB$17,T$22+3)-SUM(E70:T70)</f>
        <v>0</v>
      </c>
      <c r="W70" s="128" t="n">
        <f aca="false">$D70*E70</f>
        <v>0</v>
      </c>
      <c r="X70" s="128" t="n">
        <f aca="false">$D70*F70</f>
        <v>0</v>
      </c>
      <c r="Y70" s="128" t="n">
        <f aca="false">$D70*G70</f>
        <v>0</v>
      </c>
      <c r="Z70" s="128" t="n">
        <f aca="false">$D70*H70</f>
        <v>0</v>
      </c>
      <c r="AA70" s="128" t="n">
        <f aca="false">$D70*I70</f>
        <v>0</v>
      </c>
      <c r="AB70" s="128" t="n">
        <f aca="false">$D70*J70</f>
        <v>0</v>
      </c>
      <c r="AC70" s="128" t="n">
        <f aca="false">$D70*K70</f>
        <v>0</v>
      </c>
      <c r="AD70" s="128" t="n">
        <f aca="false">$D70*L70</f>
        <v>120.94217223828</v>
      </c>
      <c r="AE70" s="128" t="n">
        <f aca="false">$D70*M70</f>
        <v>128.35379270912</v>
      </c>
      <c r="AF70" s="128" t="n">
        <f aca="false">$D70*N70</f>
        <v>130.921044402459</v>
      </c>
      <c r="AG70" s="128" t="n">
        <f aca="false">$D70*O70</f>
        <v>127.676811954369</v>
      </c>
      <c r="AH70" s="128" t="n">
        <f aca="false">$D70*P70</f>
        <v>0</v>
      </c>
      <c r="AI70" s="128" t="n">
        <f aca="false">$D70*Q70</f>
        <v>0</v>
      </c>
      <c r="AJ70" s="128" t="n">
        <f aca="false">$D70*R70</f>
        <v>0</v>
      </c>
      <c r="AK70" s="128" t="n">
        <f aca="false">$D70*S70</f>
        <v>0</v>
      </c>
      <c r="AL70" s="128" t="n">
        <f aca="false">$D70*T70</f>
        <v>0</v>
      </c>
      <c r="AN70" s="129" t="n">
        <f aca="false">SUM(W70:AL70)/4</f>
        <v>126.973455326057</v>
      </c>
      <c r="AO70" s="130" t="n">
        <f aca="false">D70</f>
        <v>96.6999969482422</v>
      </c>
    </row>
    <row r="71" customFormat="false" ht="16.5" hidden="false" customHeight="false" outlineLevel="0" collapsed="false">
      <c r="B71" s="116" t="n">
        <f aca="false">MONTH(C71)</f>
        <v>8</v>
      </c>
      <c r="C71" s="125" t="n">
        <f aca="false">PJM_01212000!A55</f>
        <v>37104</v>
      </c>
      <c r="D71" s="126" t="n">
        <f aca="false">PJM_01212000!C55</f>
        <v>83.6999969482422</v>
      </c>
      <c r="E71" s="127" t="n">
        <f aca="false">VLOOKUP($B71,$C$6:$Z$17,E$22+1)</f>
        <v>0</v>
      </c>
      <c r="F71" s="127" t="n">
        <f aca="false">VLOOKUP($B71,$C$6:$Z$17,F$22+1)</f>
        <v>0</v>
      </c>
      <c r="G71" s="127" t="n">
        <f aca="false">VLOOKUP($B71,$C$6:$Z$17,G$22+1)</f>
        <v>0</v>
      </c>
      <c r="H71" s="127" t="n">
        <f aca="false">VLOOKUP($B71,$C$6:$Z$17,H$22+1)</f>
        <v>0</v>
      </c>
      <c r="I71" s="127" t="n">
        <f aca="false">VLOOKUP($B71,$C$6:$Z$17,I$22+1)</f>
        <v>0</v>
      </c>
      <c r="J71" s="127" t="n">
        <f aca="false">VLOOKUP($B71,$C$6:$Z$17,J$22+1)</f>
        <v>0</v>
      </c>
      <c r="K71" s="127" t="n">
        <f aca="false">VLOOKUP($B71,$C$6:$Z$17,K$22+1)</f>
        <v>1.19072909190695</v>
      </c>
      <c r="L71" s="127" t="n">
        <f aca="false">VLOOKUP($B71,$C$6:$Z$17,L$22+1)</f>
        <v>1.26057331025457</v>
      </c>
      <c r="M71" s="127" t="n">
        <f aca="false">VLOOKUP($B71,$C$6:$Z$17,M$22+1)</f>
        <v>1.24301093426774</v>
      </c>
      <c r="N71" s="127" t="n">
        <f aca="false">VLOOKUP($B71,$C$6:$Z$17,N$22+1)</f>
        <v>1.21504622788872</v>
      </c>
      <c r="O71" s="127" t="n">
        <f aca="false">VLOOKUP($B71,$C$6:$Z$17,O$22+1)</f>
        <v>0</v>
      </c>
      <c r="P71" s="127" t="n">
        <f aca="false">VLOOKUP($B71,$C$6:$Z$17,P$22+1)</f>
        <v>0</v>
      </c>
      <c r="Q71" s="127" t="n">
        <f aca="false">VLOOKUP($B71,$C$6:$Z$17,Q$22+1)</f>
        <v>0</v>
      </c>
      <c r="R71" s="127" t="n">
        <f aca="false">VLOOKUP($B71,$C$6:$Z$17,R$22+1)</f>
        <v>0</v>
      </c>
      <c r="S71" s="127" t="n">
        <f aca="false">VLOOKUP($B71,$C$6:$Z$17,S$22+1)</f>
        <v>0</v>
      </c>
      <c r="T71" s="127" t="n">
        <f aca="false">VLOOKUP($B71,$C$6:$Z$17,T$22+1)</f>
        <v>0</v>
      </c>
      <c r="U71" s="127" t="n">
        <f aca="false">VLOOKUP($B71,$C$6:$AB$17,T$22+3)-SUM(E71:T71)</f>
        <v>0</v>
      </c>
      <c r="W71" s="128" t="n">
        <f aca="false">$D71*E71</f>
        <v>0</v>
      </c>
      <c r="X71" s="128" t="n">
        <f aca="false">$D71*F71</f>
        <v>0</v>
      </c>
      <c r="Y71" s="128" t="n">
        <f aca="false">$D71*G71</f>
        <v>0</v>
      </c>
      <c r="Z71" s="128" t="n">
        <f aca="false">$D71*H71</f>
        <v>0</v>
      </c>
      <c r="AA71" s="128" t="n">
        <f aca="false">$D71*I71</f>
        <v>0</v>
      </c>
      <c r="AB71" s="128" t="n">
        <f aca="false">$D71*J71</f>
        <v>0</v>
      </c>
      <c r="AC71" s="128" t="n">
        <f aca="false">$D71*K71</f>
        <v>99.6640213587952</v>
      </c>
      <c r="AD71" s="128" t="n">
        <f aca="false">$D71*L71</f>
        <v>105.509982221343</v>
      </c>
      <c r="AE71" s="128" t="n">
        <f aca="false">$D71*M71</f>
        <v>104.040011404842</v>
      </c>
      <c r="AF71" s="128" t="n">
        <f aca="false">$D71*N71</f>
        <v>101.699365566259</v>
      </c>
      <c r="AG71" s="128" t="n">
        <f aca="false">$D71*O71</f>
        <v>0</v>
      </c>
      <c r="AH71" s="128" t="n">
        <f aca="false">$D71*P71</f>
        <v>0</v>
      </c>
      <c r="AI71" s="128" t="n">
        <f aca="false">$D71*Q71</f>
        <v>0</v>
      </c>
      <c r="AJ71" s="128" t="n">
        <f aca="false">$D71*R71</f>
        <v>0</v>
      </c>
      <c r="AK71" s="128" t="n">
        <f aca="false">$D71*S71</f>
        <v>0</v>
      </c>
      <c r="AL71" s="128" t="n">
        <f aca="false">$D71*T71</f>
        <v>0</v>
      </c>
      <c r="AN71" s="129" t="n">
        <f aca="false">SUM(W71:AL71)/4</f>
        <v>102.72834513781</v>
      </c>
      <c r="AO71" s="130" t="n">
        <f aca="false">D71</f>
        <v>83.6999969482422</v>
      </c>
    </row>
    <row r="72" customFormat="false" ht="16.5" hidden="false" customHeight="false" outlineLevel="0" collapsed="false">
      <c r="B72" s="116" t="n">
        <f aca="false">MONTH(C72)</f>
        <v>9</v>
      </c>
      <c r="C72" s="125" t="n">
        <f aca="false">PJM_01212000!A56</f>
        <v>37135</v>
      </c>
      <c r="D72" s="126" t="n">
        <f aca="false">PJM_01212000!C56</f>
        <v>32.7249984741211</v>
      </c>
      <c r="E72" s="127" t="n">
        <f aca="false">VLOOKUP($B72,$C$6:$Z$17,E$22+1)</f>
        <v>0</v>
      </c>
      <c r="F72" s="127" t="n">
        <f aca="false">VLOOKUP($B72,$C$6:$Z$17,F$22+1)</f>
        <v>0</v>
      </c>
      <c r="G72" s="127" t="n">
        <f aca="false">VLOOKUP($B72,$C$6:$Z$17,G$22+1)</f>
        <v>0</v>
      </c>
      <c r="H72" s="127" t="n">
        <f aca="false">VLOOKUP($B72,$C$6:$Z$17,H$22+1)</f>
        <v>0</v>
      </c>
      <c r="I72" s="127" t="n">
        <f aca="false">VLOOKUP($B72,$C$6:$Z$17,I$22+1)</f>
        <v>0</v>
      </c>
      <c r="J72" s="127" t="n">
        <f aca="false">VLOOKUP($B72,$C$6:$Z$17,J$22+1)</f>
        <v>0</v>
      </c>
      <c r="K72" s="127" t="n">
        <f aca="false">VLOOKUP($B72,$C$6:$Z$17,K$22+1)</f>
        <v>0</v>
      </c>
      <c r="L72" s="127" t="n">
        <f aca="false">VLOOKUP($B72,$C$6:$Z$17,L$22+1)</f>
        <v>0</v>
      </c>
      <c r="M72" s="127" t="n">
        <f aca="false">VLOOKUP($B72,$C$6:$Z$17,M$22+1)</f>
        <v>0</v>
      </c>
      <c r="N72" s="127" t="n">
        <f aca="false">VLOOKUP($B72,$C$6:$Z$17,N$22+1)</f>
        <v>1.13452840898687</v>
      </c>
      <c r="O72" s="127" t="n">
        <f aca="false">VLOOKUP($B72,$C$6:$Z$17,O$22+1)</f>
        <v>1.1066962078626</v>
      </c>
      <c r="P72" s="127" t="n">
        <f aca="false">VLOOKUP($B72,$C$6:$Z$17,P$22+1)</f>
        <v>0</v>
      </c>
      <c r="Q72" s="127" t="n">
        <f aca="false">VLOOKUP($B72,$C$6:$Z$17,Q$22+1)</f>
        <v>1.18462637101057</v>
      </c>
      <c r="R72" s="127" t="n">
        <f aca="false">VLOOKUP($B72,$C$6:$Z$17,R$22+1)</f>
        <v>1.1944408840386</v>
      </c>
      <c r="S72" s="127" t="n">
        <f aca="false">VLOOKUP($B72,$C$6:$Z$17,S$22+1)</f>
        <v>0</v>
      </c>
      <c r="T72" s="127" t="n">
        <f aca="false">VLOOKUP($B72,$C$6:$Z$17,T$22+1)</f>
        <v>0</v>
      </c>
      <c r="U72" s="127" t="n">
        <f aca="false">VLOOKUP($B72,$C$6:$AB$17,T$22+3)-SUM(E72:T72)</f>
        <v>0</v>
      </c>
      <c r="W72" s="128" t="n">
        <f aca="false">$D72*E72</f>
        <v>0</v>
      </c>
      <c r="X72" s="128" t="n">
        <f aca="false">$D72*F72</f>
        <v>0</v>
      </c>
      <c r="Y72" s="128" t="n">
        <f aca="false">$D72*G72</f>
        <v>0</v>
      </c>
      <c r="Z72" s="128" t="n">
        <f aca="false">$D72*H72</f>
        <v>0</v>
      </c>
      <c r="AA72" s="128" t="n">
        <f aca="false">$D72*I72</f>
        <v>0</v>
      </c>
      <c r="AB72" s="128" t="n">
        <f aca="false">$D72*J72</f>
        <v>0</v>
      </c>
      <c r="AC72" s="128" t="n">
        <f aca="false">$D72*K72</f>
        <v>0</v>
      </c>
      <c r="AD72" s="128" t="n">
        <f aca="false">$D72*L72</f>
        <v>0</v>
      </c>
      <c r="AE72" s="128" t="n">
        <f aca="false">$D72*M72</f>
        <v>0</v>
      </c>
      <c r="AF72" s="128" t="n">
        <f aca="false">$D72*N72</f>
        <v>37.1274404529424</v>
      </c>
      <c r="AG72" s="128" t="n">
        <f aca="false">$D72*O72</f>
        <v>36.2166317136191</v>
      </c>
      <c r="AH72" s="128" t="n">
        <f aca="false">$D72*P72</f>
        <v>0</v>
      </c>
      <c r="AI72" s="128" t="n">
        <f aca="false">$D72*Q72</f>
        <v>38.7668961837244</v>
      </c>
      <c r="AJ72" s="128" t="n">
        <f aca="false">$D72*R72</f>
        <v>39.088076107591</v>
      </c>
      <c r="AK72" s="128" t="n">
        <f aca="false">$D72*S72</f>
        <v>0</v>
      </c>
      <c r="AL72" s="128" t="n">
        <f aca="false">$D72*T72</f>
        <v>0</v>
      </c>
      <c r="AN72" s="129" t="n">
        <f aca="false">SUM(W72:AL72)/4</f>
        <v>37.7997611144692</v>
      </c>
      <c r="AO72" s="130" t="n">
        <f aca="false">D72</f>
        <v>32.7249984741211</v>
      </c>
    </row>
    <row r="73" customFormat="false" ht="16.5" hidden="false" customHeight="false" outlineLevel="0" collapsed="false">
      <c r="B73" s="116" t="n">
        <f aca="false">MONTH(C73)</f>
        <v>10</v>
      </c>
      <c r="C73" s="125" t="n">
        <f aca="false">PJM_01212000!A57</f>
        <v>37165</v>
      </c>
      <c r="D73" s="126" t="n">
        <f aca="false">PJM_01212000!C57</f>
        <v>26.2250003814697</v>
      </c>
      <c r="E73" s="127" t="n">
        <f aca="false">VLOOKUP($B73,$C$6:$Z$17,E$22+1)</f>
        <v>0</v>
      </c>
      <c r="F73" s="127" t="n">
        <f aca="false">VLOOKUP($B73,$C$6:$Z$17,F$22+1)</f>
        <v>1.1326</v>
      </c>
      <c r="G73" s="127" t="n">
        <f aca="false">VLOOKUP($B73,$C$6:$Z$17,G$22+1)</f>
        <v>0</v>
      </c>
      <c r="H73" s="127" t="n">
        <f aca="false">VLOOKUP($B73,$C$6:$Z$17,H$22+1)</f>
        <v>0</v>
      </c>
      <c r="I73" s="127" t="n">
        <f aca="false">VLOOKUP($B73,$C$6:$Z$17,I$22+1)</f>
        <v>0</v>
      </c>
      <c r="J73" s="127" t="n">
        <f aca="false">VLOOKUP($B73,$C$6:$Z$17,J$22+1)</f>
        <v>0</v>
      </c>
      <c r="K73" s="127" t="n">
        <f aca="false">VLOOKUP($B73,$C$6:$Z$17,K$22+1)</f>
        <v>0</v>
      </c>
      <c r="L73" s="127" t="n">
        <f aca="false">VLOOKUP($B73,$C$6:$Z$17,L$22+1)</f>
        <v>0</v>
      </c>
      <c r="M73" s="127" t="n">
        <f aca="false">VLOOKUP($B73,$C$6:$Z$17,M$22+1)</f>
        <v>0</v>
      </c>
      <c r="N73" s="127" t="n">
        <f aca="false">VLOOKUP($B73,$C$6:$Z$17,N$22+1)</f>
        <v>0</v>
      </c>
      <c r="O73" s="127" t="n">
        <f aca="false">VLOOKUP($B73,$C$6:$Z$17,O$22+1)</f>
        <v>1.2001</v>
      </c>
      <c r="P73" s="127" t="n">
        <f aca="false">VLOOKUP($B73,$C$6:$Z$17,P$22+1)</f>
        <v>1.2095</v>
      </c>
      <c r="Q73" s="127" t="n">
        <f aca="false">VLOOKUP($B73,$C$6:$Z$17,Q$22+1)</f>
        <v>1.1567</v>
      </c>
      <c r="R73" s="127" t="n">
        <f aca="false">VLOOKUP($B73,$C$6:$Z$17,R$22+1)</f>
        <v>0</v>
      </c>
      <c r="S73" s="127" t="n">
        <f aca="false">VLOOKUP($B73,$C$6:$Z$17,S$22+1)</f>
        <v>0</v>
      </c>
      <c r="T73" s="127" t="n">
        <f aca="false">VLOOKUP($B73,$C$6:$Z$17,T$22+1)</f>
        <v>0</v>
      </c>
      <c r="U73" s="127" t="n">
        <f aca="false">VLOOKUP($B73,$C$6:$AB$17,T$22+3)-SUM(E73:T73)</f>
        <v>0</v>
      </c>
      <c r="W73" s="128" t="n">
        <f aca="false">$D73*E73</f>
        <v>0</v>
      </c>
      <c r="X73" s="128" t="n">
        <f aca="false">$D73*F73</f>
        <v>29.7024354320526</v>
      </c>
      <c r="Y73" s="128" t="n">
        <f aca="false">$D73*G73</f>
        <v>0</v>
      </c>
      <c r="Z73" s="128" t="n">
        <f aca="false">$D73*H73</f>
        <v>0</v>
      </c>
      <c r="AA73" s="128" t="n">
        <f aca="false">$D73*I73</f>
        <v>0</v>
      </c>
      <c r="AB73" s="128" t="n">
        <f aca="false">$D73*J73</f>
        <v>0</v>
      </c>
      <c r="AC73" s="128" t="n">
        <f aca="false">$D73*K73</f>
        <v>0</v>
      </c>
      <c r="AD73" s="128" t="n">
        <f aca="false">$D73*L73</f>
        <v>0</v>
      </c>
      <c r="AE73" s="128" t="n">
        <f aca="false">$D73*M73</f>
        <v>0</v>
      </c>
      <c r="AF73" s="128" t="n">
        <f aca="false">$D73*N73</f>
        <v>0</v>
      </c>
      <c r="AG73" s="128" t="n">
        <f aca="false">$D73*O73</f>
        <v>31.4726229578018</v>
      </c>
      <c r="AH73" s="128" t="n">
        <f aca="false">$D73*P73</f>
        <v>31.7191379613876</v>
      </c>
      <c r="AI73" s="128" t="n">
        <f aca="false">$D73*Q73</f>
        <v>30.334457941246</v>
      </c>
      <c r="AJ73" s="128" t="n">
        <f aca="false">$D73*R73</f>
        <v>0</v>
      </c>
      <c r="AK73" s="128" t="n">
        <f aca="false">$D73*S73</f>
        <v>0</v>
      </c>
      <c r="AL73" s="128" t="n">
        <f aca="false">$D73*T73</f>
        <v>0</v>
      </c>
      <c r="AN73" s="129" t="n">
        <f aca="false">SUM(W73:AL73)/4</f>
        <v>30.807163573122</v>
      </c>
      <c r="AO73" s="130" t="n">
        <f aca="false">D73</f>
        <v>26.2250003814697</v>
      </c>
    </row>
    <row r="74" customFormat="false" ht="16.5" hidden="false" customHeight="false" outlineLevel="0" collapsed="false">
      <c r="B74" s="116" t="n">
        <f aca="false">MONTH(C74)</f>
        <v>11</v>
      </c>
      <c r="C74" s="125" t="n">
        <f aca="false">PJM_01212000!A58</f>
        <v>37196</v>
      </c>
      <c r="D74" s="126" t="n">
        <f aca="false">PJM_01212000!C58</f>
        <v>25.8974990844727</v>
      </c>
      <c r="E74" s="127" t="n">
        <f aca="false">VLOOKUP($B74,$C$6:$Z$17,E$22+1)</f>
        <v>0</v>
      </c>
      <c r="F74" s="127" t="n">
        <f aca="false">VLOOKUP($B74,$C$6:$Z$17,F$22+1)</f>
        <v>1.1426</v>
      </c>
      <c r="G74" s="127" t="n">
        <f aca="false">VLOOKUP($B74,$C$6:$Z$17,G$22+1)</f>
        <v>0</v>
      </c>
      <c r="H74" s="127" t="n">
        <f aca="false">VLOOKUP($B74,$C$6:$Z$17,H$22+1)</f>
        <v>0</v>
      </c>
      <c r="I74" s="127" t="n">
        <f aca="false">VLOOKUP($B74,$C$6:$Z$17,I$22+1)</f>
        <v>0</v>
      </c>
      <c r="J74" s="127" t="n">
        <f aca="false">VLOOKUP($B74,$C$6:$Z$17,J$22+1)</f>
        <v>0</v>
      </c>
      <c r="K74" s="127" t="n">
        <f aca="false">VLOOKUP($B74,$C$6:$Z$17,K$22+1)</f>
        <v>0</v>
      </c>
      <c r="L74" s="127" t="n">
        <f aca="false">VLOOKUP($B74,$C$6:$Z$17,L$22+1)</f>
        <v>0</v>
      </c>
      <c r="M74" s="127" t="n">
        <f aca="false">VLOOKUP($B74,$C$6:$Z$17,M$22+1)</f>
        <v>0</v>
      </c>
      <c r="N74" s="127" t="n">
        <f aca="false">VLOOKUP($B74,$C$6:$Z$17,N$22+1)</f>
        <v>0</v>
      </c>
      <c r="O74" s="127" t="n">
        <f aca="false">VLOOKUP($B74,$C$6:$Z$17,O$22+1)</f>
        <v>1.2171</v>
      </c>
      <c r="P74" s="127" t="n">
        <f aca="false">VLOOKUP($B74,$C$6:$Z$17,P$22+1)</f>
        <v>1.2269</v>
      </c>
      <c r="Q74" s="127" t="n">
        <f aca="false">VLOOKUP($B74,$C$6:$Z$17,Q$22+1)</f>
        <v>1.1767</v>
      </c>
      <c r="R74" s="127" t="n">
        <f aca="false">VLOOKUP($B74,$C$6:$Z$17,R$22+1)</f>
        <v>0</v>
      </c>
      <c r="S74" s="127" t="n">
        <f aca="false">VLOOKUP($B74,$C$6:$Z$17,S$22+1)</f>
        <v>0</v>
      </c>
      <c r="T74" s="127" t="n">
        <f aca="false">VLOOKUP($B74,$C$6:$Z$17,T$22+1)</f>
        <v>0</v>
      </c>
      <c r="U74" s="127" t="n">
        <f aca="false">VLOOKUP($B74,$C$6:$AB$17,T$22+3)-SUM(E74:T74)</f>
        <v>0</v>
      </c>
      <c r="W74" s="128" t="n">
        <f aca="false">$D74*E74</f>
        <v>0</v>
      </c>
      <c r="X74" s="128" t="n">
        <f aca="false">$D74*F74</f>
        <v>29.5904824539185</v>
      </c>
      <c r="Y74" s="128" t="n">
        <f aca="false">$D74*G74</f>
        <v>0</v>
      </c>
      <c r="Z74" s="128" t="n">
        <f aca="false">$D74*H74</f>
        <v>0</v>
      </c>
      <c r="AA74" s="128" t="n">
        <f aca="false">$D74*I74</f>
        <v>0</v>
      </c>
      <c r="AB74" s="128" t="n">
        <f aca="false">$D74*J74</f>
        <v>0</v>
      </c>
      <c r="AC74" s="128" t="n">
        <f aca="false">$D74*K74</f>
        <v>0</v>
      </c>
      <c r="AD74" s="128" t="n">
        <f aca="false">$D74*L74</f>
        <v>0</v>
      </c>
      <c r="AE74" s="128" t="n">
        <f aca="false">$D74*M74</f>
        <v>0</v>
      </c>
      <c r="AF74" s="128" t="n">
        <f aca="false">$D74*N74</f>
        <v>0</v>
      </c>
      <c r="AG74" s="128" t="n">
        <f aca="false">$D74*O74</f>
        <v>31.5198461357117</v>
      </c>
      <c r="AH74" s="128" t="n">
        <f aca="false">$D74*P74</f>
        <v>31.7736416267395</v>
      </c>
      <c r="AI74" s="128" t="n">
        <f aca="false">$D74*Q74</f>
        <v>30.473587172699</v>
      </c>
      <c r="AJ74" s="128" t="n">
        <f aca="false">$D74*R74</f>
        <v>0</v>
      </c>
      <c r="AK74" s="128" t="n">
        <f aca="false">$D74*S74</f>
        <v>0</v>
      </c>
      <c r="AL74" s="128" t="n">
        <f aca="false">$D74*T74</f>
        <v>0</v>
      </c>
      <c r="AN74" s="129" t="n">
        <f aca="false">SUM(W74:AL74)/4</f>
        <v>30.8393893472672</v>
      </c>
      <c r="AO74" s="130" t="n">
        <f aca="false">D74</f>
        <v>25.8974990844727</v>
      </c>
    </row>
    <row r="75" customFormat="false" ht="16.5" hidden="false" customHeight="false" outlineLevel="0" collapsed="false">
      <c r="B75" s="116" t="n">
        <f aca="false">MONTH(C75)</f>
        <v>12</v>
      </c>
      <c r="C75" s="125" t="n">
        <f aca="false">PJM_01212000!A59</f>
        <v>37226</v>
      </c>
      <c r="D75" s="126" t="n">
        <f aca="false">PJM_01212000!C59</f>
        <v>27.6499996185303</v>
      </c>
      <c r="E75" s="127" t="n">
        <f aca="false">VLOOKUP($B75,$C$6:$Z$17,E$22+1)</f>
        <v>0</v>
      </c>
      <c r="F75" s="127" t="n">
        <f aca="false">VLOOKUP($B75,$C$6:$Z$17,F$22+1)</f>
        <v>1.1638</v>
      </c>
      <c r="G75" s="127" t="n">
        <f aca="false">VLOOKUP($B75,$C$6:$Z$17,G$22+1)</f>
        <v>0</v>
      </c>
      <c r="H75" s="127" t="n">
        <f aca="false">VLOOKUP($B75,$C$6:$Z$17,H$22+1)</f>
        <v>0</v>
      </c>
      <c r="I75" s="127" t="n">
        <f aca="false">VLOOKUP($B75,$C$6:$Z$17,I$22+1)</f>
        <v>0</v>
      </c>
      <c r="J75" s="127" t="n">
        <f aca="false">VLOOKUP($B75,$C$6:$Z$17,J$22+1)</f>
        <v>0</v>
      </c>
      <c r="K75" s="127" t="n">
        <f aca="false">VLOOKUP($B75,$C$6:$Z$17,K$22+1)</f>
        <v>0</v>
      </c>
      <c r="L75" s="127" t="n">
        <f aca="false">VLOOKUP($B75,$C$6:$Z$17,L$22+1)</f>
        <v>0</v>
      </c>
      <c r="M75" s="127" t="n">
        <f aca="false">VLOOKUP($B75,$C$6:$Z$17,M$22+1)</f>
        <v>0</v>
      </c>
      <c r="N75" s="127" t="n">
        <f aca="false">VLOOKUP($B75,$C$6:$Z$17,N$22+1)</f>
        <v>0</v>
      </c>
      <c r="O75" s="127" t="n">
        <f aca="false">VLOOKUP($B75,$C$6:$Z$17,O$22+1)</f>
        <v>1.23965925286319</v>
      </c>
      <c r="P75" s="127" t="n">
        <f aca="false">VLOOKUP($B75,$C$6:$Z$17,P$22+1)</f>
        <v>1.2314</v>
      </c>
      <c r="Q75" s="127" t="n">
        <f aca="false">VLOOKUP($B75,$C$6:$Z$17,Q$22+1)</f>
        <v>1.18899630831453</v>
      </c>
      <c r="R75" s="127" t="n">
        <f aca="false">VLOOKUP($B75,$C$6:$Z$17,R$22+1)</f>
        <v>0</v>
      </c>
      <c r="S75" s="127" t="n">
        <f aca="false">VLOOKUP($B75,$C$6:$Z$17,S$22+1)</f>
        <v>0</v>
      </c>
      <c r="T75" s="127" t="n">
        <f aca="false">VLOOKUP($B75,$C$6:$Z$17,T$22+1)</f>
        <v>0</v>
      </c>
      <c r="U75" s="127" t="n">
        <f aca="false">VLOOKUP($B75,$C$6:$AB$17,T$22+3)-SUM(E75:T75)</f>
        <v>0</v>
      </c>
      <c r="W75" s="128" t="n">
        <f aca="false">$D75*E75</f>
        <v>0</v>
      </c>
      <c r="X75" s="128" t="n">
        <f aca="false">$D75*F75</f>
        <v>32.1790695560455</v>
      </c>
      <c r="Y75" s="128" t="n">
        <f aca="false">$D75*G75</f>
        <v>0</v>
      </c>
      <c r="Z75" s="128" t="n">
        <f aca="false">$D75*H75</f>
        <v>0</v>
      </c>
      <c r="AA75" s="128" t="n">
        <f aca="false">$D75*I75</f>
        <v>0</v>
      </c>
      <c r="AB75" s="128" t="n">
        <f aca="false">$D75*J75</f>
        <v>0</v>
      </c>
      <c r="AC75" s="128" t="n">
        <f aca="false">$D75*K75</f>
        <v>0</v>
      </c>
      <c r="AD75" s="128" t="n">
        <f aca="false">$D75*L75</f>
        <v>0</v>
      </c>
      <c r="AE75" s="128" t="n">
        <f aca="false">$D75*M75</f>
        <v>0</v>
      </c>
      <c r="AF75" s="128" t="n">
        <f aca="false">$D75*N75</f>
        <v>0</v>
      </c>
      <c r="AG75" s="128" t="n">
        <f aca="false">$D75*O75</f>
        <v>34.2765778687747</v>
      </c>
      <c r="AH75" s="128" t="n">
        <f aca="false">$D75*P75</f>
        <v>34.0482095302582</v>
      </c>
      <c r="AI75" s="128" t="n">
        <f aca="false">$D75*Q75</f>
        <v>32.8757474713307</v>
      </c>
      <c r="AJ75" s="128" t="n">
        <f aca="false">$D75*R75</f>
        <v>0</v>
      </c>
      <c r="AK75" s="128" t="n">
        <f aca="false">$D75*S75</f>
        <v>0</v>
      </c>
      <c r="AL75" s="128" t="n">
        <f aca="false">$D75*T75</f>
        <v>0</v>
      </c>
      <c r="AN75" s="129" t="n">
        <f aca="false">SUM(W75:AL75)/4</f>
        <v>33.3449011066023</v>
      </c>
      <c r="AO75" s="130" t="n">
        <f aca="false">D75</f>
        <v>27.6499996185303</v>
      </c>
    </row>
    <row r="76" customFormat="false" ht="16.5" hidden="false" customHeight="false" outlineLevel="0" collapsed="false">
      <c r="B76" s="116" t="n">
        <f aca="false">MONTH(C76)</f>
        <v>1</v>
      </c>
      <c r="C76" s="125" t="n">
        <f aca="false">PJM_01212000!A60</f>
        <v>37257</v>
      </c>
      <c r="D76" s="126" t="n">
        <f aca="false">PJM_01212000!C60</f>
        <v>35.7749984741211</v>
      </c>
      <c r="E76" s="127" t="n">
        <f aca="false">VLOOKUP($B76,$C$6:$Z$17,E$22+1)</f>
        <v>0</v>
      </c>
      <c r="F76" s="127" t="n">
        <f aca="false">VLOOKUP($B76,$C$6:$Z$17,F$22+1)</f>
        <v>1.19981175661928</v>
      </c>
      <c r="G76" s="127" t="n">
        <f aca="false">VLOOKUP($B76,$C$6:$Z$17,G$22+1)</f>
        <v>1.19616001156207</v>
      </c>
      <c r="H76" s="127" t="n">
        <f aca="false">VLOOKUP($B76,$C$6:$Z$17,H$22+1)</f>
        <v>0</v>
      </c>
      <c r="I76" s="127" t="n">
        <f aca="false">VLOOKUP($B76,$C$6:$Z$17,I$22+1)</f>
        <v>0</v>
      </c>
      <c r="J76" s="127" t="n">
        <f aca="false">VLOOKUP($B76,$C$6:$Z$17,J$22+1)</f>
        <v>0</v>
      </c>
      <c r="K76" s="127" t="n">
        <f aca="false">VLOOKUP($B76,$C$6:$Z$17,K$22+1)</f>
        <v>0</v>
      </c>
      <c r="L76" s="127" t="n">
        <f aca="false">VLOOKUP($B76,$C$6:$Z$17,L$22+1)</f>
        <v>0</v>
      </c>
      <c r="M76" s="127" t="n">
        <f aca="false">VLOOKUP($B76,$C$6:$Z$17,M$22+1)</f>
        <v>0</v>
      </c>
      <c r="N76" s="127" t="n">
        <f aca="false">VLOOKUP($B76,$C$6:$Z$17,N$22+1)</f>
        <v>0</v>
      </c>
      <c r="O76" s="127" t="n">
        <f aca="false">VLOOKUP($B76,$C$6:$Z$17,O$22+1)</f>
        <v>0</v>
      </c>
      <c r="P76" s="127" t="n">
        <f aca="false">VLOOKUP($B76,$C$6:$Z$17,P$22+1)</f>
        <v>1.28189922894351</v>
      </c>
      <c r="Q76" s="127" t="n">
        <f aca="false">VLOOKUP($B76,$C$6:$Z$17,Q$22+1)</f>
        <v>1.227</v>
      </c>
      <c r="R76" s="127" t="n">
        <f aca="false">VLOOKUP($B76,$C$6:$Z$17,R$22+1)</f>
        <v>0</v>
      </c>
      <c r="S76" s="127" t="n">
        <f aca="false">VLOOKUP($B76,$C$6:$Z$17,S$22+1)</f>
        <v>0</v>
      </c>
      <c r="T76" s="127" t="n">
        <f aca="false">VLOOKUP($B76,$C$6:$Z$17,T$22+1)</f>
        <v>0</v>
      </c>
      <c r="U76" s="127" t="n">
        <f aca="false">VLOOKUP($B76,$C$6:$AB$17,T$22+3)-SUM(E76:T76)</f>
        <v>0</v>
      </c>
      <c r="W76" s="128" t="n">
        <f aca="false">$D76*E76</f>
        <v>0</v>
      </c>
      <c r="X76" s="128" t="n">
        <f aca="false">$D76*F76</f>
        <v>42.9232637622874</v>
      </c>
      <c r="Y76" s="128" t="n">
        <f aca="false">$D76*G76</f>
        <v>42.7926225884378</v>
      </c>
      <c r="Z76" s="128" t="n">
        <f aca="false">$D76*H76</f>
        <v>0</v>
      </c>
      <c r="AA76" s="128" t="n">
        <f aca="false">$D76*I76</f>
        <v>0</v>
      </c>
      <c r="AB76" s="128" t="n">
        <f aca="false">$D76*J76</f>
        <v>0</v>
      </c>
      <c r="AC76" s="128" t="n">
        <f aca="false">$D76*K76</f>
        <v>0</v>
      </c>
      <c r="AD76" s="128" t="n">
        <f aca="false">$D76*L76</f>
        <v>0</v>
      </c>
      <c r="AE76" s="128" t="n">
        <f aca="false">$D76*M76</f>
        <v>0</v>
      </c>
      <c r="AF76" s="128" t="n">
        <f aca="false">$D76*N76</f>
        <v>0</v>
      </c>
      <c r="AG76" s="128" t="n">
        <f aca="false">$D76*O76</f>
        <v>0</v>
      </c>
      <c r="AH76" s="128" t="n">
        <f aca="false">$D76*P76</f>
        <v>45.8599429594311</v>
      </c>
      <c r="AI76" s="128" t="n">
        <f aca="false">$D76*Q76</f>
        <v>43.8959231277466</v>
      </c>
      <c r="AJ76" s="128" t="n">
        <f aca="false">$D76*R76</f>
        <v>0</v>
      </c>
      <c r="AK76" s="128" t="n">
        <f aca="false">$D76*S76</f>
        <v>0</v>
      </c>
      <c r="AL76" s="128" t="n">
        <f aca="false">$D76*T76</f>
        <v>0</v>
      </c>
      <c r="AN76" s="129" t="n">
        <f aca="false">SUM(W76:AL76)/4</f>
        <v>43.8679381094757</v>
      </c>
      <c r="AO76" s="130" t="n">
        <f aca="false">D76</f>
        <v>35.7749984741211</v>
      </c>
    </row>
    <row r="77" customFormat="false" ht="16.5" hidden="false" customHeight="false" outlineLevel="0" collapsed="false">
      <c r="B77" s="116" t="n">
        <f aca="false">MONTH(C77)</f>
        <v>2</v>
      </c>
      <c r="C77" s="125" t="n">
        <f aca="false">PJM_01212000!A61</f>
        <v>37288</v>
      </c>
      <c r="D77" s="126" t="n">
        <f aca="false">PJM_01212000!C61</f>
        <v>35.7749984741211</v>
      </c>
      <c r="E77" s="127" t="n">
        <f aca="false">VLOOKUP($B77,$C$6:$Z$17,E$22+1)</f>
        <v>0</v>
      </c>
      <c r="F77" s="127" t="n">
        <f aca="false">VLOOKUP($B77,$C$6:$Z$17,F$22+1)</f>
        <v>1.19981175661928</v>
      </c>
      <c r="G77" s="127" t="n">
        <f aca="false">VLOOKUP($B77,$C$6:$Z$17,G$22+1)</f>
        <v>1.19616001156207</v>
      </c>
      <c r="H77" s="127" t="n">
        <f aca="false">VLOOKUP($B77,$C$6:$Z$17,H$22+1)</f>
        <v>0</v>
      </c>
      <c r="I77" s="127" t="n">
        <f aca="false">VLOOKUP($B77,$C$6:$Z$17,I$22+1)</f>
        <v>0</v>
      </c>
      <c r="J77" s="127" t="n">
        <f aca="false">VLOOKUP($B77,$C$6:$Z$17,J$22+1)</f>
        <v>0</v>
      </c>
      <c r="K77" s="127" t="n">
        <f aca="false">VLOOKUP($B77,$C$6:$Z$17,K$22+1)</f>
        <v>0</v>
      </c>
      <c r="L77" s="127" t="n">
        <f aca="false">VLOOKUP($B77,$C$6:$Z$17,L$22+1)</f>
        <v>0</v>
      </c>
      <c r="M77" s="127" t="n">
        <f aca="false">VLOOKUP($B77,$C$6:$Z$17,M$22+1)</f>
        <v>0</v>
      </c>
      <c r="N77" s="127" t="n">
        <f aca="false">VLOOKUP($B77,$C$6:$Z$17,N$22+1)</f>
        <v>0</v>
      </c>
      <c r="O77" s="127" t="n">
        <f aca="false">VLOOKUP($B77,$C$6:$Z$17,O$22+1)</f>
        <v>0</v>
      </c>
      <c r="P77" s="127" t="n">
        <f aca="false">VLOOKUP($B77,$C$6:$Z$17,P$22+1)</f>
        <v>1.28189922894351</v>
      </c>
      <c r="Q77" s="127" t="n">
        <f aca="false">VLOOKUP($B77,$C$6:$Z$17,Q$22+1)</f>
        <v>1.227</v>
      </c>
      <c r="R77" s="127" t="n">
        <f aca="false">VLOOKUP($B77,$C$6:$Z$17,R$22+1)</f>
        <v>0</v>
      </c>
      <c r="S77" s="127" t="n">
        <f aca="false">VLOOKUP($B77,$C$6:$Z$17,S$22+1)</f>
        <v>0</v>
      </c>
      <c r="T77" s="127" t="n">
        <f aca="false">VLOOKUP($B77,$C$6:$Z$17,T$22+1)</f>
        <v>0</v>
      </c>
      <c r="U77" s="127" t="n">
        <f aca="false">VLOOKUP($B77,$C$6:$AB$17,T$22+3)-SUM(E77:T77)</f>
        <v>0</v>
      </c>
      <c r="W77" s="128" t="n">
        <f aca="false">$D77*E77</f>
        <v>0</v>
      </c>
      <c r="X77" s="128" t="n">
        <f aca="false">$D77*F77</f>
        <v>42.9232637622874</v>
      </c>
      <c r="Y77" s="128" t="n">
        <f aca="false">$D77*G77</f>
        <v>42.7926225884378</v>
      </c>
      <c r="Z77" s="128" t="n">
        <f aca="false">$D77*H77</f>
        <v>0</v>
      </c>
      <c r="AA77" s="128" t="n">
        <f aca="false">$D77*I77</f>
        <v>0</v>
      </c>
      <c r="AB77" s="128" t="n">
        <f aca="false">$D77*J77</f>
        <v>0</v>
      </c>
      <c r="AC77" s="128" t="n">
        <f aca="false">$D77*K77</f>
        <v>0</v>
      </c>
      <c r="AD77" s="128" t="n">
        <f aca="false">$D77*L77</f>
        <v>0</v>
      </c>
      <c r="AE77" s="128" t="n">
        <f aca="false">$D77*M77</f>
        <v>0</v>
      </c>
      <c r="AF77" s="128" t="n">
        <f aca="false">$D77*N77</f>
        <v>0</v>
      </c>
      <c r="AG77" s="128" t="n">
        <f aca="false">$D77*O77</f>
        <v>0</v>
      </c>
      <c r="AH77" s="128" t="n">
        <f aca="false">$D77*P77</f>
        <v>45.8599429594311</v>
      </c>
      <c r="AI77" s="128" t="n">
        <f aca="false">$D77*Q77</f>
        <v>43.8959231277466</v>
      </c>
      <c r="AJ77" s="128" t="n">
        <f aca="false">$D77*R77</f>
        <v>0</v>
      </c>
      <c r="AK77" s="128" t="n">
        <f aca="false">$D77*S77</f>
        <v>0</v>
      </c>
      <c r="AL77" s="128" t="n">
        <f aca="false">$D77*T77</f>
        <v>0</v>
      </c>
      <c r="AN77" s="129" t="n">
        <f aca="false">SUM(W77:AL77)/4</f>
        <v>43.8679381094757</v>
      </c>
      <c r="AO77" s="130" t="n">
        <f aca="false">D77</f>
        <v>35.7749984741211</v>
      </c>
    </row>
    <row r="78" customFormat="false" ht="16.5" hidden="false" customHeight="false" outlineLevel="0" collapsed="false">
      <c r="B78" s="116" t="n">
        <f aca="false">MONTH(C78)</f>
        <v>3</v>
      </c>
      <c r="C78" s="125" t="n">
        <f aca="false">PJM_01212000!A62</f>
        <v>37316</v>
      </c>
      <c r="D78" s="126" t="n">
        <f aca="false">PJM_01212000!C62</f>
        <v>25.8750007629395</v>
      </c>
      <c r="E78" s="127" t="n">
        <f aca="false">VLOOKUP($B78,$C$6:$Z$17,E$22+1)</f>
        <v>0</v>
      </c>
      <c r="F78" s="127" t="n">
        <f aca="false">VLOOKUP($B78,$C$6:$Z$17,F$22+1)</f>
        <v>1.1898</v>
      </c>
      <c r="G78" s="127" t="n">
        <f aca="false">VLOOKUP($B78,$C$6:$Z$17,G$22+1)</f>
        <v>1.1862</v>
      </c>
      <c r="H78" s="127" t="n">
        <f aca="false">VLOOKUP($B78,$C$6:$Z$17,H$22+1)</f>
        <v>0</v>
      </c>
      <c r="I78" s="127" t="n">
        <f aca="false">VLOOKUP($B78,$C$6:$Z$17,I$22+1)</f>
        <v>0</v>
      </c>
      <c r="J78" s="127" t="n">
        <f aca="false">VLOOKUP($B78,$C$6:$Z$17,J$22+1)</f>
        <v>0</v>
      </c>
      <c r="K78" s="127" t="n">
        <f aca="false">VLOOKUP($B78,$C$6:$Z$17,K$22+1)</f>
        <v>0</v>
      </c>
      <c r="L78" s="127" t="n">
        <f aca="false">VLOOKUP($B78,$C$6:$Z$17,L$22+1)</f>
        <v>0</v>
      </c>
      <c r="M78" s="127" t="n">
        <f aca="false">VLOOKUP($B78,$C$6:$Z$17,M$22+1)</f>
        <v>0</v>
      </c>
      <c r="N78" s="127" t="n">
        <f aca="false">VLOOKUP($B78,$C$6:$Z$17,N$22+1)</f>
        <v>0</v>
      </c>
      <c r="O78" s="127" t="n">
        <f aca="false">VLOOKUP($B78,$C$6:$Z$17,O$22+1)</f>
        <v>0</v>
      </c>
      <c r="P78" s="127" t="n">
        <f aca="false">VLOOKUP($B78,$C$6:$Z$17,P$22+1)</f>
        <v>1.2719</v>
      </c>
      <c r="Q78" s="127" t="n">
        <f aca="false">VLOOKUP($B78,$C$6:$Z$17,Q$22+1)</f>
        <v>1.217</v>
      </c>
      <c r="R78" s="127" t="n">
        <f aca="false">VLOOKUP($B78,$C$6:$Z$17,R$22+1)</f>
        <v>0</v>
      </c>
      <c r="S78" s="127" t="n">
        <f aca="false">VLOOKUP($B78,$C$6:$Z$17,S$22+1)</f>
        <v>0</v>
      </c>
      <c r="T78" s="127" t="n">
        <f aca="false">VLOOKUP($B78,$C$6:$Z$17,T$22+1)</f>
        <v>0</v>
      </c>
      <c r="U78" s="127" t="n">
        <f aca="false">VLOOKUP($B78,$C$6:$AB$17,T$22+3)-SUM(E78:T78)</f>
        <v>0</v>
      </c>
      <c r="W78" s="128" t="n">
        <f aca="false">$D78*E78</f>
        <v>0</v>
      </c>
      <c r="X78" s="128" t="n">
        <f aca="false">$D78*F78</f>
        <v>30.7860759077454</v>
      </c>
      <c r="Y78" s="128" t="n">
        <f aca="false">$D78*G78</f>
        <v>30.6929259049988</v>
      </c>
      <c r="Z78" s="128" t="n">
        <f aca="false">$D78*H78</f>
        <v>0</v>
      </c>
      <c r="AA78" s="128" t="n">
        <f aca="false">$D78*I78</f>
        <v>0</v>
      </c>
      <c r="AB78" s="128" t="n">
        <f aca="false">$D78*J78</f>
        <v>0</v>
      </c>
      <c r="AC78" s="128" t="n">
        <f aca="false">$D78*K78</f>
        <v>0</v>
      </c>
      <c r="AD78" s="128" t="n">
        <f aca="false">$D78*L78</f>
        <v>0</v>
      </c>
      <c r="AE78" s="128" t="n">
        <f aca="false">$D78*M78</f>
        <v>0</v>
      </c>
      <c r="AF78" s="128" t="n">
        <f aca="false">$D78*N78</f>
        <v>0</v>
      </c>
      <c r="AG78" s="128" t="n">
        <f aca="false">$D78*O78</f>
        <v>0</v>
      </c>
      <c r="AH78" s="128" t="n">
        <f aca="false">$D78*P78</f>
        <v>32.9104134703827</v>
      </c>
      <c r="AI78" s="128" t="n">
        <f aca="false">$D78*Q78</f>
        <v>31.4898759284973</v>
      </c>
      <c r="AJ78" s="128" t="n">
        <f aca="false">$D78*R78</f>
        <v>0</v>
      </c>
      <c r="AK78" s="128" t="n">
        <f aca="false">$D78*S78</f>
        <v>0</v>
      </c>
      <c r="AL78" s="128" t="n">
        <f aca="false">$D78*T78</f>
        <v>0</v>
      </c>
      <c r="AN78" s="129" t="n">
        <f aca="false">SUM(W78:AL78)/4</f>
        <v>31.469822802906</v>
      </c>
      <c r="AO78" s="130" t="n">
        <f aca="false">D78</f>
        <v>25.8750007629395</v>
      </c>
    </row>
    <row r="79" customFormat="false" ht="16.5" hidden="false" customHeight="false" outlineLevel="0" collapsed="false">
      <c r="B79" s="116" t="n">
        <f aca="false">MONTH(C79)</f>
        <v>4</v>
      </c>
      <c r="C79" s="125" t="n">
        <f aca="false">PJM_01212000!A63</f>
        <v>37347</v>
      </c>
      <c r="D79" s="126" t="n">
        <f aca="false">PJM_01212000!C63</f>
        <v>25.7750007629395</v>
      </c>
      <c r="E79" s="127" t="n">
        <f aca="false">VLOOKUP($B79,$C$6:$Z$17,E$22+1)</f>
        <v>1.1232726508202</v>
      </c>
      <c r="F79" s="127" t="n">
        <f aca="false">VLOOKUP($B79,$C$6:$Z$17,F$22+1)</f>
        <v>1.14131544612562</v>
      </c>
      <c r="G79" s="127" t="n">
        <f aca="false">VLOOKUP($B79,$C$6:$Z$17,G$22+1)</f>
        <v>0</v>
      </c>
      <c r="H79" s="127" t="n">
        <f aca="false">VLOOKUP($B79,$C$6:$Z$17,H$22+1)</f>
        <v>0</v>
      </c>
      <c r="I79" s="127" t="n">
        <f aca="false">VLOOKUP($B79,$C$6:$Z$17,I$22+1)</f>
        <v>1.11852454679246</v>
      </c>
      <c r="J79" s="127" t="n">
        <f aca="false">VLOOKUP($B79,$C$6:$Z$17,J$22+1)</f>
        <v>0</v>
      </c>
      <c r="K79" s="127" t="n">
        <f aca="false">VLOOKUP($B79,$C$6:$Z$17,K$22+1)</f>
        <v>0</v>
      </c>
      <c r="L79" s="127" t="n">
        <f aca="false">VLOOKUP($B79,$C$6:$Z$17,L$22+1)</f>
        <v>0</v>
      </c>
      <c r="M79" s="127" t="n">
        <f aca="false">VLOOKUP($B79,$C$6:$Z$17,M$22+1)</f>
        <v>0</v>
      </c>
      <c r="N79" s="127" t="n">
        <f aca="false">VLOOKUP($B79,$C$6:$Z$17,N$22+1)</f>
        <v>0</v>
      </c>
      <c r="O79" s="127" t="n">
        <f aca="false">VLOOKUP($B79,$C$6:$Z$17,O$22+1)</f>
        <v>0</v>
      </c>
      <c r="P79" s="127" t="n">
        <f aca="false">VLOOKUP($B79,$C$6:$Z$17,P$22+1)</f>
        <v>0</v>
      </c>
      <c r="Q79" s="127" t="n">
        <f aca="false">VLOOKUP($B79,$C$6:$Z$17,Q$22+1)</f>
        <v>0</v>
      </c>
      <c r="R79" s="127" t="n">
        <f aca="false">VLOOKUP($B79,$C$6:$Z$17,R$22+1)</f>
        <v>1.15433651784915</v>
      </c>
      <c r="S79" s="127" t="n">
        <f aca="false">VLOOKUP($B79,$C$6:$Z$17,S$22+1)</f>
        <v>0</v>
      </c>
      <c r="T79" s="127" t="n">
        <f aca="false">VLOOKUP($B79,$C$6:$Z$17,T$22+1)</f>
        <v>0</v>
      </c>
      <c r="U79" s="127" t="n">
        <f aca="false">VLOOKUP($B79,$C$6:$AB$17,T$22+3)-SUM(E79:T79)</f>
        <v>0</v>
      </c>
      <c r="W79" s="128" t="n">
        <f aca="false">$D79*E79</f>
        <v>28.9523534318798</v>
      </c>
      <c r="X79" s="128" t="n">
        <f aca="false">$D79*F79</f>
        <v>29.4174064946424</v>
      </c>
      <c r="Y79" s="128" t="n">
        <f aca="false">$D79*G79</f>
        <v>0</v>
      </c>
      <c r="Z79" s="128" t="n">
        <f aca="false">$D79*H79</f>
        <v>0</v>
      </c>
      <c r="AA79" s="128" t="n">
        <f aca="false">$D79*I79</f>
        <v>28.8299710469423</v>
      </c>
      <c r="AB79" s="128" t="n">
        <f aca="false">$D79*J79</f>
        <v>0</v>
      </c>
      <c r="AC79" s="128" t="n">
        <f aca="false">$D79*K79</f>
        <v>0</v>
      </c>
      <c r="AD79" s="128" t="n">
        <f aca="false">$D79*L79</f>
        <v>0</v>
      </c>
      <c r="AE79" s="128" t="n">
        <f aca="false">$D79*M79</f>
        <v>0</v>
      </c>
      <c r="AF79" s="128" t="n">
        <f aca="false">$D79*N79</f>
        <v>0</v>
      </c>
      <c r="AG79" s="128" t="n">
        <f aca="false">$D79*O79</f>
        <v>0</v>
      </c>
      <c r="AH79" s="128" t="n">
        <f aca="false">$D79*P79</f>
        <v>0</v>
      </c>
      <c r="AI79" s="128" t="n">
        <f aca="false">$D79*Q79</f>
        <v>0</v>
      </c>
      <c r="AJ79" s="128" t="n">
        <f aca="false">$D79*R79</f>
        <v>29.7530246282507</v>
      </c>
      <c r="AK79" s="128" t="n">
        <f aca="false">$D79*S79</f>
        <v>0</v>
      </c>
      <c r="AL79" s="128" t="n">
        <f aca="false">$D79*T79</f>
        <v>0</v>
      </c>
      <c r="AN79" s="129" t="n">
        <f aca="false">SUM(W79:AL79)/4</f>
        <v>29.2381889004288</v>
      </c>
      <c r="AO79" s="130" t="n">
        <f aca="false">D79</f>
        <v>25.7750007629395</v>
      </c>
    </row>
    <row r="80" customFormat="false" ht="16.5" hidden="false" customHeight="false" outlineLevel="0" collapsed="false">
      <c r="B80" s="116" t="n">
        <f aca="false">MONTH(C80)</f>
        <v>5</v>
      </c>
      <c r="C80" s="125" t="n">
        <f aca="false">PJM_01212000!A64</f>
        <v>37377</v>
      </c>
      <c r="D80" s="126" t="n">
        <f aca="false">PJM_01212000!C64</f>
        <v>30.875</v>
      </c>
      <c r="E80" s="127" t="n">
        <f aca="false">VLOOKUP($B80,$C$6:$Z$17,E$22+1)</f>
        <v>0</v>
      </c>
      <c r="F80" s="127" t="n">
        <f aca="false">VLOOKUP($B80,$C$6:$Z$17,F$22+1)</f>
        <v>0</v>
      </c>
      <c r="G80" s="127" t="n">
        <f aca="false">VLOOKUP($B80,$C$6:$Z$17,G$22+1)</f>
        <v>1.06102662180267</v>
      </c>
      <c r="H80" s="127" t="n">
        <f aca="false">VLOOKUP($B80,$C$6:$Z$17,H$22+1)</f>
        <v>1.12549986193072</v>
      </c>
      <c r="I80" s="127" t="n">
        <f aca="false">VLOOKUP($B80,$C$6:$Z$17,I$22+1)</f>
        <v>1.11699070333514</v>
      </c>
      <c r="J80" s="127" t="n">
        <f aca="false">VLOOKUP($B80,$C$6:$Z$17,J$22+1)</f>
        <v>0</v>
      </c>
      <c r="K80" s="127" t="n">
        <f aca="false">VLOOKUP($B80,$C$6:$Z$17,K$22+1)</f>
        <v>0</v>
      </c>
      <c r="L80" s="127" t="n">
        <f aca="false">VLOOKUP($B80,$C$6:$Z$17,L$22+1)</f>
        <v>0</v>
      </c>
      <c r="M80" s="127" t="n">
        <f aca="false">VLOOKUP($B80,$C$6:$Z$17,M$22+1)</f>
        <v>0</v>
      </c>
      <c r="N80" s="127" t="n">
        <f aca="false">VLOOKUP($B80,$C$6:$Z$17,N$22+1)</f>
        <v>0</v>
      </c>
      <c r="O80" s="127" t="n">
        <f aca="false">VLOOKUP($B80,$C$6:$Z$17,O$22+1)</f>
        <v>0</v>
      </c>
      <c r="P80" s="127" t="n">
        <f aca="false">VLOOKUP($B80,$C$6:$Z$17,P$22+1)</f>
        <v>0</v>
      </c>
      <c r="Q80" s="127" t="n">
        <f aca="false">VLOOKUP($B80,$C$6:$Z$17,Q$22+1)</f>
        <v>0</v>
      </c>
      <c r="R80" s="127" t="n">
        <f aca="false">VLOOKUP($B80,$C$6:$Z$17,R$22+1)</f>
        <v>1.08769956124651</v>
      </c>
      <c r="S80" s="127" t="n">
        <f aca="false">VLOOKUP($B80,$C$6:$Z$17,S$22+1)</f>
        <v>0</v>
      </c>
      <c r="T80" s="127" t="n">
        <f aca="false">VLOOKUP($B80,$C$6:$Z$17,T$22+1)</f>
        <v>0</v>
      </c>
      <c r="U80" s="127" t="n">
        <f aca="false">VLOOKUP($B80,$C$6:$AB$17,T$22+3)-SUM(E80:T80)</f>
        <v>0</v>
      </c>
      <c r="W80" s="128" t="n">
        <f aca="false">$D80*E80</f>
        <v>0</v>
      </c>
      <c r="X80" s="128" t="n">
        <f aca="false">$D80*F80</f>
        <v>0</v>
      </c>
      <c r="Y80" s="128" t="n">
        <f aca="false">$D80*G80</f>
        <v>32.7591969481575</v>
      </c>
      <c r="Z80" s="128" t="n">
        <f aca="false">$D80*H80</f>
        <v>34.749808237111</v>
      </c>
      <c r="AA80" s="128" t="n">
        <f aca="false">$D80*I80</f>
        <v>34.4870879654724</v>
      </c>
      <c r="AB80" s="128" t="n">
        <f aca="false">$D80*J80</f>
        <v>0</v>
      </c>
      <c r="AC80" s="128" t="n">
        <f aca="false">$D80*K80</f>
        <v>0</v>
      </c>
      <c r="AD80" s="128" t="n">
        <f aca="false">$D80*L80</f>
        <v>0</v>
      </c>
      <c r="AE80" s="128" t="n">
        <f aca="false">$D80*M80</f>
        <v>0</v>
      </c>
      <c r="AF80" s="128" t="n">
        <f aca="false">$D80*N80</f>
        <v>0</v>
      </c>
      <c r="AG80" s="128" t="n">
        <f aca="false">$D80*O80</f>
        <v>0</v>
      </c>
      <c r="AH80" s="128" t="n">
        <f aca="false">$D80*P80</f>
        <v>0</v>
      </c>
      <c r="AI80" s="128" t="n">
        <f aca="false">$D80*Q80</f>
        <v>0</v>
      </c>
      <c r="AJ80" s="128" t="n">
        <f aca="false">$D80*R80</f>
        <v>33.582723953486</v>
      </c>
      <c r="AK80" s="128" t="n">
        <f aca="false">$D80*S80</f>
        <v>0</v>
      </c>
      <c r="AL80" s="128" t="n">
        <f aca="false">$D80*T80</f>
        <v>0</v>
      </c>
      <c r="AN80" s="129" t="n">
        <f aca="false">SUM(W80:AL80)/4</f>
        <v>33.8947042760567</v>
      </c>
      <c r="AO80" s="130" t="n">
        <f aca="false">D80</f>
        <v>30.875</v>
      </c>
    </row>
    <row r="81" customFormat="false" ht="16.5" hidden="false" customHeight="false" outlineLevel="0" collapsed="false">
      <c r="B81" s="116" t="n">
        <f aca="false">MONTH(C81)</f>
        <v>6</v>
      </c>
      <c r="C81" s="125" t="n">
        <f aca="false">PJM_01212000!A65</f>
        <v>37408</v>
      </c>
      <c r="D81" s="126" t="n">
        <f aca="false">PJM_01212000!C65</f>
        <v>54.8499984741211</v>
      </c>
      <c r="E81" s="127" t="n">
        <f aca="false">VLOOKUP($B81,$C$6:$Z$17,E$22+1)</f>
        <v>0</v>
      </c>
      <c r="F81" s="127" t="n">
        <f aca="false">VLOOKUP($B81,$C$6:$Z$17,F$22+1)</f>
        <v>0</v>
      </c>
      <c r="G81" s="127" t="n">
        <f aca="false">VLOOKUP($B81,$C$6:$Z$17,G$22+1)</f>
        <v>0</v>
      </c>
      <c r="H81" s="127" t="n">
        <f aca="false">VLOOKUP($B81,$C$6:$Z$17,H$22+1)</f>
        <v>0</v>
      </c>
      <c r="I81" s="127" t="n">
        <f aca="false">VLOOKUP($B81,$C$6:$Z$17,I$22+1)</f>
        <v>0</v>
      </c>
      <c r="J81" s="127" t="n">
        <f aca="false">VLOOKUP($B81,$C$6:$Z$17,J$22+1)</f>
        <v>0</v>
      </c>
      <c r="K81" s="127" t="n">
        <f aca="false">VLOOKUP($B81,$C$6:$Z$17,K$22+1)</f>
        <v>1.22092018621818</v>
      </c>
      <c r="L81" s="127" t="n">
        <f aca="false">VLOOKUP($B81,$C$6:$Z$17,L$22+1)</f>
        <v>1.23031497714214</v>
      </c>
      <c r="M81" s="127" t="n">
        <f aca="false">VLOOKUP($B81,$C$6:$Z$17,M$22+1)</f>
        <v>1.23232814662584</v>
      </c>
      <c r="N81" s="127" t="n">
        <f aca="false">VLOOKUP($B81,$C$6:$Z$17,N$22+1)</f>
        <v>1.25232563016399</v>
      </c>
      <c r="O81" s="127" t="n">
        <f aca="false">VLOOKUP($B81,$C$6:$Z$17,O$22+1)</f>
        <v>0</v>
      </c>
      <c r="P81" s="127" t="n">
        <f aca="false">VLOOKUP($B81,$C$6:$Z$17,P$22+1)</f>
        <v>0</v>
      </c>
      <c r="Q81" s="127" t="n">
        <f aca="false">VLOOKUP($B81,$C$6:$Z$17,Q$22+1)</f>
        <v>0</v>
      </c>
      <c r="R81" s="127" t="n">
        <f aca="false">VLOOKUP($B81,$C$6:$Z$17,R$22+1)</f>
        <v>0</v>
      </c>
      <c r="S81" s="127" t="n">
        <f aca="false">VLOOKUP($B81,$C$6:$Z$17,S$22+1)</f>
        <v>0</v>
      </c>
      <c r="T81" s="127" t="n">
        <f aca="false">VLOOKUP($B81,$C$6:$Z$17,T$22+1)</f>
        <v>0</v>
      </c>
      <c r="U81" s="127" t="n">
        <f aca="false">VLOOKUP($B81,$C$6:$AB$17,T$22+3)-SUM(E81:T81)</f>
        <v>0</v>
      </c>
      <c r="W81" s="128" t="n">
        <f aca="false">$D81*E81</f>
        <v>0</v>
      </c>
      <c r="X81" s="128" t="n">
        <f aca="false">$D81*F81</f>
        <v>0</v>
      </c>
      <c r="Y81" s="128" t="n">
        <f aca="false">$D81*G81</f>
        <v>0</v>
      </c>
      <c r="Z81" s="128" t="n">
        <f aca="false">$D81*H81</f>
        <v>0</v>
      </c>
      <c r="AA81" s="128" t="n">
        <f aca="false">$D81*I81</f>
        <v>0</v>
      </c>
      <c r="AB81" s="128" t="n">
        <f aca="false">$D81*J81</f>
        <v>0</v>
      </c>
      <c r="AC81" s="128" t="n">
        <f aca="false">$D81*K81</f>
        <v>66.9674703510907</v>
      </c>
      <c r="AD81" s="128" t="n">
        <f aca="false">$D81*L81</f>
        <v>67.4827746189346</v>
      </c>
      <c r="AE81" s="128" t="n">
        <f aca="false">$D81*M81</f>
        <v>67.593196962044</v>
      </c>
      <c r="AF81" s="128" t="n">
        <f aca="false">$D81*N81</f>
        <v>68.6900589035976</v>
      </c>
      <c r="AG81" s="128" t="n">
        <f aca="false">$D81*O81</f>
        <v>0</v>
      </c>
      <c r="AH81" s="128" t="n">
        <f aca="false">$D81*P81</f>
        <v>0</v>
      </c>
      <c r="AI81" s="128" t="n">
        <f aca="false">$D81*Q81</f>
        <v>0</v>
      </c>
      <c r="AJ81" s="128" t="n">
        <f aca="false">$D81*R81</f>
        <v>0</v>
      </c>
      <c r="AK81" s="128" t="n">
        <f aca="false">$D81*S81</f>
        <v>0</v>
      </c>
      <c r="AL81" s="128" t="n">
        <f aca="false">$D81*T81</f>
        <v>0</v>
      </c>
      <c r="AN81" s="129" t="n">
        <f aca="false">SUM(W81:AL81)/4</f>
        <v>67.6833752089167</v>
      </c>
      <c r="AO81" s="130" t="n">
        <f aca="false">D81</f>
        <v>54.8499984741211</v>
      </c>
    </row>
    <row r="82" customFormat="false" ht="16.5" hidden="false" customHeight="false" outlineLevel="0" collapsed="false">
      <c r="B82" s="116" t="n">
        <f aca="false">MONTH(C82)</f>
        <v>7</v>
      </c>
      <c r="C82" s="125" t="n">
        <f aca="false">PJM_01212000!A66</f>
        <v>37438</v>
      </c>
      <c r="D82" s="126" t="n">
        <f aca="false">PJM_01212000!C66</f>
        <v>94.6999969482422</v>
      </c>
      <c r="E82" s="127" t="n">
        <f aca="false">VLOOKUP($B82,$C$6:$Z$17,E$22+1)</f>
        <v>0</v>
      </c>
      <c r="F82" s="127" t="n">
        <f aca="false">VLOOKUP($B82,$C$6:$Z$17,F$22+1)</f>
        <v>0</v>
      </c>
      <c r="G82" s="127" t="n">
        <f aca="false">VLOOKUP($B82,$C$6:$Z$17,G$22+1)</f>
        <v>0</v>
      </c>
      <c r="H82" s="127" t="n">
        <f aca="false">VLOOKUP($B82,$C$6:$Z$17,H$22+1)</f>
        <v>0</v>
      </c>
      <c r="I82" s="127" t="n">
        <f aca="false">VLOOKUP($B82,$C$6:$Z$17,I$22+1)</f>
        <v>0</v>
      </c>
      <c r="J82" s="127" t="n">
        <f aca="false">VLOOKUP($B82,$C$6:$Z$17,J$22+1)</f>
        <v>0</v>
      </c>
      <c r="K82" s="127" t="n">
        <f aca="false">VLOOKUP($B82,$C$6:$Z$17,K$22+1)</f>
        <v>0</v>
      </c>
      <c r="L82" s="127" t="n">
        <f aca="false">VLOOKUP($B82,$C$6:$Z$17,L$22+1)</f>
        <v>1.2506946851613</v>
      </c>
      <c r="M82" s="127" t="n">
        <f aca="false">VLOOKUP($B82,$C$6:$Z$17,M$22+1)</f>
        <v>1.32734019400042</v>
      </c>
      <c r="N82" s="127" t="n">
        <f aca="false">VLOOKUP($B82,$C$6:$Z$17,N$22+1)</f>
        <v>1.35388881627921</v>
      </c>
      <c r="O82" s="127" t="n">
        <f aca="false">VLOOKUP($B82,$C$6:$Z$17,O$22+1)</f>
        <v>1.32033935867348</v>
      </c>
      <c r="P82" s="127" t="n">
        <f aca="false">VLOOKUP($B82,$C$6:$Z$17,P$22+1)</f>
        <v>0</v>
      </c>
      <c r="Q82" s="127" t="n">
        <f aca="false">VLOOKUP($B82,$C$6:$Z$17,Q$22+1)</f>
        <v>0</v>
      </c>
      <c r="R82" s="127" t="n">
        <f aca="false">VLOOKUP($B82,$C$6:$Z$17,R$22+1)</f>
        <v>0</v>
      </c>
      <c r="S82" s="127" t="n">
        <f aca="false">VLOOKUP($B82,$C$6:$Z$17,S$22+1)</f>
        <v>0</v>
      </c>
      <c r="T82" s="127" t="n">
        <f aca="false">VLOOKUP($B82,$C$6:$Z$17,T$22+1)</f>
        <v>0</v>
      </c>
      <c r="U82" s="127" t="n">
        <f aca="false">VLOOKUP($B82,$C$6:$AB$17,T$22+3)-SUM(E82:T82)</f>
        <v>0</v>
      </c>
      <c r="W82" s="128" t="n">
        <f aca="false">$D82*E82</f>
        <v>0</v>
      </c>
      <c r="X82" s="128" t="n">
        <f aca="false">$D82*F82</f>
        <v>0</v>
      </c>
      <c r="Y82" s="128" t="n">
        <f aca="false">$D82*G82</f>
        <v>0</v>
      </c>
      <c r="Z82" s="128" t="n">
        <f aca="false">$D82*H82</f>
        <v>0</v>
      </c>
      <c r="AA82" s="128" t="n">
        <f aca="false">$D82*I82</f>
        <v>0</v>
      </c>
      <c r="AB82" s="128" t="n">
        <f aca="false">$D82*J82</f>
        <v>0</v>
      </c>
      <c r="AC82" s="128" t="n">
        <f aca="false">$D82*K82</f>
        <v>0</v>
      </c>
      <c r="AD82" s="128" t="n">
        <f aca="false">$D82*L82</f>
        <v>118.440782867958</v>
      </c>
      <c r="AE82" s="128" t="n">
        <f aca="false">$D82*M82</f>
        <v>125.699112321119</v>
      </c>
      <c r="AF82" s="128" t="n">
        <f aca="false">$D82*N82</f>
        <v>128.213266769901</v>
      </c>
      <c r="AG82" s="128" t="n">
        <f aca="false">$D82*O82</f>
        <v>125.036133237022</v>
      </c>
      <c r="AH82" s="128" t="n">
        <f aca="false">$D82*P82</f>
        <v>0</v>
      </c>
      <c r="AI82" s="128" t="n">
        <f aca="false">$D82*Q82</f>
        <v>0</v>
      </c>
      <c r="AJ82" s="128" t="n">
        <f aca="false">$D82*R82</f>
        <v>0</v>
      </c>
      <c r="AK82" s="128" t="n">
        <f aca="false">$D82*S82</f>
        <v>0</v>
      </c>
      <c r="AL82" s="128" t="n">
        <f aca="false">$D82*T82</f>
        <v>0</v>
      </c>
      <c r="AN82" s="129" t="n">
        <f aca="false">SUM(W82:AL82)/4</f>
        <v>124.347323799</v>
      </c>
      <c r="AO82" s="130" t="n">
        <f aca="false">D82</f>
        <v>94.6999969482422</v>
      </c>
    </row>
    <row r="83" customFormat="false" ht="16.5" hidden="false" customHeight="false" outlineLevel="0" collapsed="false">
      <c r="B83" s="116" t="n">
        <f aca="false">MONTH(C83)</f>
        <v>8</v>
      </c>
      <c r="C83" s="125" t="n">
        <f aca="false">PJM_01212000!A67</f>
        <v>37469</v>
      </c>
      <c r="D83" s="126" t="n">
        <f aca="false">PJM_01212000!C67</f>
        <v>81.6999969482422</v>
      </c>
      <c r="E83" s="127" t="n">
        <f aca="false">VLOOKUP($B83,$C$6:$Z$17,E$22+1)</f>
        <v>0</v>
      </c>
      <c r="F83" s="127" t="n">
        <f aca="false">VLOOKUP($B83,$C$6:$Z$17,F$22+1)</f>
        <v>0</v>
      </c>
      <c r="G83" s="127" t="n">
        <f aca="false">VLOOKUP($B83,$C$6:$Z$17,G$22+1)</f>
        <v>0</v>
      </c>
      <c r="H83" s="127" t="n">
        <f aca="false">VLOOKUP($B83,$C$6:$Z$17,H$22+1)</f>
        <v>0</v>
      </c>
      <c r="I83" s="127" t="n">
        <f aca="false">VLOOKUP($B83,$C$6:$Z$17,I$22+1)</f>
        <v>0</v>
      </c>
      <c r="J83" s="127" t="n">
        <f aca="false">VLOOKUP($B83,$C$6:$Z$17,J$22+1)</f>
        <v>0</v>
      </c>
      <c r="K83" s="127" t="n">
        <f aca="false">VLOOKUP($B83,$C$6:$Z$17,K$22+1)</f>
        <v>1.19072909190695</v>
      </c>
      <c r="L83" s="127" t="n">
        <f aca="false">VLOOKUP($B83,$C$6:$Z$17,L$22+1)</f>
        <v>1.26057331025457</v>
      </c>
      <c r="M83" s="127" t="n">
        <f aca="false">VLOOKUP($B83,$C$6:$Z$17,M$22+1)</f>
        <v>1.24301093426774</v>
      </c>
      <c r="N83" s="127" t="n">
        <f aca="false">VLOOKUP($B83,$C$6:$Z$17,N$22+1)</f>
        <v>1.21504622788872</v>
      </c>
      <c r="O83" s="127" t="n">
        <f aca="false">VLOOKUP($B83,$C$6:$Z$17,O$22+1)</f>
        <v>0</v>
      </c>
      <c r="P83" s="127" t="n">
        <f aca="false">VLOOKUP($B83,$C$6:$Z$17,P$22+1)</f>
        <v>0</v>
      </c>
      <c r="Q83" s="127" t="n">
        <f aca="false">VLOOKUP($B83,$C$6:$Z$17,Q$22+1)</f>
        <v>0</v>
      </c>
      <c r="R83" s="127" t="n">
        <f aca="false">VLOOKUP($B83,$C$6:$Z$17,R$22+1)</f>
        <v>0</v>
      </c>
      <c r="S83" s="127" t="n">
        <f aca="false">VLOOKUP($B83,$C$6:$Z$17,S$22+1)</f>
        <v>0</v>
      </c>
      <c r="T83" s="127" t="n">
        <f aca="false">VLOOKUP($B83,$C$6:$Z$17,T$22+1)</f>
        <v>0</v>
      </c>
      <c r="U83" s="127" t="n">
        <f aca="false">VLOOKUP($B83,$C$6:$AB$17,T$22+3)-SUM(E83:T83)</f>
        <v>0</v>
      </c>
      <c r="W83" s="128" t="n">
        <f aca="false">$D83*E83</f>
        <v>0</v>
      </c>
      <c r="X83" s="128" t="n">
        <f aca="false">$D83*F83</f>
        <v>0</v>
      </c>
      <c r="Y83" s="128" t="n">
        <f aca="false">$D83*G83</f>
        <v>0</v>
      </c>
      <c r="Z83" s="128" t="n">
        <f aca="false">$D83*H83</f>
        <v>0</v>
      </c>
      <c r="AA83" s="128" t="n">
        <f aca="false">$D83*I83</f>
        <v>0</v>
      </c>
      <c r="AB83" s="128" t="n">
        <f aca="false">$D83*J83</f>
        <v>0</v>
      </c>
      <c r="AC83" s="128" t="n">
        <f aca="false">$D83*K83</f>
        <v>97.2825631749813</v>
      </c>
      <c r="AD83" s="128" t="n">
        <f aca="false">$D83*L83</f>
        <v>102.988835600834</v>
      </c>
      <c r="AE83" s="128" t="n">
        <f aca="false">$D83*M83</f>
        <v>101.553989536306</v>
      </c>
      <c r="AF83" s="128" t="n">
        <f aca="false">$D83*N83</f>
        <v>99.2692731104812</v>
      </c>
      <c r="AG83" s="128" t="n">
        <f aca="false">$D83*O83</f>
        <v>0</v>
      </c>
      <c r="AH83" s="128" t="n">
        <f aca="false">$D83*P83</f>
        <v>0</v>
      </c>
      <c r="AI83" s="128" t="n">
        <f aca="false">$D83*Q83</f>
        <v>0</v>
      </c>
      <c r="AJ83" s="128" t="n">
        <f aca="false">$D83*R83</f>
        <v>0</v>
      </c>
      <c r="AK83" s="128" t="n">
        <f aca="false">$D83*S83</f>
        <v>0</v>
      </c>
      <c r="AL83" s="128" t="n">
        <f aca="false">$D83*T83</f>
        <v>0</v>
      </c>
      <c r="AN83" s="129" t="n">
        <f aca="false">SUM(W83:AL83)/4</f>
        <v>100.273665355651</v>
      </c>
      <c r="AO83" s="130" t="n">
        <f aca="false">D83</f>
        <v>81.6999969482422</v>
      </c>
    </row>
    <row r="84" customFormat="false" ht="16.5" hidden="false" customHeight="false" outlineLevel="0" collapsed="false">
      <c r="B84" s="116" t="n">
        <f aca="false">MONTH(C84)</f>
        <v>9</v>
      </c>
      <c r="C84" s="125" t="n">
        <f aca="false">PJM_01212000!A68</f>
        <v>37500</v>
      </c>
      <c r="D84" s="126" t="n">
        <f aca="false">PJM_01212000!C68</f>
        <v>32.8249984741211</v>
      </c>
      <c r="E84" s="127" t="n">
        <f aca="false">VLOOKUP($B84,$C$6:$Z$17,E$22+1)</f>
        <v>0</v>
      </c>
      <c r="F84" s="127" t="n">
        <f aca="false">VLOOKUP($B84,$C$6:$Z$17,F$22+1)</f>
        <v>0</v>
      </c>
      <c r="G84" s="127" t="n">
        <f aca="false">VLOOKUP($B84,$C$6:$Z$17,G$22+1)</f>
        <v>0</v>
      </c>
      <c r="H84" s="127" t="n">
        <f aca="false">VLOOKUP($B84,$C$6:$Z$17,H$22+1)</f>
        <v>0</v>
      </c>
      <c r="I84" s="127" t="n">
        <f aca="false">VLOOKUP($B84,$C$6:$Z$17,I$22+1)</f>
        <v>0</v>
      </c>
      <c r="J84" s="127" t="n">
        <f aca="false">VLOOKUP($B84,$C$6:$Z$17,J$22+1)</f>
        <v>0</v>
      </c>
      <c r="K84" s="127" t="n">
        <f aca="false">VLOOKUP($B84,$C$6:$Z$17,K$22+1)</f>
        <v>0</v>
      </c>
      <c r="L84" s="127" t="n">
        <f aca="false">VLOOKUP($B84,$C$6:$Z$17,L$22+1)</f>
        <v>0</v>
      </c>
      <c r="M84" s="127" t="n">
        <f aca="false">VLOOKUP($B84,$C$6:$Z$17,M$22+1)</f>
        <v>0</v>
      </c>
      <c r="N84" s="127" t="n">
        <f aca="false">VLOOKUP($B84,$C$6:$Z$17,N$22+1)</f>
        <v>1.13452840898687</v>
      </c>
      <c r="O84" s="127" t="n">
        <f aca="false">VLOOKUP($B84,$C$6:$Z$17,O$22+1)</f>
        <v>1.1066962078626</v>
      </c>
      <c r="P84" s="127" t="n">
        <f aca="false">VLOOKUP($B84,$C$6:$Z$17,P$22+1)</f>
        <v>0</v>
      </c>
      <c r="Q84" s="127" t="n">
        <f aca="false">VLOOKUP($B84,$C$6:$Z$17,Q$22+1)</f>
        <v>1.18462637101057</v>
      </c>
      <c r="R84" s="127" t="n">
        <f aca="false">VLOOKUP($B84,$C$6:$Z$17,R$22+1)</f>
        <v>1.1944408840386</v>
      </c>
      <c r="S84" s="127" t="n">
        <f aca="false">VLOOKUP($B84,$C$6:$Z$17,S$22+1)</f>
        <v>0</v>
      </c>
      <c r="T84" s="127" t="n">
        <f aca="false">VLOOKUP($B84,$C$6:$Z$17,T$22+1)</f>
        <v>0</v>
      </c>
      <c r="U84" s="127" t="n">
        <f aca="false">VLOOKUP($B84,$C$6:$AB$17,T$22+3)-SUM(E84:T84)</f>
        <v>0</v>
      </c>
      <c r="W84" s="128" t="n">
        <f aca="false">$D84*E84</f>
        <v>0</v>
      </c>
      <c r="X84" s="128" t="n">
        <f aca="false">$D84*F84</f>
        <v>0</v>
      </c>
      <c r="Y84" s="128" t="n">
        <f aca="false">$D84*G84</f>
        <v>0</v>
      </c>
      <c r="Z84" s="128" t="n">
        <f aca="false">$D84*H84</f>
        <v>0</v>
      </c>
      <c r="AA84" s="128" t="n">
        <f aca="false">$D84*I84</f>
        <v>0</v>
      </c>
      <c r="AB84" s="128" t="n">
        <f aca="false">$D84*J84</f>
        <v>0</v>
      </c>
      <c r="AC84" s="128" t="n">
        <f aca="false">$D84*K84</f>
        <v>0</v>
      </c>
      <c r="AD84" s="128" t="n">
        <f aca="false">$D84*L84</f>
        <v>0</v>
      </c>
      <c r="AE84" s="128" t="n">
        <f aca="false">$D84*M84</f>
        <v>0</v>
      </c>
      <c r="AF84" s="128" t="n">
        <f aca="false">$D84*N84</f>
        <v>37.2408932938411</v>
      </c>
      <c r="AG84" s="128" t="n">
        <f aca="false">$D84*O84</f>
        <v>36.3273013344054</v>
      </c>
      <c r="AH84" s="128" t="n">
        <f aca="false">$D84*P84</f>
        <v>0</v>
      </c>
      <c r="AI84" s="128" t="n">
        <f aca="false">$D84*Q84</f>
        <v>38.8853588208254</v>
      </c>
      <c r="AJ84" s="128" t="n">
        <f aca="false">$D84*R84</f>
        <v>39.2075201959949</v>
      </c>
      <c r="AK84" s="128" t="n">
        <f aca="false">$D84*S84</f>
        <v>0</v>
      </c>
      <c r="AL84" s="128" t="n">
        <f aca="false">$D84*T84</f>
        <v>0</v>
      </c>
      <c r="AN84" s="129" t="n">
        <f aca="false">SUM(W84:AL84)/4</f>
        <v>37.9152684112667</v>
      </c>
      <c r="AO84" s="130" t="n">
        <f aca="false">D84</f>
        <v>32.8249984741211</v>
      </c>
    </row>
    <row r="85" customFormat="false" ht="16.5" hidden="false" customHeight="false" outlineLevel="0" collapsed="false">
      <c r="B85" s="116" t="n">
        <f aca="false">MONTH(C85)</f>
        <v>10</v>
      </c>
      <c r="C85" s="125" t="n">
        <f aca="false">PJM_01212000!A69</f>
        <v>37530</v>
      </c>
      <c r="D85" s="126" t="n">
        <f aca="false">PJM_01212000!C69</f>
        <v>26.4750003814697</v>
      </c>
      <c r="E85" s="127" t="n">
        <f aca="false">VLOOKUP($B85,$C$6:$Z$17,E$22+1)</f>
        <v>0</v>
      </c>
      <c r="F85" s="127" t="n">
        <f aca="false">VLOOKUP($B85,$C$6:$Z$17,F$22+1)</f>
        <v>1.1326</v>
      </c>
      <c r="G85" s="127" t="n">
        <f aca="false">VLOOKUP($B85,$C$6:$Z$17,G$22+1)</f>
        <v>0</v>
      </c>
      <c r="H85" s="127" t="n">
        <f aca="false">VLOOKUP($B85,$C$6:$Z$17,H$22+1)</f>
        <v>0</v>
      </c>
      <c r="I85" s="127" t="n">
        <f aca="false">VLOOKUP($B85,$C$6:$Z$17,I$22+1)</f>
        <v>0</v>
      </c>
      <c r="J85" s="127" t="n">
        <f aca="false">VLOOKUP($B85,$C$6:$Z$17,J$22+1)</f>
        <v>0</v>
      </c>
      <c r="K85" s="127" t="n">
        <f aca="false">VLOOKUP($B85,$C$6:$Z$17,K$22+1)</f>
        <v>0</v>
      </c>
      <c r="L85" s="127" t="n">
        <f aca="false">VLOOKUP($B85,$C$6:$Z$17,L$22+1)</f>
        <v>0</v>
      </c>
      <c r="M85" s="127" t="n">
        <f aca="false">VLOOKUP($B85,$C$6:$Z$17,M$22+1)</f>
        <v>0</v>
      </c>
      <c r="N85" s="127" t="n">
        <f aca="false">VLOOKUP($B85,$C$6:$Z$17,N$22+1)</f>
        <v>0</v>
      </c>
      <c r="O85" s="127" t="n">
        <f aca="false">VLOOKUP($B85,$C$6:$Z$17,O$22+1)</f>
        <v>1.2001</v>
      </c>
      <c r="P85" s="127" t="n">
        <f aca="false">VLOOKUP($B85,$C$6:$Z$17,P$22+1)</f>
        <v>1.2095</v>
      </c>
      <c r="Q85" s="127" t="n">
        <f aca="false">VLOOKUP($B85,$C$6:$Z$17,Q$22+1)</f>
        <v>1.1567</v>
      </c>
      <c r="R85" s="127" t="n">
        <f aca="false">VLOOKUP($B85,$C$6:$Z$17,R$22+1)</f>
        <v>0</v>
      </c>
      <c r="S85" s="127" t="n">
        <f aca="false">VLOOKUP($B85,$C$6:$Z$17,S$22+1)</f>
        <v>0</v>
      </c>
      <c r="T85" s="127" t="n">
        <f aca="false">VLOOKUP($B85,$C$6:$Z$17,T$22+1)</f>
        <v>0</v>
      </c>
      <c r="U85" s="127" t="n">
        <f aca="false">VLOOKUP($B85,$C$6:$AB$17,T$22+3)-SUM(E85:T85)</f>
        <v>0</v>
      </c>
      <c r="W85" s="128" t="n">
        <f aca="false">$D85*E85</f>
        <v>0</v>
      </c>
      <c r="X85" s="128" t="n">
        <f aca="false">$D85*F85</f>
        <v>29.9855854320526</v>
      </c>
      <c r="Y85" s="128" t="n">
        <f aca="false">$D85*G85</f>
        <v>0</v>
      </c>
      <c r="Z85" s="128" t="n">
        <f aca="false">$D85*H85</f>
        <v>0</v>
      </c>
      <c r="AA85" s="128" t="n">
        <f aca="false">$D85*I85</f>
        <v>0</v>
      </c>
      <c r="AB85" s="128" t="n">
        <f aca="false">$D85*J85</f>
        <v>0</v>
      </c>
      <c r="AC85" s="128" t="n">
        <f aca="false">$D85*K85</f>
        <v>0</v>
      </c>
      <c r="AD85" s="128" t="n">
        <f aca="false">$D85*L85</f>
        <v>0</v>
      </c>
      <c r="AE85" s="128" t="n">
        <f aca="false">$D85*M85</f>
        <v>0</v>
      </c>
      <c r="AF85" s="128" t="n">
        <f aca="false">$D85*N85</f>
        <v>0</v>
      </c>
      <c r="AG85" s="128" t="n">
        <f aca="false">$D85*O85</f>
        <v>31.7726479578018</v>
      </c>
      <c r="AH85" s="128" t="n">
        <f aca="false">$D85*P85</f>
        <v>32.0215129613876</v>
      </c>
      <c r="AI85" s="128" t="n">
        <f aca="false">$D85*Q85</f>
        <v>30.623632941246</v>
      </c>
      <c r="AJ85" s="128" t="n">
        <f aca="false">$D85*R85</f>
        <v>0</v>
      </c>
      <c r="AK85" s="128" t="n">
        <f aca="false">$D85*S85</f>
        <v>0</v>
      </c>
      <c r="AL85" s="128" t="n">
        <f aca="false">$D85*T85</f>
        <v>0</v>
      </c>
      <c r="AN85" s="129" t="n">
        <f aca="false">SUM(W85:AL85)/4</f>
        <v>31.100844823122</v>
      </c>
      <c r="AO85" s="130" t="n">
        <f aca="false">D85</f>
        <v>26.4750003814697</v>
      </c>
    </row>
    <row r="86" customFormat="false" ht="16.5" hidden="false" customHeight="false" outlineLevel="0" collapsed="false">
      <c r="B86" s="116" t="n">
        <f aca="false">MONTH(C86)</f>
        <v>11</v>
      </c>
      <c r="C86" s="125" t="n">
        <f aca="false">PJM_01212000!A70</f>
        <v>37561</v>
      </c>
      <c r="D86" s="126" t="n">
        <f aca="false">PJM_01212000!C70</f>
        <v>26.1474990844727</v>
      </c>
      <c r="E86" s="127" t="n">
        <f aca="false">VLOOKUP($B86,$C$6:$Z$17,E$22+1)</f>
        <v>0</v>
      </c>
      <c r="F86" s="127" t="n">
        <f aca="false">VLOOKUP($B86,$C$6:$Z$17,F$22+1)</f>
        <v>1.1426</v>
      </c>
      <c r="G86" s="127" t="n">
        <f aca="false">VLOOKUP($B86,$C$6:$Z$17,G$22+1)</f>
        <v>0</v>
      </c>
      <c r="H86" s="127" t="n">
        <f aca="false">VLOOKUP($B86,$C$6:$Z$17,H$22+1)</f>
        <v>0</v>
      </c>
      <c r="I86" s="127" t="n">
        <f aca="false">VLOOKUP($B86,$C$6:$Z$17,I$22+1)</f>
        <v>0</v>
      </c>
      <c r="J86" s="127" t="n">
        <f aca="false">VLOOKUP($B86,$C$6:$Z$17,J$22+1)</f>
        <v>0</v>
      </c>
      <c r="K86" s="127" t="n">
        <f aca="false">VLOOKUP($B86,$C$6:$Z$17,K$22+1)</f>
        <v>0</v>
      </c>
      <c r="L86" s="127" t="n">
        <f aca="false">VLOOKUP($B86,$C$6:$Z$17,L$22+1)</f>
        <v>0</v>
      </c>
      <c r="M86" s="127" t="n">
        <f aca="false">VLOOKUP($B86,$C$6:$Z$17,M$22+1)</f>
        <v>0</v>
      </c>
      <c r="N86" s="127" t="n">
        <f aca="false">VLOOKUP($B86,$C$6:$Z$17,N$22+1)</f>
        <v>0</v>
      </c>
      <c r="O86" s="127" t="n">
        <f aca="false">VLOOKUP($B86,$C$6:$Z$17,O$22+1)</f>
        <v>1.2171</v>
      </c>
      <c r="P86" s="127" t="n">
        <f aca="false">VLOOKUP($B86,$C$6:$Z$17,P$22+1)</f>
        <v>1.2269</v>
      </c>
      <c r="Q86" s="127" t="n">
        <f aca="false">VLOOKUP($B86,$C$6:$Z$17,Q$22+1)</f>
        <v>1.1767</v>
      </c>
      <c r="R86" s="127" t="n">
        <f aca="false">VLOOKUP($B86,$C$6:$Z$17,R$22+1)</f>
        <v>0</v>
      </c>
      <c r="S86" s="127" t="n">
        <f aca="false">VLOOKUP($B86,$C$6:$Z$17,S$22+1)</f>
        <v>0</v>
      </c>
      <c r="T86" s="127" t="n">
        <f aca="false">VLOOKUP($B86,$C$6:$Z$17,T$22+1)</f>
        <v>0</v>
      </c>
      <c r="U86" s="127" t="n">
        <f aca="false">VLOOKUP($B86,$C$6:$AB$17,T$22+3)-SUM(E86:T86)</f>
        <v>0</v>
      </c>
      <c r="W86" s="128" t="n">
        <f aca="false">$D86*E86</f>
        <v>0</v>
      </c>
      <c r="X86" s="128" t="n">
        <f aca="false">$D86*F86</f>
        <v>29.8761324539185</v>
      </c>
      <c r="Y86" s="128" t="n">
        <f aca="false">$D86*G86</f>
        <v>0</v>
      </c>
      <c r="Z86" s="128" t="n">
        <f aca="false">$D86*H86</f>
        <v>0</v>
      </c>
      <c r="AA86" s="128" t="n">
        <f aca="false">$D86*I86</f>
        <v>0</v>
      </c>
      <c r="AB86" s="128" t="n">
        <f aca="false">$D86*J86</f>
        <v>0</v>
      </c>
      <c r="AC86" s="128" t="n">
        <f aca="false">$D86*K86</f>
        <v>0</v>
      </c>
      <c r="AD86" s="128" t="n">
        <f aca="false">$D86*L86</f>
        <v>0</v>
      </c>
      <c r="AE86" s="128" t="n">
        <f aca="false">$D86*M86</f>
        <v>0</v>
      </c>
      <c r="AF86" s="128" t="n">
        <f aca="false">$D86*N86</f>
        <v>0</v>
      </c>
      <c r="AG86" s="128" t="n">
        <f aca="false">$D86*O86</f>
        <v>31.8241211357117</v>
      </c>
      <c r="AH86" s="128" t="n">
        <f aca="false">$D86*P86</f>
        <v>32.0803666267395</v>
      </c>
      <c r="AI86" s="128" t="n">
        <f aca="false">$D86*Q86</f>
        <v>30.767762172699</v>
      </c>
      <c r="AJ86" s="128" t="n">
        <f aca="false">$D86*R86</f>
        <v>0</v>
      </c>
      <c r="AK86" s="128" t="n">
        <f aca="false">$D86*S86</f>
        <v>0</v>
      </c>
      <c r="AL86" s="128" t="n">
        <f aca="false">$D86*T86</f>
        <v>0</v>
      </c>
      <c r="AN86" s="129" t="n">
        <f aca="false">SUM(W86:AL86)/4</f>
        <v>31.1370955972672</v>
      </c>
      <c r="AO86" s="130" t="n">
        <f aca="false">D86</f>
        <v>26.1474990844727</v>
      </c>
    </row>
    <row r="87" customFormat="false" ht="16.5" hidden="false" customHeight="false" outlineLevel="0" collapsed="false">
      <c r="B87" s="116" t="n">
        <f aca="false">MONTH(C87)</f>
        <v>12</v>
      </c>
      <c r="C87" s="125" t="n">
        <f aca="false">PJM_01212000!A71</f>
        <v>37591</v>
      </c>
      <c r="D87" s="126" t="n">
        <f aca="false">PJM_01212000!C71</f>
        <v>27.8999996185303</v>
      </c>
      <c r="E87" s="127" t="n">
        <f aca="false">VLOOKUP($B87,$C$6:$Z$17,E$22+1)</f>
        <v>0</v>
      </c>
      <c r="F87" s="127" t="n">
        <f aca="false">VLOOKUP($B87,$C$6:$Z$17,F$22+1)</f>
        <v>1.1638</v>
      </c>
      <c r="G87" s="127" t="n">
        <f aca="false">VLOOKUP($B87,$C$6:$Z$17,G$22+1)</f>
        <v>0</v>
      </c>
      <c r="H87" s="127" t="n">
        <f aca="false">VLOOKUP($B87,$C$6:$Z$17,H$22+1)</f>
        <v>0</v>
      </c>
      <c r="I87" s="127" t="n">
        <f aca="false">VLOOKUP($B87,$C$6:$Z$17,I$22+1)</f>
        <v>0</v>
      </c>
      <c r="J87" s="127" t="n">
        <f aca="false">VLOOKUP($B87,$C$6:$Z$17,J$22+1)</f>
        <v>0</v>
      </c>
      <c r="K87" s="127" t="n">
        <f aca="false">VLOOKUP($B87,$C$6:$Z$17,K$22+1)</f>
        <v>0</v>
      </c>
      <c r="L87" s="127" t="n">
        <f aca="false">VLOOKUP($B87,$C$6:$Z$17,L$22+1)</f>
        <v>0</v>
      </c>
      <c r="M87" s="127" t="n">
        <f aca="false">VLOOKUP($B87,$C$6:$Z$17,M$22+1)</f>
        <v>0</v>
      </c>
      <c r="N87" s="127" t="n">
        <f aca="false">VLOOKUP($B87,$C$6:$Z$17,N$22+1)</f>
        <v>0</v>
      </c>
      <c r="O87" s="127" t="n">
        <f aca="false">VLOOKUP($B87,$C$6:$Z$17,O$22+1)</f>
        <v>1.23965925286319</v>
      </c>
      <c r="P87" s="127" t="n">
        <f aca="false">VLOOKUP($B87,$C$6:$Z$17,P$22+1)</f>
        <v>1.2314</v>
      </c>
      <c r="Q87" s="127" t="n">
        <f aca="false">VLOOKUP($B87,$C$6:$Z$17,Q$22+1)</f>
        <v>1.18899630831453</v>
      </c>
      <c r="R87" s="127" t="n">
        <f aca="false">VLOOKUP($B87,$C$6:$Z$17,R$22+1)</f>
        <v>0</v>
      </c>
      <c r="S87" s="127" t="n">
        <f aca="false">VLOOKUP($B87,$C$6:$Z$17,S$22+1)</f>
        <v>0</v>
      </c>
      <c r="T87" s="127" t="n">
        <f aca="false">VLOOKUP($B87,$C$6:$Z$17,T$22+1)</f>
        <v>0</v>
      </c>
      <c r="U87" s="127" t="n">
        <f aca="false">VLOOKUP($B87,$C$6:$AB$17,T$22+3)-SUM(E87:T87)</f>
        <v>0</v>
      </c>
      <c r="W87" s="128" t="n">
        <f aca="false">$D87*E87</f>
        <v>0</v>
      </c>
      <c r="X87" s="128" t="n">
        <f aca="false">$D87*F87</f>
        <v>32.4700195560455</v>
      </c>
      <c r="Y87" s="128" t="n">
        <f aca="false">$D87*G87</f>
        <v>0</v>
      </c>
      <c r="Z87" s="128" t="n">
        <f aca="false">$D87*H87</f>
        <v>0</v>
      </c>
      <c r="AA87" s="128" t="n">
        <f aca="false">$D87*I87</f>
        <v>0</v>
      </c>
      <c r="AB87" s="128" t="n">
        <f aca="false">$D87*J87</f>
        <v>0</v>
      </c>
      <c r="AC87" s="128" t="n">
        <f aca="false">$D87*K87</f>
        <v>0</v>
      </c>
      <c r="AD87" s="128" t="n">
        <f aca="false">$D87*L87</f>
        <v>0</v>
      </c>
      <c r="AE87" s="128" t="n">
        <f aca="false">$D87*M87</f>
        <v>0</v>
      </c>
      <c r="AF87" s="128" t="n">
        <f aca="false">$D87*N87</f>
        <v>0</v>
      </c>
      <c r="AG87" s="128" t="n">
        <f aca="false">$D87*O87</f>
        <v>34.5864926819905</v>
      </c>
      <c r="AH87" s="128" t="n">
        <f aca="false">$D87*P87</f>
        <v>34.3560595302582</v>
      </c>
      <c r="AI87" s="128" t="n">
        <f aca="false">$D87*Q87</f>
        <v>33.1729965484093</v>
      </c>
      <c r="AJ87" s="128" t="n">
        <f aca="false">$D87*R87</f>
        <v>0</v>
      </c>
      <c r="AK87" s="128" t="n">
        <f aca="false">$D87*S87</f>
        <v>0</v>
      </c>
      <c r="AL87" s="128" t="n">
        <f aca="false">$D87*T87</f>
        <v>0</v>
      </c>
      <c r="AN87" s="129" t="n">
        <f aca="false">SUM(W87:AL87)/4</f>
        <v>33.6463920791759</v>
      </c>
      <c r="AO87" s="130" t="n">
        <f aca="false">D87</f>
        <v>27.8999996185303</v>
      </c>
    </row>
    <row r="88" customFormat="false" ht="16.5" hidden="false" customHeight="false" outlineLevel="0" collapsed="false">
      <c r="B88" s="116" t="n">
        <f aca="false">MONTH(C88)</f>
        <v>1</v>
      </c>
      <c r="C88" s="125" t="n">
        <f aca="false">PJM_01212000!A72</f>
        <v>37622</v>
      </c>
      <c r="D88" s="126" t="n">
        <f aca="false">PJM_01212000!C72</f>
        <v>36.3249984741211</v>
      </c>
      <c r="E88" s="127" t="n">
        <f aca="false">VLOOKUP($B88,$C$6:$Z$17,E$22+1)</f>
        <v>0</v>
      </c>
      <c r="F88" s="127" t="n">
        <f aca="false">VLOOKUP($B88,$C$6:$Z$17,F$22+1)</f>
        <v>1.19981175661928</v>
      </c>
      <c r="G88" s="127" t="n">
        <f aca="false">VLOOKUP($B88,$C$6:$Z$17,G$22+1)</f>
        <v>1.19616001156207</v>
      </c>
      <c r="H88" s="127" t="n">
        <f aca="false">VLOOKUP($B88,$C$6:$Z$17,H$22+1)</f>
        <v>0</v>
      </c>
      <c r="I88" s="127" t="n">
        <f aca="false">VLOOKUP($B88,$C$6:$Z$17,I$22+1)</f>
        <v>0</v>
      </c>
      <c r="J88" s="127" t="n">
        <f aca="false">VLOOKUP($B88,$C$6:$Z$17,J$22+1)</f>
        <v>0</v>
      </c>
      <c r="K88" s="127" t="n">
        <f aca="false">VLOOKUP($B88,$C$6:$Z$17,K$22+1)</f>
        <v>0</v>
      </c>
      <c r="L88" s="127" t="n">
        <f aca="false">VLOOKUP($B88,$C$6:$Z$17,L$22+1)</f>
        <v>0</v>
      </c>
      <c r="M88" s="127" t="n">
        <f aca="false">VLOOKUP($B88,$C$6:$Z$17,M$22+1)</f>
        <v>0</v>
      </c>
      <c r="N88" s="127" t="n">
        <f aca="false">VLOOKUP($B88,$C$6:$Z$17,N$22+1)</f>
        <v>0</v>
      </c>
      <c r="O88" s="127" t="n">
        <f aca="false">VLOOKUP($B88,$C$6:$Z$17,O$22+1)</f>
        <v>0</v>
      </c>
      <c r="P88" s="127" t="n">
        <f aca="false">VLOOKUP($B88,$C$6:$Z$17,P$22+1)</f>
        <v>1.28189922894351</v>
      </c>
      <c r="Q88" s="127" t="n">
        <f aca="false">VLOOKUP($B88,$C$6:$Z$17,Q$22+1)</f>
        <v>1.227</v>
      </c>
      <c r="R88" s="127" t="n">
        <f aca="false">VLOOKUP($B88,$C$6:$Z$17,R$22+1)</f>
        <v>0</v>
      </c>
      <c r="S88" s="127" t="n">
        <f aca="false">VLOOKUP($B88,$C$6:$Z$17,S$22+1)</f>
        <v>0</v>
      </c>
      <c r="T88" s="127" t="n">
        <f aca="false">VLOOKUP($B88,$C$6:$Z$17,T$22+1)</f>
        <v>0</v>
      </c>
      <c r="U88" s="127" t="n">
        <f aca="false">VLOOKUP($B88,$C$6:$AB$17,T$22+3)-SUM(E88:T88)</f>
        <v>0</v>
      </c>
      <c r="W88" s="128" t="n">
        <f aca="false">$D88*E88</f>
        <v>0</v>
      </c>
      <c r="X88" s="128" t="n">
        <f aca="false">$D88*F88</f>
        <v>43.583160228428</v>
      </c>
      <c r="Y88" s="128" t="n">
        <f aca="false">$D88*G88</f>
        <v>43.4505105947969</v>
      </c>
      <c r="Z88" s="128" t="n">
        <f aca="false">$D88*H88</f>
        <v>0</v>
      </c>
      <c r="AA88" s="128" t="n">
        <f aca="false">$D88*I88</f>
        <v>0</v>
      </c>
      <c r="AB88" s="128" t="n">
        <f aca="false">$D88*J88</f>
        <v>0</v>
      </c>
      <c r="AC88" s="128" t="n">
        <f aca="false">$D88*K88</f>
        <v>0</v>
      </c>
      <c r="AD88" s="128" t="n">
        <f aca="false">$D88*L88</f>
        <v>0</v>
      </c>
      <c r="AE88" s="128" t="n">
        <f aca="false">$D88*M88</f>
        <v>0</v>
      </c>
      <c r="AF88" s="128" t="n">
        <f aca="false">$D88*N88</f>
        <v>0</v>
      </c>
      <c r="AG88" s="128" t="n">
        <f aca="false">$D88*O88</f>
        <v>0</v>
      </c>
      <c r="AH88" s="128" t="n">
        <f aca="false">$D88*P88</f>
        <v>46.5649875353501</v>
      </c>
      <c r="AI88" s="128" t="n">
        <f aca="false">$D88*Q88</f>
        <v>44.5707731277466</v>
      </c>
      <c r="AJ88" s="128" t="n">
        <f aca="false">$D88*R88</f>
        <v>0</v>
      </c>
      <c r="AK88" s="128" t="n">
        <f aca="false">$D88*S88</f>
        <v>0</v>
      </c>
      <c r="AL88" s="128" t="n">
        <f aca="false">$D88*T88</f>
        <v>0</v>
      </c>
      <c r="AN88" s="129" t="n">
        <f aca="false">SUM(W88:AL88)/4</f>
        <v>44.5423578715804</v>
      </c>
      <c r="AO88" s="130" t="n">
        <f aca="false">D88</f>
        <v>36.3249984741211</v>
      </c>
    </row>
    <row r="89" customFormat="false" ht="16.5" hidden="false" customHeight="false" outlineLevel="0" collapsed="false">
      <c r="B89" s="116" t="n">
        <f aca="false">MONTH(C89)</f>
        <v>2</v>
      </c>
      <c r="C89" s="125" t="n">
        <f aca="false">PJM_01212000!A73</f>
        <v>37653</v>
      </c>
      <c r="D89" s="126" t="n">
        <f aca="false">PJM_01212000!C73</f>
        <v>36.3249984741211</v>
      </c>
      <c r="E89" s="127" t="n">
        <f aca="false">VLOOKUP($B89,$C$6:$Z$17,E$22+1)</f>
        <v>0</v>
      </c>
      <c r="F89" s="127" t="n">
        <f aca="false">VLOOKUP($B89,$C$6:$Z$17,F$22+1)</f>
        <v>1.19981175661928</v>
      </c>
      <c r="G89" s="127" t="n">
        <f aca="false">VLOOKUP($B89,$C$6:$Z$17,G$22+1)</f>
        <v>1.19616001156207</v>
      </c>
      <c r="H89" s="127" t="n">
        <f aca="false">VLOOKUP($B89,$C$6:$Z$17,H$22+1)</f>
        <v>0</v>
      </c>
      <c r="I89" s="127" t="n">
        <f aca="false">VLOOKUP($B89,$C$6:$Z$17,I$22+1)</f>
        <v>0</v>
      </c>
      <c r="J89" s="127" t="n">
        <f aca="false">VLOOKUP($B89,$C$6:$Z$17,J$22+1)</f>
        <v>0</v>
      </c>
      <c r="K89" s="127" t="n">
        <f aca="false">VLOOKUP($B89,$C$6:$Z$17,K$22+1)</f>
        <v>0</v>
      </c>
      <c r="L89" s="127" t="n">
        <f aca="false">VLOOKUP($B89,$C$6:$Z$17,L$22+1)</f>
        <v>0</v>
      </c>
      <c r="M89" s="127" t="n">
        <f aca="false">VLOOKUP($B89,$C$6:$Z$17,M$22+1)</f>
        <v>0</v>
      </c>
      <c r="N89" s="127" t="n">
        <f aca="false">VLOOKUP($B89,$C$6:$Z$17,N$22+1)</f>
        <v>0</v>
      </c>
      <c r="O89" s="127" t="n">
        <f aca="false">VLOOKUP($B89,$C$6:$Z$17,O$22+1)</f>
        <v>0</v>
      </c>
      <c r="P89" s="127" t="n">
        <f aca="false">VLOOKUP($B89,$C$6:$Z$17,P$22+1)</f>
        <v>1.28189922894351</v>
      </c>
      <c r="Q89" s="127" t="n">
        <f aca="false">VLOOKUP($B89,$C$6:$Z$17,Q$22+1)</f>
        <v>1.227</v>
      </c>
      <c r="R89" s="127" t="n">
        <f aca="false">VLOOKUP($B89,$C$6:$Z$17,R$22+1)</f>
        <v>0</v>
      </c>
      <c r="S89" s="127" t="n">
        <f aca="false">VLOOKUP($B89,$C$6:$Z$17,S$22+1)</f>
        <v>0</v>
      </c>
      <c r="T89" s="127" t="n">
        <f aca="false">VLOOKUP($B89,$C$6:$Z$17,T$22+1)</f>
        <v>0</v>
      </c>
      <c r="U89" s="127" t="n">
        <f aca="false">VLOOKUP($B89,$C$6:$AB$17,T$22+3)-SUM(E89:T89)</f>
        <v>0</v>
      </c>
      <c r="W89" s="128" t="n">
        <f aca="false">$D89*E89</f>
        <v>0</v>
      </c>
      <c r="X89" s="128" t="n">
        <f aca="false">$D89*F89</f>
        <v>43.583160228428</v>
      </c>
      <c r="Y89" s="128" t="n">
        <f aca="false">$D89*G89</f>
        <v>43.4505105947969</v>
      </c>
      <c r="Z89" s="128" t="n">
        <f aca="false">$D89*H89</f>
        <v>0</v>
      </c>
      <c r="AA89" s="128" t="n">
        <f aca="false">$D89*I89</f>
        <v>0</v>
      </c>
      <c r="AB89" s="128" t="n">
        <f aca="false">$D89*J89</f>
        <v>0</v>
      </c>
      <c r="AC89" s="128" t="n">
        <f aca="false">$D89*K89</f>
        <v>0</v>
      </c>
      <c r="AD89" s="128" t="n">
        <f aca="false">$D89*L89</f>
        <v>0</v>
      </c>
      <c r="AE89" s="128" t="n">
        <f aca="false">$D89*M89</f>
        <v>0</v>
      </c>
      <c r="AF89" s="128" t="n">
        <f aca="false">$D89*N89</f>
        <v>0</v>
      </c>
      <c r="AG89" s="128" t="n">
        <f aca="false">$D89*O89</f>
        <v>0</v>
      </c>
      <c r="AH89" s="128" t="n">
        <f aca="false">$D89*P89</f>
        <v>46.5649875353501</v>
      </c>
      <c r="AI89" s="128" t="n">
        <f aca="false">$D89*Q89</f>
        <v>44.5707731277466</v>
      </c>
      <c r="AJ89" s="128" t="n">
        <f aca="false">$D89*R89</f>
        <v>0</v>
      </c>
      <c r="AK89" s="128" t="n">
        <f aca="false">$D89*S89</f>
        <v>0</v>
      </c>
      <c r="AL89" s="128" t="n">
        <f aca="false">$D89*T89</f>
        <v>0</v>
      </c>
      <c r="AN89" s="129" t="n">
        <f aca="false">SUM(W89:AL89)/4</f>
        <v>44.5423578715804</v>
      </c>
      <c r="AO89" s="130" t="n">
        <f aca="false">D89</f>
        <v>36.3249984741211</v>
      </c>
    </row>
    <row r="90" customFormat="false" ht="16.5" hidden="false" customHeight="false" outlineLevel="0" collapsed="false">
      <c r="B90" s="116" t="n">
        <f aca="false">MONTH(C90)</f>
        <v>3</v>
      </c>
      <c r="C90" s="125" t="n">
        <f aca="false">PJM_01212000!A74</f>
        <v>37681</v>
      </c>
      <c r="D90" s="126" t="n">
        <f aca="false">PJM_01212000!C74</f>
        <v>26.2000007629395</v>
      </c>
      <c r="E90" s="127" t="n">
        <f aca="false">VLOOKUP($B90,$C$6:$Z$17,E$22+1)</f>
        <v>0</v>
      </c>
      <c r="F90" s="127" t="n">
        <f aca="false">VLOOKUP($B90,$C$6:$Z$17,F$22+1)</f>
        <v>1.1898</v>
      </c>
      <c r="G90" s="127" t="n">
        <f aca="false">VLOOKUP($B90,$C$6:$Z$17,G$22+1)</f>
        <v>1.1862</v>
      </c>
      <c r="H90" s="127" t="n">
        <f aca="false">VLOOKUP($B90,$C$6:$Z$17,H$22+1)</f>
        <v>0</v>
      </c>
      <c r="I90" s="127" t="n">
        <f aca="false">VLOOKUP($B90,$C$6:$Z$17,I$22+1)</f>
        <v>0</v>
      </c>
      <c r="J90" s="127" t="n">
        <f aca="false">VLOOKUP($B90,$C$6:$Z$17,J$22+1)</f>
        <v>0</v>
      </c>
      <c r="K90" s="127" t="n">
        <f aca="false">VLOOKUP($B90,$C$6:$Z$17,K$22+1)</f>
        <v>0</v>
      </c>
      <c r="L90" s="127" t="n">
        <f aca="false">VLOOKUP($B90,$C$6:$Z$17,L$22+1)</f>
        <v>0</v>
      </c>
      <c r="M90" s="127" t="n">
        <f aca="false">VLOOKUP($B90,$C$6:$Z$17,M$22+1)</f>
        <v>0</v>
      </c>
      <c r="N90" s="127" t="n">
        <f aca="false">VLOOKUP($B90,$C$6:$Z$17,N$22+1)</f>
        <v>0</v>
      </c>
      <c r="O90" s="127" t="n">
        <f aca="false">VLOOKUP($B90,$C$6:$Z$17,O$22+1)</f>
        <v>0</v>
      </c>
      <c r="P90" s="127" t="n">
        <f aca="false">VLOOKUP($B90,$C$6:$Z$17,P$22+1)</f>
        <v>1.2719</v>
      </c>
      <c r="Q90" s="127" t="n">
        <f aca="false">VLOOKUP($B90,$C$6:$Z$17,Q$22+1)</f>
        <v>1.217</v>
      </c>
      <c r="R90" s="127" t="n">
        <f aca="false">VLOOKUP($B90,$C$6:$Z$17,R$22+1)</f>
        <v>0</v>
      </c>
      <c r="S90" s="127" t="n">
        <f aca="false">VLOOKUP($B90,$C$6:$Z$17,S$22+1)</f>
        <v>0</v>
      </c>
      <c r="T90" s="127" t="n">
        <f aca="false">VLOOKUP($B90,$C$6:$Z$17,T$22+1)</f>
        <v>0</v>
      </c>
      <c r="U90" s="127" t="n">
        <f aca="false">VLOOKUP($B90,$C$6:$AB$17,T$22+3)-SUM(E90:T90)</f>
        <v>0</v>
      </c>
      <c r="W90" s="128" t="n">
        <f aca="false">$D90*E90</f>
        <v>0</v>
      </c>
      <c r="X90" s="128" t="n">
        <f aca="false">$D90*F90</f>
        <v>31.1727609077454</v>
      </c>
      <c r="Y90" s="128" t="n">
        <f aca="false">$D90*G90</f>
        <v>31.0784409049988</v>
      </c>
      <c r="Z90" s="128" t="n">
        <f aca="false">$D90*H90</f>
        <v>0</v>
      </c>
      <c r="AA90" s="128" t="n">
        <f aca="false">$D90*I90</f>
        <v>0</v>
      </c>
      <c r="AB90" s="128" t="n">
        <f aca="false">$D90*J90</f>
        <v>0</v>
      </c>
      <c r="AC90" s="128" t="n">
        <f aca="false">$D90*K90</f>
        <v>0</v>
      </c>
      <c r="AD90" s="128" t="n">
        <f aca="false">$D90*L90</f>
        <v>0</v>
      </c>
      <c r="AE90" s="128" t="n">
        <f aca="false">$D90*M90</f>
        <v>0</v>
      </c>
      <c r="AF90" s="128" t="n">
        <f aca="false">$D90*N90</f>
        <v>0</v>
      </c>
      <c r="AG90" s="128" t="n">
        <f aca="false">$D90*O90</f>
        <v>0</v>
      </c>
      <c r="AH90" s="128" t="n">
        <f aca="false">$D90*P90</f>
        <v>33.3237809703827</v>
      </c>
      <c r="AI90" s="128" t="n">
        <f aca="false">$D90*Q90</f>
        <v>31.8854009284973</v>
      </c>
      <c r="AJ90" s="128" t="n">
        <f aca="false">$D90*R90</f>
        <v>0</v>
      </c>
      <c r="AK90" s="128" t="n">
        <f aca="false">$D90*S90</f>
        <v>0</v>
      </c>
      <c r="AL90" s="128" t="n">
        <f aca="false">$D90*T90</f>
        <v>0</v>
      </c>
      <c r="AN90" s="129" t="n">
        <f aca="false">SUM(W90:AL90)/4</f>
        <v>31.865095927906</v>
      </c>
      <c r="AO90" s="130" t="n">
        <f aca="false">D90</f>
        <v>26.2000007629395</v>
      </c>
    </row>
    <row r="91" customFormat="false" ht="16.5" hidden="false" customHeight="false" outlineLevel="0" collapsed="false">
      <c r="B91" s="116" t="n">
        <f aca="false">MONTH(C91)</f>
        <v>4</v>
      </c>
      <c r="C91" s="125" t="n">
        <f aca="false">PJM_01212000!A75</f>
        <v>37712</v>
      </c>
      <c r="D91" s="126" t="n">
        <f aca="false">PJM_01212000!C75</f>
        <v>25.9750007629395</v>
      </c>
      <c r="E91" s="127" t="n">
        <f aca="false">VLOOKUP($B91,$C$6:$Z$17,E$22+1)</f>
        <v>1.1232726508202</v>
      </c>
      <c r="F91" s="127" t="n">
        <f aca="false">VLOOKUP($B91,$C$6:$Z$17,F$22+1)</f>
        <v>1.14131544612562</v>
      </c>
      <c r="G91" s="127" t="n">
        <f aca="false">VLOOKUP($B91,$C$6:$Z$17,G$22+1)</f>
        <v>0</v>
      </c>
      <c r="H91" s="127" t="n">
        <f aca="false">VLOOKUP($B91,$C$6:$Z$17,H$22+1)</f>
        <v>0</v>
      </c>
      <c r="I91" s="127" t="n">
        <f aca="false">VLOOKUP($B91,$C$6:$Z$17,I$22+1)</f>
        <v>1.11852454679246</v>
      </c>
      <c r="J91" s="127" t="n">
        <f aca="false">VLOOKUP($B91,$C$6:$Z$17,J$22+1)</f>
        <v>0</v>
      </c>
      <c r="K91" s="127" t="n">
        <f aca="false">VLOOKUP($B91,$C$6:$Z$17,K$22+1)</f>
        <v>0</v>
      </c>
      <c r="L91" s="127" t="n">
        <f aca="false">VLOOKUP($B91,$C$6:$Z$17,L$22+1)</f>
        <v>0</v>
      </c>
      <c r="M91" s="127" t="n">
        <f aca="false">VLOOKUP($B91,$C$6:$Z$17,M$22+1)</f>
        <v>0</v>
      </c>
      <c r="N91" s="127" t="n">
        <f aca="false">VLOOKUP($B91,$C$6:$Z$17,N$22+1)</f>
        <v>0</v>
      </c>
      <c r="O91" s="127" t="n">
        <f aca="false">VLOOKUP($B91,$C$6:$Z$17,O$22+1)</f>
        <v>0</v>
      </c>
      <c r="P91" s="127" t="n">
        <f aca="false">VLOOKUP($B91,$C$6:$Z$17,P$22+1)</f>
        <v>0</v>
      </c>
      <c r="Q91" s="127" t="n">
        <f aca="false">VLOOKUP($B91,$C$6:$Z$17,Q$22+1)</f>
        <v>0</v>
      </c>
      <c r="R91" s="127" t="n">
        <f aca="false">VLOOKUP($B91,$C$6:$Z$17,R$22+1)</f>
        <v>1.15433651784915</v>
      </c>
      <c r="S91" s="127" t="n">
        <f aca="false">VLOOKUP($B91,$C$6:$Z$17,S$22+1)</f>
        <v>0</v>
      </c>
      <c r="T91" s="127" t="n">
        <f aca="false">VLOOKUP($B91,$C$6:$Z$17,T$22+1)</f>
        <v>0</v>
      </c>
      <c r="U91" s="127" t="n">
        <f aca="false">VLOOKUP($B91,$C$6:$AB$17,T$22+3)-SUM(E91:T91)</f>
        <v>0</v>
      </c>
      <c r="W91" s="128" t="n">
        <f aca="false">$D91*E91</f>
        <v>29.1770079620438</v>
      </c>
      <c r="X91" s="128" t="n">
        <f aca="false">$D91*F91</f>
        <v>29.6456695838675</v>
      </c>
      <c r="Y91" s="128" t="n">
        <f aca="false">$D91*G91</f>
        <v>0</v>
      </c>
      <c r="Z91" s="128" t="n">
        <f aca="false">$D91*H91</f>
        <v>0</v>
      </c>
      <c r="AA91" s="128" t="n">
        <f aca="false">$D91*I91</f>
        <v>29.0536759563008</v>
      </c>
      <c r="AB91" s="128" t="n">
        <f aca="false">$D91*J91</f>
        <v>0</v>
      </c>
      <c r="AC91" s="128" t="n">
        <f aca="false">$D91*K91</f>
        <v>0</v>
      </c>
      <c r="AD91" s="128" t="n">
        <f aca="false">$D91*L91</f>
        <v>0</v>
      </c>
      <c r="AE91" s="128" t="n">
        <f aca="false">$D91*M91</f>
        <v>0</v>
      </c>
      <c r="AF91" s="128" t="n">
        <f aca="false">$D91*N91</f>
        <v>0</v>
      </c>
      <c r="AG91" s="128" t="n">
        <f aca="false">$D91*O91</f>
        <v>0</v>
      </c>
      <c r="AH91" s="128" t="n">
        <f aca="false">$D91*P91</f>
        <v>0</v>
      </c>
      <c r="AI91" s="128" t="n">
        <f aca="false">$D91*Q91</f>
        <v>0</v>
      </c>
      <c r="AJ91" s="128" t="n">
        <f aca="false">$D91*R91</f>
        <v>29.9838919318205</v>
      </c>
      <c r="AK91" s="128" t="n">
        <f aca="false">$D91*S91</f>
        <v>0</v>
      </c>
      <c r="AL91" s="128" t="n">
        <f aca="false">$D91*T91</f>
        <v>0</v>
      </c>
      <c r="AN91" s="129" t="n">
        <f aca="false">SUM(W91:AL91)/4</f>
        <v>29.4650613585082</v>
      </c>
      <c r="AO91" s="130" t="n">
        <f aca="false">D91</f>
        <v>25.9750007629395</v>
      </c>
    </row>
    <row r="92" customFormat="false" ht="16.5" hidden="false" customHeight="false" outlineLevel="0" collapsed="false">
      <c r="B92" s="116" t="n">
        <f aca="false">MONTH(C92)</f>
        <v>5</v>
      </c>
      <c r="C92" s="125" t="n">
        <f aca="false">PJM_01212000!A76</f>
        <v>37742</v>
      </c>
      <c r="D92" s="126" t="n">
        <f aca="false">PJM_01212000!C76</f>
        <v>30.975</v>
      </c>
      <c r="E92" s="127" t="n">
        <f aca="false">VLOOKUP($B92,$C$6:$Z$17,E$22+1)</f>
        <v>0</v>
      </c>
      <c r="F92" s="127" t="n">
        <f aca="false">VLOOKUP($B92,$C$6:$Z$17,F$22+1)</f>
        <v>0</v>
      </c>
      <c r="G92" s="127" t="n">
        <f aca="false">VLOOKUP($B92,$C$6:$Z$17,G$22+1)</f>
        <v>1.06102662180267</v>
      </c>
      <c r="H92" s="127" t="n">
        <f aca="false">VLOOKUP($B92,$C$6:$Z$17,H$22+1)</f>
        <v>1.12549986193072</v>
      </c>
      <c r="I92" s="127" t="n">
        <f aca="false">VLOOKUP($B92,$C$6:$Z$17,I$22+1)</f>
        <v>1.11699070333514</v>
      </c>
      <c r="J92" s="127" t="n">
        <f aca="false">VLOOKUP($B92,$C$6:$Z$17,J$22+1)</f>
        <v>0</v>
      </c>
      <c r="K92" s="127" t="n">
        <f aca="false">VLOOKUP($B92,$C$6:$Z$17,K$22+1)</f>
        <v>0</v>
      </c>
      <c r="L92" s="127" t="n">
        <f aca="false">VLOOKUP($B92,$C$6:$Z$17,L$22+1)</f>
        <v>0</v>
      </c>
      <c r="M92" s="127" t="n">
        <f aca="false">VLOOKUP($B92,$C$6:$Z$17,M$22+1)</f>
        <v>0</v>
      </c>
      <c r="N92" s="127" t="n">
        <f aca="false">VLOOKUP($B92,$C$6:$Z$17,N$22+1)</f>
        <v>0</v>
      </c>
      <c r="O92" s="127" t="n">
        <f aca="false">VLOOKUP($B92,$C$6:$Z$17,O$22+1)</f>
        <v>0</v>
      </c>
      <c r="P92" s="127" t="n">
        <f aca="false">VLOOKUP($B92,$C$6:$Z$17,P$22+1)</f>
        <v>0</v>
      </c>
      <c r="Q92" s="127" t="n">
        <f aca="false">VLOOKUP($B92,$C$6:$Z$17,Q$22+1)</f>
        <v>0</v>
      </c>
      <c r="R92" s="127" t="n">
        <f aca="false">VLOOKUP($B92,$C$6:$Z$17,R$22+1)</f>
        <v>1.08769956124651</v>
      </c>
      <c r="S92" s="127" t="n">
        <f aca="false">VLOOKUP($B92,$C$6:$Z$17,S$22+1)</f>
        <v>0</v>
      </c>
      <c r="T92" s="127" t="n">
        <f aca="false">VLOOKUP($B92,$C$6:$Z$17,T$22+1)</f>
        <v>0</v>
      </c>
      <c r="U92" s="127" t="n">
        <f aca="false">VLOOKUP($B92,$C$6:$AB$17,T$22+3)-SUM(E92:T92)</f>
        <v>0</v>
      </c>
      <c r="W92" s="128" t="n">
        <f aca="false">$D92*E92</f>
        <v>0</v>
      </c>
      <c r="X92" s="128" t="n">
        <f aca="false">$D92*F92</f>
        <v>0</v>
      </c>
      <c r="Y92" s="128" t="n">
        <f aca="false">$D92*G92</f>
        <v>32.8652996103378</v>
      </c>
      <c r="Z92" s="128" t="n">
        <f aca="false">$D92*H92</f>
        <v>34.862358223304</v>
      </c>
      <c r="AA92" s="128" t="n">
        <f aca="false">$D92*I92</f>
        <v>34.598787035806</v>
      </c>
      <c r="AB92" s="128" t="n">
        <f aca="false">$D92*J92</f>
        <v>0</v>
      </c>
      <c r="AC92" s="128" t="n">
        <f aca="false">$D92*K92</f>
        <v>0</v>
      </c>
      <c r="AD92" s="128" t="n">
        <f aca="false">$D92*L92</f>
        <v>0</v>
      </c>
      <c r="AE92" s="128" t="n">
        <f aca="false">$D92*M92</f>
        <v>0</v>
      </c>
      <c r="AF92" s="128" t="n">
        <f aca="false">$D92*N92</f>
        <v>0</v>
      </c>
      <c r="AG92" s="128" t="n">
        <f aca="false">$D92*O92</f>
        <v>0</v>
      </c>
      <c r="AH92" s="128" t="n">
        <f aca="false">$D92*P92</f>
        <v>0</v>
      </c>
      <c r="AI92" s="128" t="n">
        <f aca="false">$D92*Q92</f>
        <v>0</v>
      </c>
      <c r="AJ92" s="128" t="n">
        <f aca="false">$D92*R92</f>
        <v>33.6914939096106</v>
      </c>
      <c r="AK92" s="128" t="n">
        <f aca="false">$D92*S92</f>
        <v>0</v>
      </c>
      <c r="AL92" s="128" t="n">
        <f aca="false">$D92*T92</f>
        <v>0</v>
      </c>
      <c r="AN92" s="129" t="n">
        <f aca="false">SUM(W92:AL92)/4</f>
        <v>34.0044846947646</v>
      </c>
      <c r="AO92" s="130" t="n">
        <f aca="false">D92</f>
        <v>30.975</v>
      </c>
    </row>
    <row r="93" customFormat="false" ht="16.5" hidden="false" customHeight="false" outlineLevel="0" collapsed="false">
      <c r="B93" s="116" t="n">
        <f aca="false">MONTH(C93)</f>
        <v>6</v>
      </c>
      <c r="C93" s="125" t="n">
        <f aca="false">PJM_01212000!A77</f>
        <v>37773</v>
      </c>
      <c r="D93" s="126" t="n">
        <f aca="false">PJM_01212000!C77</f>
        <v>55.0999984741211</v>
      </c>
      <c r="E93" s="127" t="n">
        <f aca="false">VLOOKUP($B93,$C$6:$Z$17,E$22+1)</f>
        <v>0</v>
      </c>
      <c r="F93" s="127" t="n">
        <f aca="false">VLOOKUP($B93,$C$6:$Z$17,F$22+1)</f>
        <v>0</v>
      </c>
      <c r="G93" s="127" t="n">
        <f aca="false">VLOOKUP($B93,$C$6:$Z$17,G$22+1)</f>
        <v>0</v>
      </c>
      <c r="H93" s="127" t="n">
        <f aca="false">VLOOKUP($B93,$C$6:$Z$17,H$22+1)</f>
        <v>0</v>
      </c>
      <c r="I93" s="127" t="n">
        <f aca="false">VLOOKUP($B93,$C$6:$Z$17,I$22+1)</f>
        <v>0</v>
      </c>
      <c r="J93" s="127" t="n">
        <f aca="false">VLOOKUP($B93,$C$6:$Z$17,J$22+1)</f>
        <v>0</v>
      </c>
      <c r="K93" s="127" t="n">
        <f aca="false">VLOOKUP($B93,$C$6:$Z$17,K$22+1)</f>
        <v>1.22092018621818</v>
      </c>
      <c r="L93" s="127" t="n">
        <f aca="false">VLOOKUP($B93,$C$6:$Z$17,L$22+1)</f>
        <v>1.23031497714214</v>
      </c>
      <c r="M93" s="127" t="n">
        <f aca="false">VLOOKUP($B93,$C$6:$Z$17,M$22+1)</f>
        <v>1.23232814662584</v>
      </c>
      <c r="N93" s="127" t="n">
        <f aca="false">VLOOKUP($B93,$C$6:$Z$17,N$22+1)</f>
        <v>1.25232563016399</v>
      </c>
      <c r="O93" s="127" t="n">
        <f aca="false">VLOOKUP($B93,$C$6:$Z$17,O$22+1)</f>
        <v>0</v>
      </c>
      <c r="P93" s="127" t="n">
        <f aca="false">VLOOKUP($B93,$C$6:$Z$17,P$22+1)</f>
        <v>0</v>
      </c>
      <c r="Q93" s="127" t="n">
        <f aca="false">VLOOKUP($B93,$C$6:$Z$17,Q$22+1)</f>
        <v>0</v>
      </c>
      <c r="R93" s="127" t="n">
        <f aca="false">VLOOKUP($B93,$C$6:$Z$17,R$22+1)</f>
        <v>0</v>
      </c>
      <c r="S93" s="127" t="n">
        <f aca="false">VLOOKUP($B93,$C$6:$Z$17,S$22+1)</f>
        <v>0</v>
      </c>
      <c r="T93" s="127" t="n">
        <f aca="false">VLOOKUP($B93,$C$6:$Z$17,T$22+1)</f>
        <v>0</v>
      </c>
      <c r="U93" s="127" t="n">
        <f aca="false">VLOOKUP($B93,$C$6:$AB$17,T$22+3)-SUM(E93:T93)</f>
        <v>0</v>
      </c>
      <c r="W93" s="128" t="n">
        <f aca="false">$D93*E93</f>
        <v>0</v>
      </c>
      <c r="X93" s="128" t="n">
        <f aca="false">$D93*F93</f>
        <v>0</v>
      </c>
      <c r="Y93" s="128" t="n">
        <f aca="false">$D93*G93</f>
        <v>0</v>
      </c>
      <c r="Z93" s="128" t="n">
        <f aca="false">$D93*H93</f>
        <v>0</v>
      </c>
      <c r="AA93" s="128" t="n">
        <f aca="false">$D93*I93</f>
        <v>0</v>
      </c>
      <c r="AB93" s="128" t="n">
        <f aca="false">$D93*J93</f>
        <v>0</v>
      </c>
      <c r="AC93" s="128" t="n">
        <f aca="false">$D93*K93</f>
        <v>67.2727003976452</v>
      </c>
      <c r="AD93" s="128" t="n">
        <f aca="false">$D93*L93</f>
        <v>67.7903533632202</v>
      </c>
      <c r="AE93" s="128" t="n">
        <f aca="false">$D93*M93</f>
        <v>67.9012789987005</v>
      </c>
      <c r="AF93" s="128" t="n">
        <f aca="false">$D93*N93</f>
        <v>69.0031403111386</v>
      </c>
      <c r="AG93" s="128" t="n">
        <f aca="false">$D93*O93</f>
        <v>0</v>
      </c>
      <c r="AH93" s="128" t="n">
        <f aca="false">$D93*P93</f>
        <v>0</v>
      </c>
      <c r="AI93" s="128" t="n">
        <f aca="false">$D93*Q93</f>
        <v>0</v>
      </c>
      <c r="AJ93" s="128" t="n">
        <f aca="false">$D93*R93</f>
        <v>0</v>
      </c>
      <c r="AK93" s="128" t="n">
        <f aca="false">$D93*S93</f>
        <v>0</v>
      </c>
      <c r="AL93" s="128" t="n">
        <f aca="false">$D93*T93</f>
        <v>0</v>
      </c>
      <c r="AN93" s="129" t="n">
        <f aca="false">SUM(W93:AL93)/4</f>
        <v>67.9918682676761</v>
      </c>
      <c r="AO93" s="130" t="n">
        <f aca="false">D93</f>
        <v>55.0999984741211</v>
      </c>
    </row>
    <row r="94" customFormat="false" ht="16.5" hidden="false" customHeight="false" outlineLevel="0" collapsed="false">
      <c r="B94" s="116" t="n">
        <f aca="false">MONTH(C94)</f>
        <v>7</v>
      </c>
      <c r="C94" s="125" t="n">
        <f aca="false">PJM_01212000!A78</f>
        <v>37803</v>
      </c>
      <c r="D94" s="126" t="n">
        <f aca="false">PJM_01212000!C78</f>
        <v>94.1999969482422</v>
      </c>
      <c r="E94" s="127" t="n">
        <f aca="false">VLOOKUP($B94,$C$6:$Z$17,E$22+1)</f>
        <v>0</v>
      </c>
      <c r="F94" s="127" t="n">
        <f aca="false">VLOOKUP($B94,$C$6:$Z$17,F$22+1)</f>
        <v>0</v>
      </c>
      <c r="G94" s="127" t="n">
        <f aca="false">VLOOKUP($B94,$C$6:$Z$17,G$22+1)</f>
        <v>0</v>
      </c>
      <c r="H94" s="127" t="n">
        <f aca="false">VLOOKUP($B94,$C$6:$Z$17,H$22+1)</f>
        <v>0</v>
      </c>
      <c r="I94" s="127" t="n">
        <f aca="false">VLOOKUP($B94,$C$6:$Z$17,I$22+1)</f>
        <v>0</v>
      </c>
      <c r="J94" s="127" t="n">
        <f aca="false">VLOOKUP($B94,$C$6:$Z$17,J$22+1)</f>
        <v>0</v>
      </c>
      <c r="K94" s="127" t="n">
        <f aca="false">VLOOKUP($B94,$C$6:$Z$17,K$22+1)</f>
        <v>0</v>
      </c>
      <c r="L94" s="127" t="n">
        <f aca="false">VLOOKUP($B94,$C$6:$Z$17,L$22+1)</f>
        <v>1.2506946851613</v>
      </c>
      <c r="M94" s="127" t="n">
        <f aca="false">VLOOKUP($B94,$C$6:$Z$17,M$22+1)</f>
        <v>1.32734019400042</v>
      </c>
      <c r="N94" s="127" t="n">
        <f aca="false">VLOOKUP($B94,$C$6:$Z$17,N$22+1)</f>
        <v>1.35388881627921</v>
      </c>
      <c r="O94" s="127" t="n">
        <f aca="false">VLOOKUP($B94,$C$6:$Z$17,O$22+1)</f>
        <v>1.32033935867348</v>
      </c>
      <c r="P94" s="127" t="n">
        <f aca="false">VLOOKUP($B94,$C$6:$Z$17,P$22+1)</f>
        <v>0</v>
      </c>
      <c r="Q94" s="127" t="n">
        <f aca="false">VLOOKUP($B94,$C$6:$Z$17,Q$22+1)</f>
        <v>0</v>
      </c>
      <c r="R94" s="127" t="n">
        <f aca="false">VLOOKUP($B94,$C$6:$Z$17,R$22+1)</f>
        <v>0</v>
      </c>
      <c r="S94" s="127" t="n">
        <f aca="false">VLOOKUP($B94,$C$6:$Z$17,S$22+1)</f>
        <v>0</v>
      </c>
      <c r="T94" s="127" t="n">
        <f aca="false">VLOOKUP($B94,$C$6:$Z$17,T$22+1)</f>
        <v>0</v>
      </c>
      <c r="U94" s="127" t="n">
        <f aca="false">VLOOKUP($B94,$C$6:$AB$17,T$22+3)-SUM(E94:T94)</f>
        <v>0</v>
      </c>
      <c r="W94" s="128" t="n">
        <f aca="false">$D94*E94</f>
        <v>0</v>
      </c>
      <c r="X94" s="128" t="n">
        <f aca="false">$D94*F94</f>
        <v>0</v>
      </c>
      <c r="Y94" s="128" t="n">
        <f aca="false">$D94*G94</f>
        <v>0</v>
      </c>
      <c r="Z94" s="128" t="n">
        <f aca="false">$D94*H94</f>
        <v>0</v>
      </c>
      <c r="AA94" s="128" t="n">
        <f aca="false">$D94*I94</f>
        <v>0</v>
      </c>
      <c r="AB94" s="128" t="n">
        <f aca="false">$D94*J94</f>
        <v>0</v>
      </c>
      <c r="AC94" s="128" t="n">
        <f aca="false">$D94*K94</f>
        <v>0</v>
      </c>
      <c r="AD94" s="128" t="n">
        <f aca="false">$D94*L94</f>
        <v>117.815435525377</v>
      </c>
      <c r="AE94" s="128" t="n">
        <f aca="false">$D94*M94</f>
        <v>125.035442224119</v>
      </c>
      <c r="AF94" s="128" t="n">
        <f aca="false">$D94*N94</f>
        <v>127.536322361761</v>
      </c>
      <c r="AG94" s="128" t="n">
        <f aca="false">$D94*O94</f>
        <v>124.375963557686</v>
      </c>
      <c r="AH94" s="128" t="n">
        <f aca="false">$D94*P94</f>
        <v>0</v>
      </c>
      <c r="AI94" s="128" t="n">
        <f aca="false">$D94*Q94</f>
        <v>0</v>
      </c>
      <c r="AJ94" s="128" t="n">
        <f aca="false">$D94*R94</f>
        <v>0</v>
      </c>
      <c r="AK94" s="128" t="n">
        <f aca="false">$D94*S94</f>
        <v>0</v>
      </c>
      <c r="AL94" s="128" t="n">
        <f aca="false">$D94*T94</f>
        <v>0</v>
      </c>
      <c r="AN94" s="129" t="n">
        <f aca="false">SUM(W94:AL94)/4</f>
        <v>123.690790917236</v>
      </c>
      <c r="AO94" s="130" t="n">
        <f aca="false">D94</f>
        <v>94.1999969482422</v>
      </c>
    </row>
    <row r="95" customFormat="false" ht="16.5" hidden="false" customHeight="false" outlineLevel="0" collapsed="false">
      <c r="B95" s="116" t="n">
        <f aca="false">MONTH(C95)</f>
        <v>8</v>
      </c>
      <c r="C95" s="125" t="n">
        <f aca="false">PJM_01212000!A79</f>
        <v>37834</v>
      </c>
      <c r="D95" s="126" t="n">
        <f aca="false">PJM_01212000!C79</f>
        <v>81.1999969482422</v>
      </c>
      <c r="E95" s="127" t="n">
        <f aca="false">VLOOKUP($B95,$C$6:$Z$17,E$22+1)</f>
        <v>0</v>
      </c>
      <c r="F95" s="127" t="n">
        <f aca="false">VLOOKUP($B95,$C$6:$Z$17,F$22+1)</f>
        <v>0</v>
      </c>
      <c r="G95" s="127" t="n">
        <f aca="false">VLOOKUP($B95,$C$6:$Z$17,G$22+1)</f>
        <v>0</v>
      </c>
      <c r="H95" s="127" t="n">
        <f aca="false">VLOOKUP($B95,$C$6:$Z$17,H$22+1)</f>
        <v>0</v>
      </c>
      <c r="I95" s="127" t="n">
        <f aca="false">VLOOKUP($B95,$C$6:$Z$17,I$22+1)</f>
        <v>0</v>
      </c>
      <c r="J95" s="127" t="n">
        <f aca="false">VLOOKUP($B95,$C$6:$Z$17,J$22+1)</f>
        <v>0</v>
      </c>
      <c r="K95" s="127" t="n">
        <f aca="false">VLOOKUP($B95,$C$6:$Z$17,K$22+1)</f>
        <v>1.19072909190695</v>
      </c>
      <c r="L95" s="127" t="n">
        <f aca="false">VLOOKUP($B95,$C$6:$Z$17,L$22+1)</f>
        <v>1.26057331025457</v>
      </c>
      <c r="M95" s="127" t="n">
        <f aca="false">VLOOKUP($B95,$C$6:$Z$17,M$22+1)</f>
        <v>1.24301093426774</v>
      </c>
      <c r="N95" s="127" t="n">
        <f aca="false">VLOOKUP($B95,$C$6:$Z$17,N$22+1)</f>
        <v>1.21504622788872</v>
      </c>
      <c r="O95" s="127" t="n">
        <f aca="false">VLOOKUP($B95,$C$6:$Z$17,O$22+1)</f>
        <v>0</v>
      </c>
      <c r="P95" s="127" t="n">
        <f aca="false">VLOOKUP($B95,$C$6:$Z$17,P$22+1)</f>
        <v>0</v>
      </c>
      <c r="Q95" s="127" t="n">
        <f aca="false">VLOOKUP($B95,$C$6:$Z$17,Q$22+1)</f>
        <v>0</v>
      </c>
      <c r="R95" s="127" t="n">
        <f aca="false">VLOOKUP($B95,$C$6:$Z$17,R$22+1)</f>
        <v>0</v>
      </c>
      <c r="S95" s="127" t="n">
        <f aca="false">VLOOKUP($B95,$C$6:$Z$17,S$22+1)</f>
        <v>0</v>
      </c>
      <c r="T95" s="127" t="n">
        <f aca="false">VLOOKUP($B95,$C$6:$Z$17,T$22+1)</f>
        <v>0</v>
      </c>
      <c r="U95" s="127" t="n">
        <f aca="false">VLOOKUP($B95,$C$6:$AB$17,T$22+3)-SUM(E95:T95)</f>
        <v>0</v>
      </c>
      <c r="W95" s="128" t="n">
        <f aca="false">$D95*E95</f>
        <v>0</v>
      </c>
      <c r="X95" s="128" t="n">
        <f aca="false">$D95*F95</f>
        <v>0</v>
      </c>
      <c r="Y95" s="128" t="n">
        <f aca="false">$D95*G95</f>
        <v>0</v>
      </c>
      <c r="Z95" s="128" t="n">
        <f aca="false">$D95*H95</f>
        <v>0</v>
      </c>
      <c r="AA95" s="128" t="n">
        <f aca="false">$D95*I95</f>
        <v>0</v>
      </c>
      <c r="AB95" s="128" t="n">
        <f aca="false">$D95*J95</f>
        <v>0</v>
      </c>
      <c r="AC95" s="128" t="n">
        <f aca="false">$D95*K95</f>
        <v>96.6871986290278</v>
      </c>
      <c r="AD95" s="128" t="n">
        <f aca="false">$D95*L95</f>
        <v>102.358548945707</v>
      </c>
      <c r="AE95" s="128" t="n">
        <f aca="false">$D95*M95</f>
        <v>100.932484069172</v>
      </c>
      <c r="AF95" s="128" t="n">
        <f aca="false">$D95*N95</f>
        <v>98.6617499965368</v>
      </c>
      <c r="AG95" s="128" t="n">
        <f aca="false">$D95*O95</f>
        <v>0</v>
      </c>
      <c r="AH95" s="128" t="n">
        <f aca="false">$D95*P95</f>
        <v>0</v>
      </c>
      <c r="AI95" s="128" t="n">
        <f aca="false">$D95*Q95</f>
        <v>0</v>
      </c>
      <c r="AJ95" s="128" t="n">
        <f aca="false">$D95*R95</f>
        <v>0</v>
      </c>
      <c r="AK95" s="128" t="n">
        <f aca="false">$D95*S95</f>
        <v>0</v>
      </c>
      <c r="AL95" s="128" t="n">
        <f aca="false">$D95*T95</f>
        <v>0</v>
      </c>
      <c r="AN95" s="129" t="n">
        <f aca="false">SUM(W95:AL95)/4</f>
        <v>99.6599954101109</v>
      </c>
      <c r="AO95" s="130" t="n">
        <f aca="false">D95</f>
        <v>81.1999969482422</v>
      </c>
    </row>
    <row r="96" customFormat="false" ht="16.5" hidden="false" customHeight="false" outlineLevel="0" collapsed="false">
      <c r="B96" s="116" t="n">
        <f aca="false">MONTH(C96)</f>
        <v>9</v>
      </c>
      <c r="C96" s="125" t="n">
        <f aca="false">PJM_01212000!A80</f>
        <v>37865</v>
      </c>
      <c r="D96" s="126" t="n">
        <f aca="false">PJM_01212000!C80</f>
        <v>33.0749984741211</v>
      </c>
      <c r="E96" s="127" t="n">
        <f aca="false">VLOOKUP($B96,$C$6:$Z$17,E$22+1)</f>
        <v>0</v>
      </c>
      <c r="F96" s="127" t="n">
        <f aca="false">VLOOKUP($B96,$C$6:$Z$17,F$22+1)</f>
        <v>0</v>
      </c>
      <c r="G96" s="127" t="n">
        <f aca="false">VLOOKUP($B96,$C$6:$Z$17,G$22+1)</f>
        <v>0</v>
      </c>
      <c r="H96" s="127" t="n">
        <f aca="false">VLOOKUP($B96,$C$6:$Z$17,H$22+1)</f>
        <v>0</v>
      </c>
      <c r="I96" s="127" t="n">
        <f aca="false">VLOOKUP($B96,$C$6:$Z$17,I$22+1)</f>
        <v>0</v>
      </c>
      <c r="J96" s="127" t="n">
        <f aca="false">VLOOKUP($B96,$C$6:$Z$17,J$22+1)</f>
        <v>0</v>
      </c>
      <c r="K96" s="127" t="n">
        <f aca="false">VLOOKUP($B96,$C$6:$Z$17,K$22+1)</f>
        <v>0</v>
      </c>
      <c r="L96" s="127" t="n">
        <f aca="false">VLOOKUP($B96,$C$6:$Z$17,L$22+1)</f>
        <v>0</v>
      </c>
      <c r="M96" s="127" t="n">
        <f aca="false">VLOOKUP($B96,$C$6:$Z$17,M$22+1)</f>
        <v>0</v>
      </c>
      <c r="N96" s="127" t="n">
        <f aca="false">VLOOKUP($B96,$C$6:$Z$17,N$22+1)</f>
        <v>1.13452840898687</v>
      </c>
      <c r="O96" s="127" t="n">
        <f aca="false">VLOOKUP($B96,$C$6:$Z$17,O$22+1)</f>
        <v>1.1066962078626</v>
      </c>
      <c r="P96" s="127" t="n">
        <f aca="false">VLOOKUP($B96,$C$6:$Z$17,P$22+1)</f>
        <v>0</v>
      </c>
      <c r="Q96" s="127" t="n">
        <f aca="false">VLOOKUP($B96,$C$6:$Z$17,Q$22+1)</f>
        <v>1.18462637101057</v>
      </c>
      <c r="R96" s="127" t="n">
        <f aca="false">VLOOKUP($B96,$C$6:$Z$17,R$22+1)</f>
        <v>1.1944408840386</v>
      </c>
      <c r="S96" s="127" t="n">
        <f aca="false">VLOOKUP($B96,$C$6:$Z$17,S$22+1)</f>
        <v>0</v>
      </c>
      <c r="T96" s="127" t="n">
        <f aca="false">VLOOKUP($B96,$C$6:$Z$17,T$22+1)</f>
        <v>0</v>
      </c>
      <c r="U96" s="127" t="n">
        <f aca="false">VLOOKUP($B96,$C$6:$AB$17,T$22+3)-SUM(E96:T96)</f>
        <v>0</v>
      </c>
      <c r="W96" s="128" t="n">
        <f aca="false">$D96*E96</f>
        <v>0</v>
      </c>
      <c r="X96" s="128" t="n">
        <f aca="false">$D96*F96</f>
        <v>0</v>
      </c>
      <c r="Y96" s="128" t="n">
        <f aca="false">$D96*G96</f>
        <v>0</v>
      </c>
      <c r="Z96" s="128" t="n">
        <f aca="false">$D96*H96</f>
        <v>0</v>
      </c>
      <c r="AA96" s="128" t="n">
        <f aca="false">$D96*I96</f>
        <v>0</v>
      </c>
      <c r="AB96" s="128" t="n">
        <f aca="false">$D96*J96</f>
        <v>0</v>
      </c>
      <c r="AC96" s="128" t="n">
        <f aca="false">$D96*K96</f>
        <v>0</v>
      </c>
      <c r="AD96" s="128" t="n">
        <f aca="false">$D96*L96</f>
        <v>0</v>
      </c>
      <c r="AE96" s="128" t="n">
        <f aca="false">$D96*M96</f>
        <v>0</v>
      </c>
      <c r="AF96" s="128" t="n">
        <f aca="false">$D96*N96</f>
        <v>37.5245253960878</v>
      </c>
      <c r="AG96" s="128" t="n">
        <f aca="false">$D96*O96</f>
        <v>36.603975386371</v>
      </c>
      <c r="AH96" s="128" t="n">
        <f aca="false">$D96*P96</f>
        <v>0</v>
      </c>
      <c r="AI96" s="128" t="n">
        <f aca="false">$D96*Q96</f>
        <v>39.1815154135781</v>
      </c>
      <c r="AJ96" s="128" t="n">
        <f aca="false">$D96*R96</f>
        <v>39.5061304170045</v>
      </c>
      <c r="AK96" s="128" t="n">
        <f aca="false">$D96*S96</f>
        <v>0</v>
      </c>
      <c r="AL96" s="128" t="n">
        <f aca="false">$D96*T96</f>
        <v>0</v>
      </c>
      <c r="AN96" s="129" t="n">
        <f aca="false">SUM(W96:AL96)/4</f>
        <v>38.2040366532604</v>
      </c>
      <c r="AO96" s="130" t="n">
        <f aca="false">D96</f>
        <v>33.0749984741211</v>
      </c>
    </row>
    <row r="97" customFormat="false" ht="16.5" hidden="false" customHeight="false" outlineLevel="0" collapsed="false">
      <c r="B97" s="116" t="n">
        <f aca="false">MONTH(C97)</f>
        <v>10</v>
      </c>
      <c r="C97" s="125" t="n">
        <f aca="false">PJM_01212000!A81</f>
        <v>37895</v>
      </c>
      <c r="D97" s="126" t="n">
        <f aca="false">PJM_01212000!C81</f>
        <v>26.7250003814697</v>
      </c>
      <c r="E97" s="127" t="n">
        <f aca="false">VLOOKUP($B97,$C$6:$Z$17,E$22+1)</f>
        <v>0</v>
      </c>
      <c r="F97" s="127" t="n">
        <f aca="false">VLOOKUP($B97,$C$6:$Z$17,F$22+1)</f>
        <v>1.1326</v>
      </c>
      <c r="G97" s="127" t="n">
        <f aca="false">VLOOKUP($B97,$C$6:$Z$17,G$22+1)</f>
        <v>0</v>
      </c>
      <c r="H97" s="127" t="n">
        <f aca="false">VLOOKUP($B97,$C$6:$Z$17,H$22+1)</f>
        <v>0</v>
      </c>
      <c r="I97" s="127" t="n">
        <f aca="false">VLOOKUP($B97,$C$6:$Z$17,I$22+1)</f>
        <v>0</v>
      </c>
      <c r="J97" s="127" t="n">
        <f aca="false">VLOOKUP($B97,$C$6:$Z$17,J$22+1)</f>
        <v>0</v>
      </c>
      <c r="K97" s="127" t="n">
        <f aca="false">VLOOKUP($B97,$C$6:$Z$17,K$22+1)</f>
        <v>0</v>
      </c>
      <c r="L97" s="127" t="n">
        <f aca="false">VLOOKUP($B97,$C$6:$Z$17,L$22+1)</f>
        <v>0</v>
      </c>
      <c r="M97" s="127" t="n">
        <f aca="false">VLOOKUP($B97,$C$6:$Z$17,M$22+1)</f>
        <v>0</v>
      </c>
      <c r="N97" s="127" t="n">
        <f aca="false">VLOOKUP($B97,$C$6:$Z$17,N$22+1)</f>
        <v>0</v>
      </c>
      <c r="O97" s="127" t="n">
        <f aca="false">VLOOKUP($B97,$C$6:$Z$17,O$22+1)</f>
        <v>1.2001</v>
      </c>
      <c r="P97" s="127" t="n">
        <f aca="false">VLOOKUP($B97,$C$6:$Z$17,P$22+1)</f>
        <v>1.2095</v>
      </c>
      <c r="Q97" s="127" t="n">
        <f aca="false">VLOOKUP($B97,$C$6:$Z$17,Q$22+1)</f>
        <v>1.1567</v>
      </c>
      <c r="R97" s="127" t="n">
        <f aca="false">VLOOKUP($B97,$C$6:$Z$17,R$22+1)</f>
        <v>0</v>
      </c>
      <c r="S97" s="127" t="n">
        <f aca="false">VLOOKUP($B97,$C$6:$Z$17,S$22+1)</f>
        <v>0</v>
      </c>
      <c r="T97" s="127" t="n">
        <f aca="false">VLOOKUP($B97,$C$6:$Z$17,T$22+1)</f>
        <v>0</v>
      </c>
      <c r="U97" s="127" t="n">
        <f aca="false">VLOOKUP($B97,$C$6:$AB$17,T$22+3)-SUM(E97:T97)</f>
        <v>0</v>
      </c>
      <c r="W97" s="128" t="n">
        <f aca="false">$D97*E97</f>
        <v>0</v>
      </c>
      <c r="X97" s="128" t="n">
        <f aca="false">$D97*F97</f>
        <v>30.2687354320526</v>
      </c>
      <c r="Y97" s="128" t="n">
        <f aca="false">$D97*G97</f>
        <v>0</v>
      </c>
      <c r="Z97" s="128" t="n">
        <f aca="false">$D97*H97</f>
        <v>0</v>
      </c>
      <c r="AA97" s="128" t="n">
        <f aca="false">$D97*I97</f>
        <v>0</v>
      </c>
      <c r="AB97" s="128" t="n">
        <f aca="false">$D97*J97</f>
        <v>0</v>
      </c>
      <c r="AC97" s="128" t="n">
        <f aca="false">$D97*K97</f>
        <v>0</v>
      </c>
      <c r="AD97" s="128" t="n">
        <f aca="false">$D97*L97</f>
        <v>0</v>
      </c>
      <c r="AE97" s="128" t="n">
        <f aca="false">$D97*M97</f>
        <v>0</v>
      </c>
      <c r="AF97" s="128" t="n">
        <f aca="false">$D97*N97</f>
        <v>0</v>
      </c>
      <c r="AG97" s="128" t="n">
        <f aca="false">$D97*O97</f>
        <v>32.0726729578018</v>
      </c>
      <c r="AH97" s="128" t="n">
        <f aca="false">$D97*P97</f>
        <v>32.3238879613876</v>
      </c>
      <c r="AI97" s="128" t="n">
        <f aca="false">$D97*Q97</f>
        <v>30.912807941246</v>
      </c>
      <c r="AJ97" s="128" t="n">
        <f aca="false">$D97*R97</f>
        <v>0</v>
      </c>
      <c r="AK97" s="128" t="n">
        <f aca="false">$D97*S97</f>
        <v>0</v>
      </c>
      <c r="AL97" s="128" t="n">
        <f aca="false">$D97*T97</f>
        <v>0</v>
      </c>
      <c r="AN97" s="129" t="n">
        <f aca="false">SUM(W97:AL97)/4</f>
        <v>31.394526073122</v>
      </c>
      <c r="AO97" s="130" t="n">
        <f aca="false">D97</f>
        <v>26.7250003814697</v>
      </c>
    </row>
    <row r="98" customFormat="false" ht="16.5" hidden="false" customHeight="false" outlineLevel="0" collapsed="false">
      <c r="B98" s="116" t="n">
        <f aca="false">MONTH(C98)</f>
        <v>11</v>
      </c>
      <c r="C98" s="125" t="n">
        <f aca="false">PJM_01212000!A82</f>
        <v>37926</v>
      </c>
      <c r="D98" s="126" t="n">
        <f aca="false">PJM_01212000!C82</f>
        <v>26.3974990844727</v>
      </c>
      <c r="E98" s="127" t="n">
        <f aca="false">VLOOKUP($B98,$C$6:$Z$17,E$22+1)</f>
        <v>0</v>
      </c>
      <c r="F98" s="127" t="n">
        <f aca="false">VLOOKUP($B98,$C$6:$Z$17,F$22+1)</f>
        <v>1.1426</v>
      </c>
      <c r="G98" s="127" t="n">
        <f aca="false">VLOOKUP($B98,$C$6:$Z$17,G$22+1)</f>
        <v>0</v>
      </c>
      <c r="H98" s="127" t="n">
        <f aca="false">VLOOKUP($B98,$C$6:$Z$17,H$22+1)</f>
        <v>0</v>
      </c>
      <c r="I98" s="127" t="n">
        <f aca="false">VLOOKUP($B98,$C$6:$Z$17,I$22+1)</f>
        <v>0</v>
      </c>
      <c r="J98" s="127" t="n">
        <f aca="false">VLOOKUP($B98,$C$6:$Z$17,J$22+1)</f>
        <v>0</v>
      </c>
      <c r="K98" s="127" t="n">
        <f aca="false">VLOOKUP($B98,$C$6:$Z$17,K$22+1)</f>
        <v>0</v>
      </c>
      <c r="L98" s="127" t="n">
        <f aca="false">VLOOKUP($B98,$C$6:$Z$17,L$22+1)</f>
        <v>0</v>
      </c>
      <c r="M98" s="127" t="n">
        <f aca="false">VLOOKUP($B98,$C$6:$Z$17,M$22+1)</f>
        <v>0</v>
      </c>
      <c r="N98" s="127" t="n">
        <f aca="false">VLOOKUP($B98,$C$6:$Z$17,N$22+1)</f>
        <v>0</v>
      </c>
      <c r="O98" s="127" t="n">
        <f aca="false">VLOOKUP($B98,$C$6:$Z$17,O$22+1)</f>
        <v>1.2171</v>
      </c>
      <c r="P98" s="127" t="n">
        <f aca="false">VLOOKUP($B98,$C$6:$Z$17,P$22+1)</f>
        <v>1.2269</v>
      </c>
      <c r="Q98" s="127" t="n">
        <f aca="false">VLOOKUP($B98,$C$6:$Z$17,Q$22+1)</f>
        <v>1.1767</v>
      </c>
      <c r="R98" s="127" t="n">
        <f aca="false">VLOOKUP($B98,$C$6:$Z$17,R$22+1)</f>
        <v>0</v>
      </c>
      <c r="S98" s="127" t="n">
        <f aca="false">VLOOKUP($B98,$C$6:$Z$17,S$22+1)</f>
        <v>0</v>
      </c>
      <c r="T98" s="127" t="n">
        <f aca="false">VLOOKUP($B98,$C$6:$Z$17,T$22+1)</f>
        <v>0</v>
      </c>
      <c r="U98" s="127" t="n">
        <f aca="false">VLOOKUP($B98,$C$6:$AB$17,T$22+3)-SUM(E98:T98)</f>
        <v>0</v>
      </c>
      <c r="W98" s="128" t="n">
        <f aca="false">$D98*E98</f>
        <v>0</v>
      </c>
      <c r="X98" s="128" t="n">
        <f aca="false">$D98*F98</f>
        <v>30.1617824539185</v>
      </c>
      <c r="Y98" s="128" t="n">
        <f aca="false">$D98*G98</f>
        <v>0</v>
      </c>
      <c r="Z98" s="128" t="n">
        <f aca="false">$D98*H98</f>
        <v>0</v>
      </c>
      <c r="AA98" s="128" t="n">
        <f aca="false">$D98*I98</f>
        <v>0</v>
      </c>
      <c r="AB98" s="128" t="n">
        <f aca="false">$D98*J98</f>
        <v>0</v>
      </c>
      <c r="AC98" s="128" t="n">
        <f aca="false">$D98*K98</f>
        <v>0</v>
      </c>
      <c r="AD98" s="128" t="n">
        <f aca="false">$D98*L98</f>
        <v>0</v>
      </c>
      <c r="AE98" s="128" t="n">
        <f aca="false">$D98*M98</f>
        <v>0</v>
      </c>
      <c r="AF98" s="128" t="n">
        <f aca="false">$D98*N98</f>
        <v>0</v>
      </c>
      <c r="AG98" s="128" t="n">
        <f aca="false">$D98*O98</f>
        <v>32.1283961357117</v>
      </c>
      <c r="AH98" s="128" t="n">
        <f aca="false">$D98*P98</f>
        <v>32.3870916267395</v>
      </c>
      <c r="AI98" s="128" t="n">
        <f aca="false">$D98*Q98</f>
        <v>31.061937172699</v>
      </c>
      <c r="AJ98" s="128" t="n">
        <f aca="false">$D98*R98</f>
        <v>0</v>
      </c>
      <c r="AK98" s="128" t="n">
        <f aca="false">$D98*S98</f>
        <v>0</v>
      </c>
      <c r="AL98" s="128" t="n">
        <f aca="false">$D98*T98</f>
        <v>0</v>
      </c>
      <c r="AN98" s="129" t="n">
        <f aca="false">SUM(W98:AL98)/4</f>
        <v>31.4348018472672</v>
      </c>
      <c r="AO98" s="130" t="n">
        <f aca="false">D98</f>
        <v>26.3974990844727</v>
      </c>
    </row>
    <row r="99" customFormat="false" ht="16.5" hidden="false" customHeight="false" outlineLevel="0" collapsed="false">
      <c r="B99" s="116" t="n">
        <f aca="false">MONTH(C99)</f>
        <v>12</v>
      </c>
      <c r="C99" s="125" t="n">
        <f aca="false">PJM_01212000!A83</f>
        <v>37956</v>
      </c>
      <c r="D99" s="126" t="n">
        <f aca="false">PJM_01212000!C83</f>
        <v>28.1499996185303</v>
      </c>
      <c r="E99" s="127" t="n">
        <f aca="false">VLOOKUP($B99,$C$6:$Z$17,E$22+1)</f>
        <v>0</v>
      </c>
      <c r="F99" s="127" t="n">
        <f aca="false">VLOOKUP($B99,$C$6:$Z$17,F$22+1)</f>
        <v>1.1638</v>
      </c>
      <c r="G99" s="127" t="n">
        <f aca="false">VLOOKUP($B99,$C$6:$Z$17,G$22+1)</f>
        <v>0</v>
      </c>
      <c r="H99" s="127" t="n">
        <f aca="false">VLOOKUP($B99,$C$6:$Z$17,H$22+1)</f>
        <v>0</v>
      </c>
      <c r="I99" s="127" t="n">
        <f aca="false">VLOOKUP($B99,$C$6:$Z$17,I$22+1)</f>
        <v>0</v>
      </c>
      <c r="J99" s="127" t="n">
        <f aca="false">VLOOKUP($B99,$C$6:$Z$17,J$22+1)</f>
        <v>0</v>
      </c>
      <c r="K99" s="127" t="n">
        <f aca="false">VLOOKUP($B99,$C$6:$Z$17,K$22+1)</f>
        <v>0</v>
      </c>
      <c r="L99" s="127" t="n">
        <f aca="false">VLOOKUP($B99,$C$6:$Z$17,L$22+1)</f>
        <v>0</v>
      </c>
      <c r="M99" s="127" t="n">
        <f aca="false">VLOOKUP($B99,$C$6:$Z$17,M$22+1)</f>
        <v>0</v>
      </c>
      <c r="N99" s="127" t="n">
        <f aca="false">VLOOKUP($B99,$C$6:$Z$17,N$22+1)</f>
        <v>0</v>
      </c>
      <c r="O99" s="127" t="n">
        <f aca="false">VLOOKUP($B99,$C$6:$Z$17,O$22+1)</f>
        <v>1.23965925286319</v>
      </c>
      <c r="P99" s="127" t="n">
        <f aca="false">VLOOKUP($B99,$C$6:$Z$17,P$22+1)</f>
        <v>1.2314</v>
      </c>
      <c r="Q99" s="127" t="n">
        <f aca="false">VLOOKUP($B99,$C$6:$Z$17,Q$22+1)</f>
        <v>1.18899630831453</v>
      </c>
      <c r="R99" s="127" t="n">
        <f aca="false">VLOOKUP($B99,$C$6:$Z$17,R$22+1)</f>
        <v>0</v>
      </c>
      <c r="S99" s="127" t="n">
        <f aca="false">VLOOKUP($B99,$C$6:$Z$17,S$22+1)</f>
        <v>0</v>
      </c>
      <c r="T99" s="127" t="n">
        <f aca="false">VLOOKUP($B99,$C$6:$Z$17,T$22+1)</f>
        <v>0</v>
      </c>
      <c r="U99" s="127" t="n">
        <f aca="false">VLOOKUP($B99,$C$6:$AB$17,T$22+3)-SUM(E99:T99)</f>
        <v>0</v>
      </c>
      <c r="W99" s="128" t="n">
        <f aca="false">$D99*E99</f>
        <v>0</v>
      </c>
      <c r="X99" s="128" t="n">
        <f aca="false">$D99*F99</f>
        <v>32.7609695560455</v>
      </c>
      <c r="Y99" s="128" t="n">
        <f aca="false">$D99*G99</f>
        <v>0</v>
      </c>
      <c r="Z99" s="128" t="n">
        <f aca="false">$D99*H99</f>
        <v>0</v>
      </c>
      <c r="AA99" s="128" t="n">
        <f aca="false">$D99*I99</f>
        <v>0</v>
      </c>
      <c r="AB99" s="128" t="n">
        <f aca="false">$D99*J99</f>
        <v>0</v>
      </c>
      <c r="AC99" s="128" t="n">
        <f aca="false">$D99*K99</f>
        <v>0</v>
      </c>
      <c r="AD99" s="128" t="n">
        <f aca="false">$D99*L99</f>
        <v>0</v>
      </c>
      <c r="AE99" s="128" t="n">
        <f aca="false">$D99*M99</f>
        <v>0</v>
      </c>
      <c r="AF99" s="128" t="n">
        <f aca="false">$D99*N99</f>
        <v>0</v>
      </c>
      <c r="AG99" s="128" t="n">
        <f aca="false">$D99*O99</f>
        <v>34.8964074952063</v>
      </c>
      <c r="AH99" s="128" t="n">
        <f aca="false">$D99*P99</f>
        <v>34.6639095302582</v>
      </c>
      <c r="AI99" s="128" t="n">
        <f aca="false">$D99*Q99</f>
        <v>33.4702456254879</v>
      </c>
      <c r="AJ99" s="128" t="n">
        <f aca="false">$D99*R99</f>
        <v>0</v>
      </c>
      <c r="AK99" s="128" t="n">
        <f aca="false">$D99*S99</f>
        <v>0</v>
      </c>
      <c r="AL99" s="128" t="n">
        <f aca="false">$D99*T99</f>
        <v>0</v>
      </c>
      <c r="AN99" s="129" t="n">
        <f aca="false">SUM(W99:AL99)/4</f>
        <v>33.9478830517495</v>
      </c>
      <c r="AO99" s="130" t="n">
        <f aca="false">D99</f>
        <v>28.1499996185303</v>
      </c>
    </row>
    <row r="100" customFormat="false" ht="16.5" hidden="false" customHeight="false" outlineLevel="0" collapsed="false">
      <c r="B100" s="116" t="n">
        <f aca="false">MONTH(C100)</f>
        <v>1</v>
      </c>
      <c r="C100" s="125" t="n">
        <f aca="false">PJM_01212000!A84</f>
        <v>37987</v>
      </c>
      <c r="D100" s="126" t="n">
        <f aca="false">PJM_01212000!C84</f>
        <v>36.8249984741211</v>
      </c>
      <c r="E100" s="127" t="n">
        <f aca="false">VLOOKUP($B100,$C$6:$Z$17,E$22+1)</f>
        <v>0</v>
      </c>
      <c r="F100" s="127" t="n">
        <f aca="false">VLOOKUP($B100,$C$6:$Z$17,F$22+1)</f>
        <v>1.19981175661928</v>
      </c>
      <c r="G100" s="127" t="n">
        <f aca="false">VLOOKUP($B100,$C$6:$Z$17,G$22+1)</f>
        <v>1.19616001156207</v>
      </c>
      <c r="H100" s="127" t="n">
        <f aca="false">VLOOKUP($B100,$C$6:$Z$17,H$22+1)</f>
        <v>0</v>
      </c>
      <c r="I100" s="127" t="n">
        <f aca="false">VLOOKUP($B100,$C$6:$Z$17,I$22+1)</f>
        <v>0</v>
      </c>
      <c r="J100" s="127" t="n">
        <f aca="false">VLOOKUP($B100,$C$6:$Z$17,J$22+1)</f>
        <v>0</v>
      </c>
      <c r="K100" s="127" t="n">
        <f aca="false">VLOOKUP($B100,$C$6:$Z$17,K$22+1)</f>
        <v>0</v>
      </c>
      <c r="L100" s="127" t="n">
        <f aca="false">VLOOKUP($B100,$C$6:$Z$17,L$22+1)</f>
        <v>0</v>
      </c>
      <c r="M100" s="127" t="n">
        <f aca="false">VLOOKUP($B100,$C$6:$Z$17,M$22+1)</f>
        <v>0</v>
      </c>
      <c r="N100" s="127" t="n">
        <f aca="false">VLOOKUP($B100,$C$6:$Z$17,N$22+1)</f>
        <v>0</v>
      </c>
      <c r="O100" s="127" t="n">
        <f aca="false">VLOOKUP($B100,$C$6:$Z$17,O$22+1)</f>
        <v>0</v>
      </c>
      <c r="P100" s="127" t="n">
        <f aca="false">VLOOKUP($B100,$C$6:$Z$17,P$22+1)</f>
        <v>1.28189922894351</v>
      </c>
      <c r="Q100" s="127" t="n">
        <f aca="false">VLOOKUP($B100,$C$6:$Z$17,Q$22+1)</f>
        <v>1.227</v>
      </c>
      <c r="R100" s="127" t="n">
        <f aca="false">VLOOKUP($B100,$C$6:$Z$17,R$22+1)</f>
        <v>0</v>
      </c>
      <c r="S100" s="127" t="n">
        <f aca="false">VLOOKUP($B100,$C$6:$Z$17,S$22+1)</f>
        <v>0</v>
      </c>
      <c r="T100" s="127" t="n">
        <f aca="false">VLOOKUP($B100,$C$6:$Z$17,T$22+1)</f>
        <v>0</v>
      </c>
      <c r="U100" s="127" t="n">
        <f aca="false">VLOOKUP($B100,$C$6:$AB$17,T$22+3)-SUM(E100:T100)</f>
        <v>0</v>
      </c>
      <c r="W100" s="128" t="n">
        <f aca="false">$D100*E100</f>
        <v>0</v>
      </c>
      <c r="X100" s="128" t="n">
        <f aca="false">$D100*F100</f>
        <v>44.1830661067376</v>
      </c>
      <c r="Y100" s="128" t="n">
        <f aca="false">$D100*G100</f>
        <v>44.048590600578</v>
      </c>
      <c r="Z100" s="128" t="n">
        <f aca="false">$D100*H100</f>
        <v>0</v>
      </c>
      <c r="AA100" s="128" t="n">
        <f aca="false">$D100*I100</f>
        <v>0</v>
      </c>
      <c r="AB100" s="128" t="n">
        <f aca="false">$D100*J100</f>
        <v>0</v>
      </c>
      <c r="AC100" s="128" t="n">
        <f aca="false">$D100*K100</f>
        <v>0</v>
      </c>
      <c r="AD100" s="128" t="n">
        <f aca="false">$D100*L100</f>
        <v>0</v>
      </c>
      <c r="AE100" s="128" t="n">
        <f aca="false">$D100*M100</f>
        <v>0</v>
      </c>
      <c r="AF100" s="128" t="n">
        <f aca="false">$D100*N100</f>
        <v>0</v>
      </c>
      <c r="AG100" s="128" t="n">
        <f aca="false">$D100*O100</f>
        <v>0</v>
      </c>
      <c r="AH100" s="128" t="n">
        <f aca="false">$D100*P100</f>
        <v>47.2059371498218</v>
      </c>
      <c r="AI100" s="128" t="n">
        <f aca="false">$D100*Q100</f>
        <v>45.1842731277466</v>
      </c>
      <c r="AJ100" s="128" t="n">
        <f aca="false">$D100*R100</f>
        <v>0</v>
      </c>
      <c r="AK100" s="128" t="n">
        <f aca="false">$D100*S100</f>
        <v>0</v>
      </c>
      <c r="AL100" s="128" t="n">
        <f aca="false">$D100*T100</f>
        <v>0</v>
      </c>
      <c r="AN100" s="129" t="n">
        <f aca="false">SUM(W100:AL100)/4</f>
        <v>45.155466746221</v>
      </c>
      <c r="AO100" s="130" t="n">
        <f aca="false">D100</f>
        <v>36.8249984741211</v>
      </c>
    </row>
    <row r="101" customFormat="false" ht="16.5" hidden="false" customHeight="false" outlineLevel="0" collapsed="false">
      <c r="B101" s="116" t="n">
        <f aca="false">MONTH(C101)</f>
        <v>2</v>
      </c>
      <c r="C101" s="125" t="n">
        <f aca="false">PJM_01212000!A85</f>
        <v>38018</v>
      </c>
      <c r="D101" s="126" t="n">
        <f aca="false">PJM_01212000!C85</f>
        <v>36.8249984741211</v>
      </c>
      <c r="E101" s="127" t="n">
        <f aca="false">VLOOKUP($B101,$C$6:$Z$17,E$22+1)</f>
        <v>0</v>
      </c>
      <c r="F101" s="127" t="n">
        <f aca="false">VLOOKUP($B101,$C$6:$Z$17,F$22+1)</f>
        <v>1.19981175661928</v>
      </c>
      <c r="G101" s="127" t="n">
        <f aca="false">VLOOKUP($B101,$C$6:$Z$17,G$22+1)</f>
        <v>1.19616001156207</v>
      </c>
      <c r="H101" s="127" t="n">
        <f aca="false">VLOOKUP($B101,$C$6:$Z$17,H$22+1)</f>
        <v>0</v>
      </c>
      <c r="I101" s="127" t="n">
        <f aca="false">VLOOKUP($B101,$C$6:$Z$17,I$22+1)</f>
        <v>0</v>
      </c>
      <c r="J101" s="127" t="n">
        <f aca="false">VLOOKUP($B101,$C$6:$Z$17,J$22+1)</f>
        <v>0</v>
      </c>
      <c r="K101" s="127" t="n">
        <f aca="false">VLOOKUP($B101,$C$6:$Z$17,K$22+1)</f>
        <v>0</v>
      </c>
      <c r="L101" s="127" t="n">
        <f aca="false">VLOOKUP($B101,$C$6:$Z$17,L$22+1)</f>
        <v>0</v>
      </c>
      <c r="M101" s="127" t="n">
        <f aca="false">VLOOKUP($B101,$C$6:$Z$17,M$22+1)</f>
        <v>0</v>
      </c>
      <c r="N101" s="127" t="n">
        <f aca="false">VLOOKUP($B101,$C$6:$Z$17,N$22+1)</f>
        <v>0</v>
      </c>
      <c r="O101" s="127" t="n">
        <f aca="false">VLOOKUP($B101,$C$6:$Z$17,O$22+1)</f>
        <v>0</v>
      </c>
      <c r="P101" s="127" t="n">
        <f aca="false">VLOOKUP($B101,$C$6:$Z$17,P$22+1)</f>
        <v>1.28189922894351</v>
      </c>
      <c r="Q101" s="127" t="n">
        <f aca="false">VLOOKUP($B101,$C$6:$Z$17,Q$22+1)</f>
        <v>1.227</v>
      </c>
      <c r="R101" s="127" t="n">
        <f aca="false">VLOOKUP($B101,$C$6:$Z$17,R$22+1)</f>
        <v>0</v>
      </c>
      <c r="S101" s="127" t="n">
        <f aca="false">VLOOKUP($B101,$C$6:$Z$17,S$22+1)</f>
        <v>0</v>
      </c>
      <c r="T101" s="127" t="n">
        <f aca="false">VLOOKUP($B101,$C$6:$Z$17,T$22+1)</f>
        <v>0</v>
      </c>
      <c r="U101" s="127" t="n">
        <f aca="false">VLOOKUP($B101,$C$6:$AB$17,T$22+3)-SUM(E101:T101)</f>
        <v>0</v>
      </c>
      <c r="W101" s="128" t="n">
        <f aca="false">$D101*E101</f>
        <v>0</v>
      </c>
      <c r="X101" s="128" t="n">
        <f aca="false">$D101*F101</f>
        <v>44.1830661067376</v>
      </c>
      <c r="Y101" s="128" t="n">
        <f aca="false">$D101*G101</f>
        <v>44.048590600578</v>
      </c>
      <c r="Z101" s="128" t="n">
        <f aca="false">$D101*H101</f>
        <v>0</v>
      </c>
      <c r="AA101" s="128" t="n">
        <f aca="false">$D101*I101</f>
        <v>0</v>
      </c>
      <c r="AB101" s="128" t="n">
        <f aca="false">$D101*J101</f>
        <v>0</v>
      </c>
      <c r="AC101" s="128" t="n">
        <f aca="false">$D101*K101</f>
        <v>0</v>
      </c>
      <c r="AD101" s="128" t="n">
        <f aca="false">$D101*L101</f>
        <v>0</v>
      </c>
      <c r="AE101" s="128" t="n">
        <f aca="false">$D101*M101</f>
        <v>0</v>
      </c>
      <c r="AF101" s="128" t="n">
        <f aca="false">$D101*N101</f>
        <v>0</v>
      </c>
      <c r="AG101" s="128" t="n">
        <f aca="false">$D101*O101</f>
        <v>0</v>
      </c>
      <c r="AH101" s="128" t="n">
        <f aca="false">$D101*P101</f>
        <v>47.2059371498218</v>
      </c>
      <c r="AI101" s="128" t="n">
        <f aca="false">$D101*Q101</f>
        <v>45.1842731277466</v>
      </c>
      <c r="AJ101" s="128" t="n">
        <f aca="false">$D101*R101</f>
        <v>0</v>
      </c>
      <c r="AK101" s="128" t="n">
        <f aca="false">$D101*S101</f>
        <v>0</v>
      </c>
      <c r="AL101" s="128" t="n">
        <f aca="false">$D101*T101</f>
        <v>0</v>
      </c>
      <c r="AN101" s="129" t="n">
        <f aca="false">SUM(W101:AL101)/4</f>
        <v>45.155466746221</v>
      </c>
      <c r="AO101" s="130" t="n">
        <f aca="false">D101</f>
        <v>36.8249984741211</v>
      </c>
    </row>
    <row r="102" customFormat="false" ht="16.5" hidden="false" customHeight="false" outlineLevel="0" collapsed="false">
      <c r="B102" s="116" t="n">
        <f aca="false">MONTH(C102)</f>
        <v>3</v>
      </c>
      <c r="C102" s="125" t="n">
        <f aca="false">PJM_01212000!A86</f>
        <v>38047</v>
      </c>
      <c r="D102" s="126" t="n">
        <f aca="false">PJM_01212000!C86</f>
        <v>26.5500007629395</v>
      </c>
      <c r="E102" s="127" t="n">
        <f aca="false">VLOOKUP($B102,$C$6:$Z$17,E$22+1)</f>
        <v>0</v>
      </c>
      <c r="F102" s="127" t="n">
        <f aca="false">VLOOKUP($B102,$C$6:$Z$17,F$22+1)</f>
        <v>1.1898</v>
      </c>
      <c r="G102" s="127" t="n">
        <f aca="false">VLOOKUP($B102,$C$6:$Z$17,G$22+1)</f>
        <v>1.1862</v>
      </c>
      <c r="H102" s="127" t="n">
        <f aca="false">VLOOKUP($B102,$C$6:$Z$17,H$22+1)</f>
        <v>0</v>
      </c>
      <c r="I102" s="127" t="n">
        <f aca="false">VLOOKUP($B102,$C$6:$Z$17,I$22+1)</f>
        <v>0</v>
      </c>
      <c r="J102" s="127" t="n">
        <f aca="false">VLOOKUP($B102,$C$6:$Z$17,J$22+1)</f>
        <v>0</v>
      </c>
      <c r="K102" s="127" t="n">
        <f aca="false">VLOOKUP($B102,$C$6:$Z$17,K$22+1)</f>
        <v>0</v>
      </c>
      <c r="L102" s="127" t="n">
        <f aca="false">VLOOKUP($B102,$C$6:$Z$17,L$22+1)</f>
        <v>0</v>
      </c>
      <c r="M102" s="127" t="n">
        <f aca="false">VLOOKUP($B102,$C$6:$Z$17,M$22+1)</f>
        <v>0</v>
      </c>
      <c r="N102" s="127" t="n">
        <f aca="false">VLOOKUP($B102,$C$6:$Z$17,N$22+1)</f>
        <v>0</v>
      </c>
      <c r="O102" s="127" t="n">
        <f aca="false">VLOOKUP($B102,$C$6:$Z$17,O$22+1)</f>
        <v>0</v>
      </c>
      <c r="P102" s="127" t="n">
        <f aca="false">VLOOKUP($B102,$C$6:$Z$17,P$22+1)</f>
        <v>1.2719</v>
      </c>
      <c r="Q102" s="127" t="n">
        <f aca="false">VLOOKUP($B102,$C$6:$Z$17,Q$22+1)</f>
        <v>1.217</v>
      </c>
      <c r="R102" s="127" t="n">
        <f aca="false">VLOOKUP($B102,$C$6:$Z$17,R$22+1)</f>
        <v>0</v>
      </c>
      <c r="S102" s="127" t="n">
        <f aca="false">VLOOKUP($B102,$C$6:$Z$17,S$22+1)</f>
        <v>0</v>
      </c>
      <c r="T102" s="127" t="n">
        <f aca="false">VLOOKUP($B102,$C$6:$Z$17,T$22+1)</f>
        <v>0</v>
      </c>
      <c r="U102" s="127" t="n">
        <f aca="false">VLOOKUP($B102,$C$6:$AB$17,T$22+3)-SUM(E102:T102)</f>
        <v>0</v>
      </c>
      <c r="W102" s="128" t="n">
        <f aca="false">$D102*E102</f>
        <v>0</v>
      </c>
      <c r="X102" s="128" t="n">
        <f aca="false">$D102*F102</f>
        <v>31.5891909077454</v>
      </c>
      <c r="Y102" s="128" t="n">
        <f aca="false">$D102*G102</f>
        <v>31.4936109049988</v>
      </c>
      <c r="Z102" s="128" t="n">
        <f aca="false">$D102*H102</f>
        <v>0</v>
      </c>
      <c r="AA102" s="128" t="n">
        <f aca="false">$D102*I102</f>
        <v>0</v>
      </c>
      <c r="AB102" s="128" t="n">
        <f aca="false">$D102*J102</f>
        <v>0</v>
      </c>
      <c r="AC102" s="128" t="n">
        <f aca="false">$D102*K102</f>
        <v>0</v>
      </c>
      <c r="AD102" s="128" t="n">
        <f aca="false">$D102*L102</f>
        <v>0</v>
      </c>
      <c r="AE102" s="128" t="n">
        <f aca="false">$D102*M102</f>
        <v>0</v>
      </c>
      <c r="AF102" s="128" t="n">
        <f aca="false">$D102*N102</f>
        <v>0</v>
      </c>
      <c r="AG102" s="128" t="n">
        <f aca="false">$D102*O102</f>
        <v>0</v>
      </c>
      <c r="AH102" s="128" t="n">
        <f aca="false">$D102*P102</f>
        <v>33.7689459703827</v>
      </c>
      <c r="AI102" s="128" t="n">
        <f aca="false">$D102*Q102</f>
        <v>32.3113509284973</v>
      </c>
      <c r="AJ102" s="128" t="n">
        <f aca="false">$D102*R102</f>
        <v>0</v>
      </c>
      <c r="AK102" s="128" t="n">
        <f aca="false">$D102*S102</f>
        <v>0</v>
      </c>
      <c r="AL102" s="128" t="n">
        <f aca="false">$D102*T102</f>
        <v>0</v>
      </c>
      <c r="AN102" s="129" t="n">
        <f aca="false">SUM(W102:AL102)/4</f>
        <v>32.290774677906</v>
      </c>
      <c r="AO102" s="130" t="n">
        <f aca="false">D102</f>
        <v>26.5500007629395</v>
      </c>
    </row>
    <row r="103" customFormat="false" ht="16.5" hidden="false" customHeight="false" outlineLevel="0" collapsed="false">
      <c r="B103" s="116" t="n">
        <f aca="false">MONTH(C103)</f>
        <v>4</v>
      </c>
      <c r="C103" s="125" t="n">
        <f aca="false">PJM_01212000!A87</f>
        <v>38078</v>
      </c>
      <c r="D103" s="126" t="n">
        <f aca="false">PJM_01212000!C87</f>
        <v>26.3250007629395</v>
      </c>
      <c r="E103" s="127" t="n">
        <f aca="false">VLOOKUP($B103,$C$6:$Z$17,E$22+1)</f>
        <v>1.1232726508202</v>
      </c>
      <c r="F103" s="127" t="n">
        <f aca="false">VLOOKUP($B103,$C$6:$Z$17,F$22+1)</f>
        <v>1.14131544612562</v>
      </c>
      <c r="G103" s="127" t="n">
        <f aca="false">VLOOKUP($B103,$C$6:$Z$17,G$22+1)</f>
        <v>0</v>
      </c>
      <c r="H103" s="127" t="n">
        <f aca="false">VLOOKUP($B103,$C$6:$Z$17,H$22+1)</f>
        <v>0</v>
      </c>
      <c r="I103" s="127" t="n">
        <f aca="false">VLOOKUP($B103,$C$6:$Z$17,I$22+1)</f>
        <v>1.11852454679246</v>
      </c>
      <c r="J103" s="127" t="n">
        <f aca="false">VLOOKUP($B103,$C$6:$Z$17,J$22+1)</f>
        <v>0</v>
      </c>
      <c r="K103" s="127" t="n">
        <f aca="false">VLOOKUP($B103,$C$6:$Z$17,K$22+1)</f>
        <v>0</v>
      </c>
      <c r="L103" s="127" t="n">
        <f aca="false">VLOOKUP($B103,$C$6:$Z$17,L$22+1)</f>
        <v>0</v>
      </c>
      <c r="M103" s="127" t="n">
        <f aca="false">VLOOKUP($B103,$C$6:$Z$17,M$22+1)</f>
        <v>0</v>
      </c>
      <c r="N103" s="127" t="n">
        <f aca="false">VLOOKUP($B103,$C$6:$Z$17,N$22+1)</f>
        <v>0</v>
      </c>
      <c r="O103" s="127" t="n">
        <f aca="false">VLOOKUP($B103,$C$6:$Z$17,O$22+1)</f>
        <v>0</v>
      </c>
      <c r="P103" s="127" t="n">
        <f aca="false">VLOOKUP($B103,$C$6:$Z$17,P$22+1)</f>
        <v>0</v>
      </c>
      <c r="Q103" s="127" t="n">
        <f aca="false">VLOOKUP($B103,$C$6:$Z$17,Q$22+1)</f>
        <v>0</v>
      </c>
      <c r="R103" s="127" t="n">
        <f aca="false">VLOOKUP($B103,$C$6:$Z$17,R$22+1)</f>
        <v>1.15433651784915</v>
      </c>
      <c r="S103" s="127" t="n">
        <f aca="false">VLOOKUP($B103,$C$6:$Z$17,S$22+1)</f>
        <v>0</v>
      </c>
      <c r="T103" s="127" t="n">
        <f aca="false">VLOOKUP($B103,$C$6:$Z$17,T$22+1)</f>
        <v>0</v>
      </c>
      <c r="U103" s="127" t="n">
        <f aca="false">VLOOKUP($B103,$C$6:$AB$17,T$22+3)-SUM(E103:T103)</f>
        <v>0</v>
      </c>
      <c r="W103" s="128" t="n">
        <f aca="false">$D103*E103</f>
        <v>29.5701533898309</v>
      </c>
      <c r="X103" s="128" t="n">
        <f aca="false">$D103*F103</f>
        <v>30.0451299900115</v>
      </c>
      <c r="Y103" s="128" t="n">
        <f aca="false">$D103*G103</f>
        <v>0</v>
      </c>
      <c r="Z103" s="128" t="n">
        <f aca="false">$D103*H103</f>
        <v>0</v>
      </c>
      <c r="AA103" s="128" t="n">
        <f aca="false">$D103*I103</f>
        <v>29.4451595476781</v>
      </c>
      <c r="AB103" s="128" t="n">
        <f aca="false">$D103*J103</f>
        <v>0</v>
      </c>
      <c r="AC103" s="128" t="n">
        <f aca="false">$D103*K103</f>
        <v>0</v>
      </c>
      <c r="AD103" s="128" t="n">
        <f aca="false">$D103*L103</f>
        <v>0</v>
      </c>
      <c r="AE103" s="128" t="n">
        <f aca="false">$D103*M103</f>
        <v>0</v>
      </c>
      <c r="AF103" s="128" t="n">
        <f aca="false">$D103*N103</f>
        <v>0</v>
      </c>
      <c r="AG103" s="128" t="n">
        <f aca="false">$D103*O103</f>
        <v>0</v>
      </c>
      <c r="AH103" s="128" t="n">
        <f aca="false">$D103*P103</f>
        <v>0</v>
      </c>
      <c r="AI103" s="128" t="n">
        <f aca="false">$D103*Q103</f>
        <v>0</v>
      </c>
      <c r="AJ103" s="128" t="n">
        <f aca="false">$D103*R103</f>
        <v>30.3879097130677</v>
      </c>
      <c r="AK103" s="128" t="n">
        <f aca="false">$D103*S103</f>
        <v>0</v>
      </c>
      <c r="AL103" s="128" t="n">
        <f aca="false">$D103*T103</f>
        <v>0</v>
      </c>
      <c r="AN103" s="129" t="n">
        <f aca="false">SUM(W103:AL103)/4</f>
        <v>29.8620881601471</v>
      </c>
      <c r="AO103" s="130" t="n">
        <f aca="false">D103</f>
        <v>26.3250007629395</v>
      </c>
    </row>
    <row r="104" customFormat="false" ht="16.5" hidden="false" customHeight="false" outlineLevel="0" collapsed="false">
      <c r="B104" s="116" t="n">
        <f aca="false">MONTH(C104)</f>
        <v>5</v>
      </c>
      <c r="C104" s="125" t="n">
        <f aca="false">PJM_01212000!A88</f>
        <v>38108</v>
      </c>
      <c r="D104" s="126" t="n">
        <f aca="false">PJM_01212000!C88</f>
        <v>31.325</v>
      </c>
      <c r="E104" s="127" t="n">
        <f aca="false">VLOOKUP($B104,$C$6:$Z$17,E$22+1)</f>
        <v>0</v>
      </c>
      <c r="F104" s="127" t="n">
        <f aca="false">VLOOKUP($B104,$C$6:$Z$17,F$22+1)</f>
        <v>0</v>
      </c>
      <c r="G104" s="127" t="n">
        <f aca="false">VLOOKUP($B104,$C$6:$Z$17,G$22+1)</f>
        <v>1.06102662180267</v>
      </c>
      <c r="H104" s="127" t="n">
        <f aca="false">VLOOKUP($B104,$C$6:$Z$17,H$22+1)</f>
        <v>1.12549986193072</v>
      </c>
      <c r="I104" s="127" t="n">
        <f aca="false">VLOOKUP($B104,$C$6:$Z$17,I$22+1)</f>
        <v>1.11699070333514</v>
      </c>
      <c r="J104" s="127" t="n">
        <f aca="false">VLOOKUP($B104,$C$6:$Z$17,J$22+1)</f>
        <v>0</v>
      </c>
      <c r="K104" s="127" t="n">
        <f aca="false">VLOOKUP($B104,$C$6:$Z$17,K$22+1)</f>
        <v>0</v>
      </c>
      <c r="L104" s="127" t="n">
        <f aca="false">VLOOKUP($B104,$C$6:$Z$17,L$22+1)</f>
        <v>0</v>
      </c>
      <c r="M104" s="127" t="n">
        <f aca="false">VLOOKUP($B104,$C$6:$Z$17,M$22+1)</f>
        <v>0</v>
      </c>
      <c r="N104" s="127" t="n">
        <f aca="false">VLOOKUP($B104,$C$6:$Z$17,N$22+1)</f>
        <v>0</v>
      </c>
      <c r="O104" s="127" t="n">
        <f aca="false">VLOOKUP($B104,$C$6:$Z$17,O$22+1)</f>
        <v>0</v>
      </c>
      <c r="P104" s="127" t="n">
        <f aca="false">VLOOKUP($B104,$C$6:$Z$17,P$22+1)</f>
        <v>0</v>
      </c>
      <c r="Q104" s="127" t="n">
        <f aca="false">VLOOKUP($B104,$C$6:$Z$17,Q$22+1)</f>
        <v>0</v>
      </c>
      <c r="R104" s="127" t="n">
        <f aca="false">VLOOKUP($B104,$C$6:$Z$17,R$22+1)</f>
        <v>1.08769956124651</v>
      </c>
      <c r="S104" s="127" t="n">
        <f aca="false">VLOOKUP($B104,$C$6:$Z$17,S$22+1)</f>
        <v>0</v>
      </c>
      <c r="T104" s="127" t="n">
        <f aca="false">VLOOKUP($B104,$C$6:$Z$17,T$22+1)</f>
        <v>0</v>
      </c>
      <c r="U104" s="127" t="n">
        <f aca="false">VLOOKUP($B104,$C$6:$AB$17,T$22+3)-SUM(E104:T104)</f>
        <v>0</v>
      </c>
      <c r="W104" s="128" t="n">
        <f aca="false">$D104*E104</f>
        <v>0</v>
      </c>
      <c r="X104" s="128" t="n">
        <f aca="false">$D104*F104</f>
        <v>0</v>
      </c>
      <c r="Y104" s="128" t="n">
        <f aca="false">$D104*G104</f>
        <v>33.2366589279687</v>
      </c>
      <c r="Z104" s="128" t="n">
        <f aca="false">$D104*H104</f>
        <v>35.2562831749798</v>
      </c>
      <c r="AA104" s="128" t="n">
        <f aca="false">$D104*I104</f>
        <v>34.9897337819733</v>
      </c>
      <c r="AB104" s="128" t="n">
        <f aca="false">$D104*J104</f>
        <v>0</v>
      </c>
      <c r="AC104" s="128" t="n">
        <f aca="false">$D104*K104</f>
        <v>0</v>
      </c>
      <c r="AD104" s="128" t="n">
        <f aca="false">$D104*L104</f>
        <v>0</v>
      </c>
      <c r="AE104" s="128" t="n">
        <f aca="false">$D104*M104</f>
        <v>0</v>
      </c>
      <c r="AF104" s="128" t="n">
        <f aca="false">$D104*N104</f>
        <v>0</v>
      </c>
      <c r="AG104" s="128" t="n">
        <f aca="false">$D104*O104</f>
        <v>0</v>
      </c>
      <c r="AH104" s="128" t="n">
        <f aca="false">$D104*P104</f>
        <v>0</v>
      </c>
      <c r="AI104" s="128" t="n">
        <f aca="false">$D104*Q104</f>
        <v>0</v>
      </c>
      <c r="AJ104" s="128" t="n">
        <f aca="false">$D104*R104</f>
        <v>34.0721887560469</v>
      </c>
      <c r="AK104" s="128" t="n">
        <f aca="false">$D104*S104</f>
        <v>0</v>
      </c>
      <c r="AL104" s="128" t="n">
        <f aca="false">$D104*T104</f>
        <v>0</v>
      </c>
      <c r="AN104" s="129" t="n">
        <f aca="false">SUM(W104:AL104)/4</f>
        <v>34.3887161602422</v>
      </c>
      <c r="AO104" s="130" t="n">
        <f aca="false">D104</f>
        <v>31.325</v>
      </c>
    </row>
    <row r="105" customFormat="false" ht="16.5" hidden="false" customHeight="false" outlineLevel="0" collapsed="false">
      <c r="B105" s="116" t="n">
        <f aca="false">MONTH(C105)</f>
        <v>6</v>
      </c>
      <c r="C105" s="125" t="n">
        <f aca="false">PJM_01212000!A89</f>
        <v>38139</v>
      </c>
      <c r="D105" s="126" t="n">
        <f aca="false">PJM_01212000!C89</f>
        <v>55.5999984741211</v>
      </c>
      <c r="E105" s="127" t="n">
        <f aca="false">VLOOKUP($B105,$C$6:$Z$17,E$22+1)</f>
        <v>0</v>
      </c>
      <c r="F105" s="127" t="n">
        <f aca="false">VLOOKUP($B105,$C$6:$Z$17,F$22+1)</f>
        <v>0</v>
      </c>
      <c r="G105" s="127" t="n">
        <f aca="false">VLOOKUP($B105,$C$6:$Z$17,G$22+1)</f>
        <v>0</v>
      </c>
      <c r="H105" s="127" t="n">
        <f aca="false">VLOOKUP($B105,$C$6:$Z$17,H$22+1)</f>
        <v>0</v>
      </c>
      <c r="I105" s="127" t="n">
        <f aca="false">VLOOKUP($B105,$C$6:$Z$17,I$22+1)</f>
        <v>0</v>
      </c>
      <c r="J105" s="127" t="n">
        <f aca="false">VLOOKUP($B105,$C$6:$Z$17,J$22+1)</f>
        <v>0</v>
      </c>
      <c r="K105" s="127" t="n">
        <f aca="false">VLOOKUP($B105,$C$6:$Z$17,K$22+1)</f>
        <v>1.22092018621818</v>
      </c>
      <c r="L105" s="127" t="n">
        <f aca="false">VLOOKUP($B105,$C$6:$Z$17,L$22+1)</f>
        <v>1.23031497714214</v>
      </c>
      <c r="M105" s="127" t="n">
        <f aca="false">VLOOKUP($B105,$C$6:$Z$17,M$22+1)</f>
        <v>1.23232814662584</v>
      </c>
      <c r="N105" s="127" t="n">
        <f aca="false">VLOOKUP($B105,$C$6:$Z$17,N$22+1)</f>
        <v>1.25232563016399</v>
      </c>
      <c r="O105" s="127" t="n">
        <f aca="false">VLOOKUP($B105,$C$6:$Z$17,O$22+1)</f>
        <v>0</v>
      </c>
      <c r="P105" s="127" t="n">
        <f aca="false">VLOOKUP($B105,$C$6:$Z$17,P$22+1)</f>
        <v>0</v>
      </c>
      <c r="Q105" s="127" t="n">
        <f aca="false">VLOOKUP($B105,$C$6:$Z$17,Q$22+1)</f>
        <v>0</v>
      </c>
      <c r="R105" s="127" t="n">
        <f aca="false">VLOOKUP($B105,$C$6:$Z$17,R$22+1)</f>
        <v>0</v>
      </c>
      <c r="S105" s="127" t="n">
        <f aca="false">VLOOKUP($B105,$C$6:$Z$17,S$22+1)</f>
        <v>0</v>
      </c>
      <c r="T105" s="127" t="n">
        <f aca="false">VLOOKUP($B105,$C$6:$Z$17,T$22+1)</f>
        <v>0</v>
      </c>
      <c r="U105" s="127" t="n">
        <f aca="false">VLOOKUP($B105,$C$6:$AB$17,T$22+3)-SUM(E105:T105)</f>
        <v>0</v>
      </c>
      <c r="W105" s="128" t="n">
        <f aca="false">$D105*E105</f>
        <v>0</v>
      </c>
      <c r="X105" s="128" t="n">
        <f aca="false">$D105*F105</f>
        <v>0</v>
      </c>
      <c r="Y105" s="128" t="n">
        <f aca="false">$D105*G105</f>
        <v>0</v>
      </c>
      <c r="Z105" s="128" t="n">
        <f aca="false">$D105*H105</f>
        <v>0</v>
      </c>
      <c r="AA105" s="128" t="n">
        <f aca="false">$D105*I105</f>
        <v>0</v>
      </c>
      <c r="AB105" s="128" t="n">
        <f aca="false">$D105*J105</f>
        <v>0</v>
      </c>
      <c r="AC105" s="128" t="n">
        <f aca="false">$D105*K105</f>
        <v>67.8831604907543</v>
      </c>
      <c r="AD105" s="128" t="n">
        <f aca="false">$D105*L105</f>
        <v>68.4055108517912</v>
      </c>
      <c r="AE105" s="128" t="n">
        <f aca="false">$D105*M105</f>
        <v>68.5174430720134</v>
      </c>
      <c r="AF105" s="128" t="n">
        <f aca="false">$D105*N105</f>
        <v>69.6293031262206</v>
      </c>
      <c r="AG105" s="128" t="n">
        <f aca="false">$D105*O105</f>
        <v>0</v>
      </c>
      <c r="AH105" s="128" t="n">
        <f aca="false">$D105*P105</f>
        <v>0</v>
      </c>
      <c r="AI105" s="128" t="n">
        <f aca="false">$D105*Q105</f>
        <v>0</v>
      </c>
      <c r="AJ105" s="128" t="n">
        <f aca="false">$D105*R105</f>
        <v>0</v>
      </c>
      <c r="AK105" s="128" t="n">
        <f aca="false">$D105*S105</f>
        <v>0</v>
      </c>
      <c r="AL105" s="128" t="n">
        <f aca="false">$D105*T105</f>
        <v>0</v>
      </c>
      <c r="AN105" s="129" t="n">
        <f aca="false">SUM(W105:AL105)/4</f>
        <v>68.6088543851949</v>
      </c>
      <c r="AO105" s="130" t="n">
        <f aca="false">D105</f>
        <v>55.5999984741211</v>
      </c>
    </row>
    <row r="106" customFormat="false" ht="16.5" hidden="false" customHeight="false" outlineLevel="0" collapsed="false">
      <c r="B106" s="116" t="n">
        <f aca="false">MONTH(C106)</f>
        <v>7</v>
      </c>
      <c r="C106" s="125" t="n">
        <f aca="false">PJM_01212000!A90</f>
        <v>38169</v>
      </c>
      <c r="D106" s="126" t="n">
        <f aca="false">PJM_01212000!C90</f>
        <v>94.4499969482422</v>
      </c>
      <c r="E106" s="127" t="n">
        <f aca="false">VLOOKUP($B106,$C$6:$Z$17,E$22+1)</f>
        <v>0</v>
      </c>
      <c r="F106" s="127" t="n">
        <f aca="false">VLOOKUP($B106,$C$6:$Z$17,F$22+1)</f>
        <v>0</v>
      </c>
      <c r="G106" s="127" t="n">
        <f aca="false">VLOOKUP($B106,$C$6:$Z$17,G$22+1)</f>
        <v>0</v>
      </c>
      <c r="H106" s="127" t="n">
        <f aca="false">VLOOKUP($B106,$C$6:$Z$17,H$22+1)</f>
        <v>0</v>
      </c>
      <c r="I106" s="127" t="n">
        <f aca="false">VLOOKUP($B106,$C$6:$Z$17,I$22+1)</f>
        <v>0</v>
      </c>
      <c r="J106" s="127" t="n">
        <f aca="false">VLOOKUP($B106,$C$6:$Z$17,J$22+1)</f>
        <v>0</v>
      </c>
      <c r="K106" s="127" t="n">
        <f aca="false">VLOOKUP($B106,$C$6:$Z$17,K$22+1)</f>
        <v>0</v>
      </c>
      <c r="L106" s="127" t="n">
        <f aca="false">VLOOKUP($B106,$C$6:$Z$17,L$22+1)</f>
        <v>1.2506946851613</v>
      </c>
      <c r="M106" s="127" t="n">
        <f aca="false">VLOOKUP($B106,$C$6:$Z$17,M$22+1)</f>
        <v>1.32734019400042</v>
      </c>
      <c r="N106" s="127" t="n">
        <f aca="false">VLOOKUP($B106,$C$6:$Z$17,N$22+1)</f>
        <v>1.35388881627921</v>
      </c>
      <c r="O106" s="127" t="n">
        <f aca="false">VLOOKUP($B106,$C$6:$Z$17,O$22+1)</f>
        <v>1.32033935867348</v>
      </c>
      <c r="P106" s="127" t="n">
        <f aca="false">VLOOKUP($B106,$C$6:$Z$17,P$22+1)</f>
        <v>0</v>
      </c>
      <c r="Q106" s="127" t="n">
        <f aca="false">VLOOKUP($B106,$C$6:$Z$17,Q$22+1)</f>
        <v>0</v>
      </c>
      <c r="R106" s="127" t="n">
        <f aca="false">VLOOKUP($B106,$C$6:$Z$17,R$22+1)</f>
        <v>0</v>
      </c>
      <c r="S106" s="127" t="n">
        <f aca="false">VLOOKUP($B106,$C$6:$Z$17,S$22+1)</f>
        <v>0</v>
      </c>
      <c r="T106" s="127" t="n">
        <f aca="false">VLOOKUP($B106,$C$6:$Z$17,T$22+1)</f>
        <v>0</v>
      </c>
      <c r="U106" s="127" t="n">
        <f aca="false">VLOOKUP($B106,$C$6:$AB$17,T$22+3)-SUM(E106:T106)</f>
        <v>0</v>
      </c>
      <c r="W106" s="128" t="n">
        <f aca="false">$D106*E106</f>
        <v>0</v>
      </c>
      <c r="X106" s="128" t="n">
        <f aca="false">$D106*F106</f>
        <v>0</v>
      </c>
      <c r="Y106" s="128" t="n">
        <f aca="false">$D106*G106</f>
        <v>0</v>
      </c>
      <c r="Z106" s="128" t="n">
        <f aca="false">$D106*H106</f>
        <v>0</v>
      </c>
      <c r="AA106" s="128" t="n">
        <f aca="false">$D106*I106</f>
        <v>0</v>
      </c>
      <c r="AB106" s="128" t="n">
        <f aca="false">$D106*J106</f>
        <v>0</v>
      </c>
      <c r="AC106" s="128" t="n">
        <f aca="false">$D106*K106</f>
        <v>0</v>
      </c>
      <c r="AD106" s="128" t="n">
        <f aca="false">$D106*L106</f>
        <v>118.128109196667</v>
      </c>
      <c r="AE106" s="128" t="n">
        <f aca="false">$D106*M106</f>
        <v>125.367277272619</v>
      </c>
      <c r="AF106" s="128" t="n">
        <f aca="false">$D106*N106</f>
        <v>127.874794565831</v>
      </c>
      <c r="AG106" s="128" t="n">
        <f aca="false">$D106*O106</f>
        <v>124.706048397354</v>
      </c>
      <c r="AH106" s="128" t="n">
        <f aca="false">$D106*P106</f>
        <v>0</v>
      </c>
      <c r="AI106" s="128" t="n">
        <f aca="false">$D106*Q106</f>
        <v>0</v>
      </c>
      <c r="AJ106" s="128" t="n">
        <f aca="false">$D106*R106</f>
        <v>0</v>
      </c>
      <c r="AK106" s="128" t="n">
        <f aca="false">$D106*S106</f>
        <v>0</v>
      </c>
      <c r="AL106" s="128" t="n">
        <f aca="false">$D106*T106</f>
        <v>0</v>
      </c>
      <c r="AN106" s="129" t="n">
        <f aca="false">SUM(W106:AL106)/4</f>
        <v>124.019057358118</v>
      </c>
      <c r="AO106" s="130" t="n">
        <f aca="false">D106</f>
        <v>94.4499969482422</v>
      </c>
    </row>
    <row r="107" customFormat="false" ht="16.5" hidden="false" customHeight="false" outlineLevel="0" collapsed="false">
      <c r="B107" s="116" t="n">
        <f aca="false">MONTH(C107)</f>
        <v>8</v>
      </c>
      <c r="C107" s="125" t="n">
        <f aca="false">PJM_01212000!A91</f>
        <v>38200</v>
      </c>
      <c r="D107" s="126" t="n">
        <f aca="false">PJM_01212000!C91</f>
        <v>81.4499969482422</v>
      </c>
      <c r="E107" s="127" t="n">
        <f aca="false">VLOOKUP($B107,$C$6:$Z$17,E$22+1)</f>
        <v>0</v>
      </c>
      <c r="F107" s="127" t="n">
        <f aca="false">VLOOKUP($B107,$C$6:$Z$17,F$22+1)</f>
        <v>0</v>
      </c>
      <c r="G107" s="127" t="n">
        <f aca="false">VLOOKUP($B107,$C$6:$Z$17,G$22+1)</f>
        <v>0</v>
      </c>
      <c r="H107" s="127" t="n">
        <f aca="false">VLOOKUP($B107,$C$6:$Z$17,H$22+1)</f>
        <v>0</v>
      </c>
      <c r="I107" s="127" t="n">
        <f aca="false">VLOOKUP($B107,$C$6:$Z$17,I$22+1)</f>
        <v>0</v>
      </c>
      <c r="J107" s="127" t="n">
        <f aca="false">VLOOKUP($B107,$C$6:$Z$17,J$22+1)</f>
        <v>0</v>
      </c>
      <c r="K107" s="127" t="n">
        <f aca="false">VLOOKUP($B107,$C$6:$Z$17,K$22+1)</f>
        <v>1.19072909190695</v>
      </c>
      <c r="L107" s="127" t="n">
        <f aca="false">VLOOKUP($B107,$C$6:$Z$17,L$22+1)</f>
        <v>1.26057331025457</v>
      </c>
      <c r="M107" s="127" t="n">
        <f aca="false">VLOOKUP($B107,$C$6:$Z$17,M$22+1)</f>
        <v>1.24301093426774</v>
      </c>
      <c r="N107" s="127" t="n">
        <f aca="false">VLOOKUP($B107,$C$6:$Z$17,N$22+1)</f>
        <v>1.21504622788872</v>
      </c>
      <c r="O107" s="127" t="n">
        <f aca="false">VLOOKUP($B107,$C$6:$Z$17,O$22+1)</f>
        <v>0</v>
      </c>
      <c r="P107" s="127" t="n">
        <f aca="false">VLOOKUP($B107,$C$6:$Z$17,P$22+1)</f>
        <v>0</v>
      </c>
      <c r="Q107" s="127" t="n">
        <f aca="false">VLOOKUP($B107,$C$6:$Z$17,Q$22+1)</f>
        <v>0</v>
      </c>
      <c r="R107" s="127" t="n">
        <f aca="false">VLOOKUP($B107,$C$6:$Z$17,R$22+1)</f>
        <v>0</v>
      </c>
      <c r="S107" s="127" t="n">
        <f aca="false">VLOOKUP($B107,$C$6:$Z$17,S$22+1)</f>
        <v>0</v>
      </c>
      <c r="T107" s="127" t="n">
        <f aca="false">VLOOKUP($B107,$C$6:$Z$17,T$22+1)</f>
        <v>0</v>
      </c>
      <c r="U107" s="127" t="n">
        <f aca="false">VLOOKUP($B107,$C$6:$AB$17,T$22+3)-SUM(E107:T107)</f>
        <v>0</v>
      </c>
      <c r="W107" s="128" t="n">
        <f aca="false">$D107*E107</f>
        <v>0</v>
      </c>
      <c r="X107" s="128" t="n">
        <f aca="false">$D107*F107</f>
        <v>0</v>
      </c>
      <c r="Y107" s="128" t="n">
        <f aca="false">$D107*G107</f>
        <v>0</v>
      </c>
      <c r="Z107" s="128" t="n">
        <f aca="false">$D107*H107</f>
        <v>0</v>
      </c>
      <c r="AA107" s="128" t="n">
        <f aca="false">$D107*I107</f>
        <v>0</v>
      </c>
      <c r="AB107" s="128" t="n">
        <f aca="false">$D107*J107</f>
        <v>0</v>
      </c>
      <c r="AC107" s="128" t="n">
        <f aca="false">$D107*K107</f>
        <v>96.9848809020045</v>
      </c>
      <c r="AD107" s="128" t="n">
        <f aca="false">$D107*L107</f>
        <v>102.67369227327</v>
      </c>
      <c r="AE107" s="128" t="n">
        <f aca="false">$D107*M107</f>
        <v>101.243236802739</v>
      </c>
      <c r="AF107" s="128" t="n">
        <f aca="false">$D107*N107</f>
        <v>98.965511553509</v>
      </c>
      <c r="AG107" s="128" t="n">
        <f aca="false">$D107*O107</f>
        <v>0</v>
      </c>
      <c r="AH107" s="128" t="n">
        <f aca="false">$D107*P107</f>
        <v>0</v>
      </c>
      <c r="AI107" s="128" t="n">
        <f aca="false">$D107*Q107</f>
        <v>0</v>
      </c>
      <c r="AJ107" s="128" t="n">
        <f aca="false">$D107*R107</f>
        <v>0</v>
      </c>
      <c r="AK107" s="128" t="n">
        <f aca="false">$D107*S107</f>
        <v>0</v>
      </c>
      <c r="AL107" s="128" t="n">
        <f aca="false">$D107*T107</f>
        <v>0</v>
      </c>
      <c r="AN107" s="129" t="n">
        <f aca="false">SUM(W107:AL107)/4</f>
        <v>99.9668303828808</v>
      </c>
      <c r="AO107" s="130" t="n">
        <f aca="false">D107</f>
        <v>81.4499969482422</v>
      </c>
    </row>
    <row r="108" customFormat="false" ht="16.5" hidden="false" customHeight="false" outlineLevel="0" collapsed="false">
      <c r="B108" s="116" t="n">
        <f aca="false">MONTH(C108)</f>
        <v>9</v>
      </c>
      <c r="C108" s="125" t="n">
        <f aca="false">PJM_01212000!A92</f>
        <v>38231</v>
      </c>
      <c r="D108" s="126" t="n">
        <f aca="false">PJM_01212000!C92</f>
        <v>33.4249984741211</v>
      </c>
      <c r="E108" s="127" t="n">
        <f aca="false">VLOOKUP($B108,$C$6:$Z$17,E$22+1)</f>
        <v>0</v>
      </c>
      <c r="F108" s="127" t="n">
        <f aca="false">VLOOKUP($B108,$C$6:$Z$17,F$22+1)</f>
        <v>0</v>
      </c>
      <c r="G108" s="127" t="n">
        <f aca="false">VLOOKUP($B108,$C$6:$Z$17,G$22+1)</f>
        <v>0</v>
      </c>
      <c r="H108" s="127" t="n">
        <f aca="false">VLOOKUP($B108,$C$6:$Z$17,H$22+1)</f>
        <v>0</v>
      </c>
      <c r="I108" s="127" t="n">
        <f aca="false">VLOOKUP($B108,$C$6:$Z$17,I$22+1)</f>
        <v>0</v>
      </c>
      <c r="J108" s="127" t="n">
        <f aca="false">VLOOKUP($B108,$C$6:$Z$17,J$22+1)</f>
        <v>0</v>
      </c>
      <c r="K108" s="127" t="n">
        <f aca="false">VLOOKUP($B108,$C$6:$Z$17,K$22+1)</f>
        <v>0</v>
      </c>
      <c r="L108" s="127" t="n">
        <f aca="false">VLOOKUP($B108,$C$6:$Z$17,L$22+1)</f>
        <v>0</v>
      </c>
      <c r="M108" s="127" t="n">
        <f aca="false">VLOOKUP($B108,$C$6:$Z$17,M$22+1)</f>
        <v>0</v>
      </c>
      <c r="N108" s="127" t="n">
        <f aca="false">VLOOKUP($B108,$C$6:$Z$17,N$22+1)</f>
        <v>1.13452840898687</v>
      </c>
      <c r="O108" s="127" t="n">
        <f aca="false">VLOOKUP($B108,$C$6:$Z$17,O$22+1)</f>
        <v>1.1066962078626</v>
      </c>
      <c r="P108" s="127" t="n">
        <f aca="false">VLOOKUP($B108,$C$6:$Z$17,P$22+1)</f>
        <v>0</v>
      </c>
      <c r="Q108" s="127" t="n">
        <f aca="false">VLOOKUP($B108,$C$6:$Z$17,Q$22+1)</f>
        <v>1.18462637101057</v>
      </c>
      <c r="R108" s="127" t="n">
        <f aca="false">VLOOKUP($B108,$C$6:$Z$17,R$22+1)</f>
        <v>1.1944408840386</v>
      </c>
      <c r="S108" s="127" t="n">
        <f aca="false">VLOOKUP($B108,$C$6:$Z$17,S$22+1)</f>
        <v>0</v>
      </c>
      <c r="T108" s="127" t="n">
        <f aca="false">VLOOKUP($B108,$C$6:$Z$17,T$22+1)</f>
        <v>0</v>
      </c>
      <c r="U108" s="127" t="n">
        <f aca="false">VLOOKUP($B108,$C$6:$AB$17,T$22+3)-SUM(E108:T108)</f>
        <v>0</v>
      </c>
      <c r="W108" s="128" t="n">
        <f aca="false">$D108*E108</f>
        <v>0</v>
      </c>
      <c r="X108" s="128" t="n">
        <f aca="false">$D108*F108</f>
        <v>0</v>
      </c>
      <c r="Y108" s="128" t="n">
        <f aca="false">$D108*G108</f>
        <v>0</v>
      </c>
      <c r="Z108" s="128" t="n">
        <f aca="false">$D108*H108</f>
        <v>0</v>
      </c>
      <c r="AA108" s="128" t="n">
        <f aca="false">$D108*I108</f>
        <v>0</v>
      </c>
      <c r="AB108" s="128" t="n">
        <f aca="false">$D108*J108</f>
        <v>0</v>
      </c>
      <c r="AC108" s="128" t="n">
        <f aca="false">$D108*K108</f>
        <v>0</v>
      </c>
      <c r="AD108" s="128" t="n">
        <f aca="false">$D108*L108</f>
        <v>0</v>
      </c>
      <c r="AE108" s="128" t="n">
        <f aca="false">$D108*M108</f>
        <v>0</v>
      </c>
      <c r="AF108" s="128" t="n">
        <f aca="false">$D108*N108</f>
        <v>37.9216103392332</v>
      </c>
      <c r="AG108" s="128" t="n">
        <f aca="false">$D108*O108</f>
        <v>36.9913190591229</v>
      </c>
      <c r="AH108" s="128" t="n">
        <f aca="false">$D108*P108</f>
        <v>0</v>
      </c>
      <c r="AI108" s="128" t="n">
        <f aca="false">$D108*Q108</f>
        <v>39.5961346434318</v>
      </c>
      <c r="AJ108" s="128" t="n">
        <f aca="false">$D108*R108</f>
        <v>39.9241847264181</v>
      </c>
      <c r="AK108" s="128" t="n">
        <f aca="false">$D108*S108</f>
        <v>0</v>
      </c>
      <c r="AL108" s="128" t="n">
        <f aca="false">$D108*T108</f>
        <v>0</v>
      </c>
      <c r="AN108" s="129" t="n">
        <f aca="false">SUM(W108:AL108)/4</f>
        <v>38.6083121920515</v>
      </c>
      <c r="AO108" s="130" t="n">
        <f aca="false">D108</f>
        <v>33.4249984741211</v>
      </c>
    </row>
    <row r="109" customFormat="false" ht="16.5" hidden="false" customHeight="false" outlineLevel="0" collapsed="false">
      <c r="B109" s="116" t="n">
        <f aca="false">MONTH(C109)</f>
        <v>10</v>
      </c>
      <c r="C109" s="125" t="n">
        <f aca="false">PJM_01212000!A93</f>
        <v>38261</v>
      </c>
      <c r="D109" s="126" t="n">
        <f aca="false">PJM_01212000!C93</f>
        <v>27.0750003814697</v>
      </c>
      <c r="E109" s="127" t="n">
        <f aca="false">VLOOKUP($B109,$C$6:$Z$17,E$22+1)</f>
        <v>0</v>
      </c>
      <c r="F109" s="127" t="n">
        <f aca="false">VLOOKUP($B109,$C$6:$Z$17,F$22+1)</f>
        <v>1.1326</v>
      </c>
      <c r="G109" s="127" t="n">
        <f aca="false">VLOOKUP($B109,$C$6:$Z$17,G$22+1)</f>
        <v>0</v>
      </c>
      <c r="H109" s="127" t="n">
        <f aca="false">VLOOKUP($B109,$C$6:$Z$17,H$22+1)</f>
        <v>0</v>
      </c>
      <c r="I109" s="127" t="n">
        <f aca="false">VLOOKUP($B109,$C$6:$Z$17,I$22+1)</f>
        <v>0</v>
      </c>
      <c r="J109" s="127" t="n">
        <f aca="false">VLOOKUP($B109,$C$6:$Z$17,J$22+1)</f>
        <v>0</v>
      </c>
      <c r="K109" s="127" t="n">
        <f aca="false">VLOOKUP($B109,$C$6:$Z$17,K$22+1)</f>
        <v>0</v>
      </c>
      <c r="L109" s="127" t="n">
        <f aca="false">VLOOKUP($B109,$C$6:$Z$17,L$22+1)</f>
        <v>0</v>
      </c>
      <c r="M109" s="127" t="n">
        <f aca="false">VLOOKUP($B109,$C$6:$Z$17,M$22+1)</f>
        <v>0</v>
      </c>
      <c r="N109" s="127" t="n">
        <f aca="false">VLOOKUP($B109,$C$6:$Z$17,N$22+1)</f>
        <v>0</v>
      </c>
      <c r="O109" s="127" t="n">
        <f aca="false">VLOOKUP($B109,$C$6:$Z$17,O$22+1)</f>
        <v>1.2001</v>
      </c>
      <c r="P109" s="127" t="n">
        <f aca="false">VLOOKUP($B109,$C$6:$Z$17,P$22+1)</f>
        <v>1.2095</v>
      </c>
      <c r="Q109" s="127" t="n">
        <f aca="false">VLOOKUP($B109,$C$6:$Z$17,Q$22+1)</f>
        <v>1.1567</v>
      </c>
      <c r="R109" s="127" t="n">
        <f aca="false">VLOOKUP($B109,$C$6:$Z$17,R$22+1)</f>
        <v>0</v>
      </c>
      <c r="S109" s="127" t="n">
        <f aca="false">VLOOKUP($B109,$C$6:$Z$17,S$22+1)</f>
        <v>0</v>
      </c>
      <c r="T109" s="127" t="n">
        <f aca="false">VLOOKUP($B109,$C$6:$Z$17,T$22+1)</f>
        <v>0</v>
      </c>
      <c r="U109" s="127" t="n">
        <f aca="false">VLOOKUP($B109,$C$6:$AB$17,T$22+3)-SUM(E109:T109)</f>
        <v>0</v>
      </c>
      <c r="W109" s="128" t="n">
        <f aca="false">$D109*E109</f>
        <v>0</v>
      </c>
      <c r="X109" s="128" t="n">
        <f aca="false">$D109*F109</f>
        <v>30.6651454320526</v>
      </c>
      <c r="Y109" s="128" t="n">
        <f aca="false">$D109*G109</f>
        <v>0</v>
      </c>
      <c r="Z109" s="128" t="n">
        <f aca="false">$D109*H109</f>
        <v>0</v>
      </c>
      <c r="AA109" s="128" t="n">
        <f aca="false">$D109*I109</f>
        <v>0</v>
      </c>
      <c r="AB109" s="128" t="n">
        <f aca="false">$D109*J109</f>
        <v>0</v>
      </c>
      <c r="AC109" s="128" t="n">
        <f aca="false">$D109*K109</f>
        <v>0</v>
      </c>
      <c r="AD109" s="128" t="n">
        <f aca="false">$D109*L109</f>
        <v>0</v>
      </c>
      <c r="AE109" s="128" t="n">
        <f aca="false">$D109*M109</f>
        <v>0</v>
      </c>
      <c r="AF109" s="128" t="n">
        <f aca="false">$D109*N109</f>
        <v>0</v>
      </c>
      <c r="AG109" s="128" t="n">
        <f aca="false">$D109*O109</f>
        <v>32.4927079578018</v>
      </c>
      <c r="AH109" s="128" t="n">
        <f aca="false">$D109*P109</f>
        <v>32.7472129613876</v>
      </c>
      <c r="AI109" s="128" t="n">
        <f aca="false">$D109*Q109</f>
        <v>31.317652941246</v>
      </c>
      <c r="AJ109" s="128" t="n">
        <f aca="false">$D109*R109</f>
        <v>0</v>
      </c>
      <c r="AK109" s="128" t="n">
        <f aca="false">$D109*S109</f>
        <v>0</v>
      </c>
      <c r="AL109" s="128" t="n">
        <f aca="false">$D109*T109</f>
        <v>0</v>
      </c>
      <c r="AN109" s="129" t="n">
        <f aca="false">SUM(W109:AL109)/4</f>
        <v>31.805679823122</v>
      </c>
      <c r="AO109" s="130" t="n">
        <f aca="false">D109</f>
        <v>27.0750003814697</v>
      </c>
    </row>
    <row r="110" customFormat="false" ht="16.5" hidden="false" customHeight="false" outlineLevel="0" collapsed="false">
      <c r="B110" s="116" t="n">
        <f aca="false">MONTH(C110)</f>
        <v>11</v>
      </c>
      <c r="C110" s="125" t="n">
        <f aca="false">PJM_01212000!A94</f>
        <v>38292</v>
      </c>
      <c r="D110" s="126" t="n">
        <f aca="false">PJM_01212000!C94</f>
        <v>26.7474990844727</v>
      </c>
      <c r="E110" s="127" t="n">
        <f aca="false">VLOOKUP($B110,$C$6:$Z$17,E$22+1)</f>
        <v>0</v>
      </c>
      <c r="F110" s="127" t="n">
        <f aca="false">VLOOKUP($B110,$C$6:$Z$17,F$22+1)</f>
        <v>1.1426</v>
      </c>
      <c r="G110" s="127" t="n">
        <f aca="false">VLOOKUP($B110,$C$6:$Z$17,G$22+1)</f>
        <v>0</v>
      </c>
      <c r="H110" s="127" t="n">
        <f aca="false">VLOOKUP($B110,$C$6:$Z$17,H$22+1)</f>
        <v>0</v>
      </c>
      <c r="I110" s="127" t="n">
        <f aca="false">VLOOKUP($B110,$C$6:$Z$17,I$22+1)</f>
        <v>0</v>
      </c>
      <c r="J110" s="127" t="n">
        <f aca="false">VLOOKUP($B110,$C$6:$Z$17,J$22+1)</f>
        <v>0</v>
      </c>
      <c r="K110" s="127" t="n">
        <f aca="false">VLOOKUP($B110,$C$6:$Z$17,K$22+1)</f>
        <v>0</v>
      </c>
      <c r="L110" s="127" t="n">
        <f aca="false">VLOOKUP($B110,$C$6:$Z$17,L$22+1)</f>
        <v>0</v>
      </c>
      <c r="M110" s="127" t="n">
        <f aca="false">VLOOKUP($B110,$C$6:$Z$17,M$22+1)</f>
        <v>0</v>
      </c>
      <c r="N110" s="127" t="n">
        <f aca="false">VLOOKUP($B110,$C$6:$Z$17,N$22+1)</f>
        <v>0</v>
      </c>
      <c r="O110" s="127" t="n">
        <f aca="false">VLOOKUP($B110,$C$6:$Z$17,O$22+1)</f>
        <v>1.2171</v>
      </c>
      <c r="P110" s="127" t="n">
        <f aca="false">VLOOKUP($B110,$C$6:$Z$17,P$22+1)</f>
        <v>1.2269</v>
      </c>
      <c r="Q110" s="127" t="n">
        <f aca="false">VLOOKUP($B110,$C$6:$Z$17,Q$22+1)</f>
        <v>1.1767</v>
      </c>
      <c r="R110" s="127" t="n">
        <f aca="false">VLOOKUP($B110,$C$6:$Z$17,R$22+1)</f>
        <v>0</v>
      </c>
      <c r="S110" s="127" t="n">
        <f aca="false">VLOOKUP($B110,$C$6:$Z$17,S$22+1)</f>
        <v>0</v>
      </c>
      <c r="T110" s="127" t="n">
        <f aca="false">VLOOKUP($B110,$C$6:$Z$17,T$22+1)</f>
        <v>0</v>
      </c>
      <c r="U110" s="127" t="n">
        <f aca="false">VLOOKUP($B110,$C$6:$AB$17,T$22+3)-SUM(E110:T110)</f>
        <v>0</v>
      </c>
      <c r="W110" s="128" t="n">
        <f aca="false">$D110*E110</f>
        <v>0</v>
      </c>
      <c r="X110" s="128" t="n">
        <f aca="false">$D110*F110</f>
        <v>30.5616924539185</v>
      </c>
      <c r="Y110" s="128" t="n">
        <f aca="false">$D110*G110</f>
        <v>0</v>
      </c>
      <c r="Z110" s="128" t="n">
        <f aca="false">$D110*H110</f>
        <v>0</v>
      </c>
      <c r="AA110" s="128" t="n">
        <f aca="false">$D110*I110</f>
        <v>0</v>
      </c>
      <c r="AB110" s="128" t="n">
        <f aca="false">$D110*J110</f>
        <v>0</v>
      </c>
      <c r="AC110" s="128" t="n">
        <f aca="false">$D110*K110</f>
        <v>0</v>
      </c>
      <c r="AD110" s="128" t="n">
        <f aca="false">$D110*L110</f>
        <v>0</v>
      </c>
      <c r="AE110" s="128" t="n">
        <f aca="false">$D110*M110</f>
        <v>0</v>
      </c>
      <c r="AF110" s="128" t="n">
        <f aca="false">$D110*N110</f>
        <v>0</v>
      </c>
      <c r="AG110" s="128" t="n">
        <f aca="false">$D110*O110</f>
        <v>32.5543811357117</v>
      </c>
      <c r="AH110" s="128" t="n">
        <f aca="false">$D110*P110</f>
        <v>32.8165066267395</v>
      </c>
      <c r="AI110" s="128" t="n">
        <f aca="false">$D110*Q110</f>
        <v>31.473782172699</v>
      </c>
      <c r="AJ110" s="128" t="n">
        <f aca="false">$D110*R110</f>
        <v>0</v>
      </c>
      <c r="AK110" s="128" t="n">
        <f aca="false">$D110*S110</f>
        <v>0</v>
      </c>
      <c r="AL110" s="128" t="n">
        <f aca="false">$D110*T110</f>
        <v>0</v>
      </c>
      <c r="AN110" s="129" t="n">
        <f aca="false">SUM(W110:AL110)/4</f>
        <v>31.8515905972672</v>
      </c>
      <c r="AO110" s="130" t="n">
        <f aca="false">D110</f>
        <v>26.7474990844727</v>
      </c>
    </row>
    <row r="111" customFormat="false" ht="16.5" hidden="false" customHeight="false" outlineLevel="0" collapsed="false">
      <c r="B111" s="116" t="n">
        <f aca="false">MONTH(C111)</f>
        <v>12</v>
      </c>
      <c r="C111" s="125" t="n">
        <f aca="false">PJM_01212000!A95</f>
        <v>38322</v>
      </c>
      <c r="D111" s="126" t="n">
        <f aca="false">PJM_01212000!C95</f>
        <v>28.4999996185303</v>
      </c>
      <c r="E111" s="127" t="n">
        <f aca="false">VLOOKUP($B111,$C$6:$Z$17,E$22+1)</f>
        <v>0</v>
      </c>
      <c r="F111" s="127" t="n">
        <f aca="false">VLOOKUP($B111,$C$6:$Z$17,F$22+1)</f>
        <v>1.1638</v>
      </c>
      <c r="G111" s="127" t="n">
        <f aca="false">VLOOKUP($B111,$C$6:$Z$17,G$22+1)</f>
        <v>0</v>
      </c>
      <c r="H111" s="127" t="n">
        <f aca="false">VLOOKUP($B111,$C$6:$Z$17,H$22+1)</f>
        <v>0</v>
      </c>
      <c r="I111" s="127" t="n">
        <f aca="false">VLOOKUP($B111,$C$6:$Z$17,I$22+1)</f>
        <v>0</v>
      </c>
      <c r="J111" s="127" t="n">
        <f aca="false">VLOOKUP($B111,$C$6:$Z$17,J$22+1)</f>
        <v>0</v>
      </c>
      <c r="K111" s="127" t="n">
        <f aca="false">VLOOKUP($B111,$C$6:$Z$17,K$22+1)</f>
        <v>0</v>
      </c>
      <c r="L111" s="127" t="n">
        <f aca="false">VLOOKUP($B111,$C$6:$Z$17,L$22+1)</f>
        <v>0</v>
      </c>
      <c r="M111" s="127" t="n">
        <f aca="false">VLOOKUP($B111,$C$6:$Z$17,M$22+1)</f>
        <v>0</v>
      </c>
      <c r="N111" s="127" t="n">
        <f aca="false">VLOOKUP($B111,$C$6:$Z$17,N$22+1)</f>
        <v>0</v>
      </c>
      <c r="O111" s="127" t="n">
        <f aca="false">VLOOKUP($B111,$C$6:$Z$17,O$22+1)</f>
        <v>1.23965925286319</v>
      </c>
      <c r="P111" s="127" t="n">
        <f aca="false">VLOOKUP($B111,$C$6:$Z$17,P$22+1)</f>
        <v>1.2314</v>
      </c>
      <c r="Q111" s="127" t="n">
        <f aca="false">VLOOKUP($B111,$C$6:$Z$17,Q$22+1)</f>
        <v>1.18899630831453</v>
      </c>
      <c r="R111" s="127" t="n">
        <f aca="false">VLOOKUP($B111,$C$6:$Z$17,R$22+1)</f>
        <v>0</v>
      </c>
      <c r="S111" s="127" t="n">
        <f aca="false">VLOOKUP($B111,$C$6:$Z$17,S$22+1)</f>
        <v>0</v>
      </c>
      <c r="T111" s="127" t="n">
        <f aca="false">VLOOKUP($B111,$C$6:$Z$17,T$22+1)</f>
        <v>0</v>
      </c>
      <c r="U111" s="127" t="n">
        <f aca="false">VLOOKUP($B111,$C$6:$AB$17,T$22+3)-SUM(E111:T111)</f>
        <v>0</v>
      </c>
      <c r="W111" s="128" t="n">
        <f aca="false">$D111*E111</f>
        <v>0</v>
      </c>
      <c r="X111" s="128" t="n">
        <f aca="false">$D111*F111</f>
        <v>33.1682995560455</v>
      </c>
      <c r="Y111" s="128" t="n">
        <f aca="false">$D111*G111</f>
        <v>0</v>
      </c>
      <c r="Z111" s="128" t="n">
        <f aca="false">$D111*H111</f>
        <v>0</v>
      </c>
      <c r="AA111" s="128" t="n">
        <f aca="false">$D111*I111</f>
        <v>0</v>
      </c>
      <c r="AB111" s="128" t="n">
        <f aca="false">$D111*J111</f>
        <v>0</v>
      </c>
      <c r="AC111" s="128" t="n">
        <f aca="false">$D111*K111</f>
        <v>0</v>
      </c>
      <c r="AD111" s="128" t="n">
        <f aca="false">$D111*L111</f>
        <v>0</v>
      </c>
      <c r="AE111" s="128" t="n">
        <f aca="false">$D111*M111</f>
        <v>0</v>
      </c>
      <c r="AF111" s="128" t="n">
        <f aca="false">$D111*N111</f>
        <v>0</v>
      </c>
      <c r="AG111" s="128" t="n">
        <f aca="false">$D111*O111</f>
        <v>35.3302882337084</v>
      </c>
      <c r="AH111" s="128" t="n">
        <f aca="false">$D111*P111</f>
        <v>35.0948995302582</v>
      </c>
      <c r="AI111" s="128" t="n">
        <f aca="false">$D111*Q111</f>
        <v>33.886394333398</v>
      </c>
      <c r="AJ111" s="128" t="n">
        <f aca="false">$D111*R111</f>
        <v>0</v>
      </c>
      <c r="AK111" s="128" t="n">
        <f aca="false">$D111*S111</f>
        <v>0</v>
      </c>
      <c r="AL111" s="128" t="n">
        <f aca="false">$D111*T111</f>
        <v>0</v>
      </c>
      <c r="AN111" s="129" t="n">
        <f aca="false">SUM(W111:AL111)/4</f>
        <v>34.3699704133525</v>
      </c>
      <c r="AO111" s="130" t="n">
        <f aca="false">D111</f>
        <v>28.4999996185303</v>
      </c>
    </row>
    <row r="112" customFormat="false" ht="16.5" hidden="false" customHeight="false" outlineLevel="0" collapsed="false">
      <c r="B112" s="116" t="n">
        <f aca="false">MONTH(C112)</f>
        <v>1</v>
      </c>
      <c r="C112" s="125" t="n">
        <f aca="false">PJM_01212000!A96</f>
        <v>38353</v>
      </c>
      <c r="D112" s="126" t="n">
        <f aca="false">PJM_01212000!C96</f>
        <v>37.3249984741211</v>
      </c>
      <c r="E112" s="127" t="n">
        <f aca="false">VLOOKUP($B112,$C$6:$Z$17,E$22+1)</f>
        <v>0</v>
      </c>
      <c r="F112" s="127" t="n">
        <f aca="false">VLOOKUP($B112,$C$6:$Z$17,F$22+1)</f>
        <v>1.19981175661928</v>
      </c>
      <c r="G112" s="127" t="n">
        <f aca="false">VLOOKUP($B112,$C$6:$Z$17,G$22+1)</f>
        <v>1.19616001156207</v>
      </c>
      <c r="H112" s="127" t="n">
        <f aca="false">VLOOKUP($B112,$C$6:$Z$17,H$22+1)</f>
        <v>0</v>
      </c>
      <c r="I112" s="127" t="n">
        <f aca="false">VLOOKUP($B112,$C$6:$Z$17,I$22+1)</f>
        <v>0</v>
      </c>
      <c r="J112" s="127" t="n">
        <f aca="false">VLOOKUP($B112,$C$6:$Z$17,J$22+1)</f>
        <v>0</v>
      </c>
      <c r="K112" s="127" t="n">
        <f aca="false">VLOOKUP($B112,$C$6:$Z$17,K$22+1)</f>
        <v>0</v>
      </c>
      <c r="L112" s="127" t="n">
        <f aca="false">VLOOKUP($B112,$C$6:$Z$17,L$22+1)</f>
        <v>0</v>
      </c>
      <c r="M112" s="127" t="n">
        <f aca="false">VLOOKUP($B112,$C$6:$Z$17,M$22+1)</f>
        <v>0</v>
      </c>
      <c r="N112" s="127" t="n">
        <f aca="false">VLOOKUP($B112,$C$6:$Z$17,N$22+1)</f>
        <v>0</v>
      </c>
      <c r="O112" s="127" t="n">
        <f aca="false">VLOOKUP($B112,$C$6:$Z$17,O$22+1)</f>
        <v>0</v>
      </c>
      <c r="P112" s="127" t="n">
        <f aca="false">VLOOKUP($B112,$C$6:$Z$17,P$22+1)</f>
        <v>1.28189922894351</v>
      </c>
      <c r="Q112" s="127" t="n">
        <f aca="false">VLOOKUP($B112,$C$6:$Z$17,Q$22+1)</f>
        <v>1.227</v>
      </c>
      <c r="R112" s="127" t="n">
        <f aca="false">VLOOKUP($B112,$C$6:$Z$17,R$22+1)</f>
        <v>0</v>
      </c>
      <c r="S112" s="127" t="n">
        <f aca="false">VLOOKUP($B112,$C$6:$Z$17,S$22+1)</f>
        <v>0</v>
      </c>
      <c r="T112" s="127" t="n">
        <f aca="false">VLOOKUP($B112,$C$6:$Z$17,T$22+1)</f>
        <v>0</v>
      </c>
      <c r="U112" s="127" t="n">
        <f aca="false">VLOOKUP($B112,$C$6:$AB$17,T$22+3)-SUM(E112:T112)</f>
        <v>0</v>
      </c>
      <c r="W112" s="128" t="n">
        <f aca="false">$D112*E112</f>
        <v>0</v>
      </c>
      <c r="X112" s="128" t="n">
        <f aca="false">$D112*F112</f>
        <v>44.7829719850473</v>
      </c>
      <c r="Y112" s="128" t="n">
        <f aca="false">$D112*G112</f>
        <v>44.646670606359</v>
      </c>
      <c r="Z112" s="128" t="n">
        <f aca="false">$D112*H112</f>
        <v>0</v>
      </c>
      <c r="AA112" s="128" t="n">
        <f aca="false">$D112*I112</f>
        <v>0</v>
      </c>
      <c r="AB112" s="128" t="n">
        <f aca="false">$D112*J112</f>
        <v>0</v>
      </c>
      <c r="AC112" s="128" t="n">
        <f aca="false">$D112*K112</f>
        <v>0</v>
      </c>
      <c r="AD112" s="128" t="n">
        <f aca="false">$D112*L112</f>
        <v>0</v>
      </c>
      <c r="AE112" s="128" t="n">
        <f aca="false">$D112*M112</f>
        <v>0</v>
      </c>
      <c r="AF112" s="128" t="n">
        <f aca="false">$D112*N112</f>
        <v>0</v>
      </c>
      <c r="AG112" s="128" t="n">
        <f aca="false">$D112*O112</f>
        <v>0</v>
      </c>
      <c r="AH112" s="128" t="n">
        <f aca="false">$D112*P112</f>
        <v>47.8468867642936</v>
      </c>
      <c r="AI112" s="128" t="n">
        <f aca="false">$D112*Q112</f>
        <v>45.7977731277466</v>
      </c>
      <c r="AJ112" s="128" t="n">
        <f aca="false">$D112*R112</f>
        <v>0</v>
      </c>
      <c r="AK112" s="128" t="n">
        <f aca="false">$D112*S112</f>
        <v>0</v>
      </c>
      <c r="AL112" s="128" t="n">
        <f aca="false">$D112*T112</f>
        <v>0</v>
      </c>
      <c r="AN112" s="129" t="n">
        <f aca="false">SUM(W112:AL112)/4</f>
        <v>45.7685756208616</v>
      </c>
      <c r="AO112" s="130" t="n">
        <f aca="false">D112</f>
        <v>37.3249984741211</v>
      </c>
    </row>
    <row r="113" customFormat="false" ht="16.5" hidden="false" customHeight="false" outlineLevel="0" collapsed="false">
      <c r="B113" s="116" t="n">
        <f aca="false">MONTH(C113)</f>
        <v>2</v>
      </c>
      <c r="C113" s="125" t="n">
        <f aca="false">PJM_01212000!A97</f>
        <v>38384</v>
      </c>
      <c r="D113" s="126" t="n">
        <f aca="false">PJM_01212000!C97</f>
        <v>37.3249984741211</v>
      </c>
      <c r="E113" s="127" t="n">
        <f aca="false">VLOOKUP($B113,$C$6:$Z$17,E$22+1)</f>
        <v>0</v>
      </c>
      <c r="F113" s="127" t="n">
        <f aca="false">VLOOKUP($B113,$C$6:$Z$17,F$22+1)</f>
        <v>1.19981175661928</v>
      </c>
      <c r="G113" s="127" t="n">
        <f aca="false">VLOOKUP($B113,$C$6:$Z$17,G$22+1)</f>
        <v>1.19616001156207</v>
      </c>
      <c r="H113" s="127" t="n">
        <f aca="false">VLOOKUP($B113,$C$6:$Z$17,H$22+1)</f>
        <v>0</v>
      </c>
      <c r="I113" s="127" t="n">
        <f aca="false">VLOOKUP($B113,$C$6:$Z$17,I$22+1)</f>
        <v>0</v>
      </c>
      <c r="J113" s="127" t="n">
        <f aca="false">VLOOKUP($B113,$C$6:$Z$17,J$22+1)</f>
        <v>0</v>
      </c>
      <c r="K113" s="127" t="n">
        <f aca="false">VLOOKUP($B113,$C$6:$Z$17,K$22+1)</f>
        <v>0</v>
      </c>
      <c r="L113" s="127" t="n">
        <f aca="false">VLOOKUP($B113,$C$6:$Z$17,L$22+1)</f>
        <v>0</v>
      </c>
      <c r="M113" s="127" t="n">
        <f aca="false">VLOOKUP($B113,$C$6:$Z$17,M$22+1)</f>
        <v>0</v>
      </c>
      <c r="N113" s="127" t="n">
        <f aca="false">VLOOKUP($B113,$C$6:$Z$17,N$22+1)</f>
        <v>0</v>
      </c>
      <c r="O113" s="127" t="n">
        <f aca="false">VLOOKUP($B113,$C$6:$Z$17,O$22+1)</f>
        <v>0</v>
      </c>
      <c r="P113" s="127" t="n">
        <f aca="false">VLOOKUP($B113,$C$6:$Z$17,P$22+1)</f>
        <v>1.28189922894351</v>
      </c>
      <c r="Q113" s="127" t="n">
        <f aca="false">VLOOKUP($B113,$C$6:$Z$17,Q$22+1)</f>
        <v>1.227</v>
      </c>
      <c r="R113" s="127" t="n">
        <f aca="false">VLOOKUP($B113,$C$6:$Z$17,R$22+1)</f>
        <v>0</v>
      </c>
      <c r="S113" s="127" t="n">
        <f aca="false">VLOOKUP($B113,$C$6:$Z$17,S$22+1)</f>
        <v>0</v>
      </c>
      <c r="T113" s="127" t="n">
        <f aca="false">VLOOKUP($B113,$C$6:$Z$17,T$22+1)</f>
        <v>0</v>
      </c>
      <c r="U113" s="127" t="n">
        <f aca="false">VLOOKUP($B113,$C$6:$AB$17,T$22+3)-SUM(E113:T113)</f>
        <v>0</v>
      </c>
      <c r="W113" s="128" t="n">
        <f aca="false">$D113*E113</f>
        <v>0</v>
      </c>
      <c r="X113" s="128" t="n">
        <f aca="false">$D113*F113</f>
        <v>44.7829719850473</v>
      </c>
      <c r="Y113" s="128" t="n">
        <f aca="false">$D113*G113</f>
        <v>44.646670606359</v>
      </c>
      <c r="Z113" s="128" t="n">
        <f aca="false">$D113*H113</f>
        <v>0</v>
      </c>
      <c r="AA113" s="128" t="n">
        <f aca="false">$D113*I113</f>
        <v>0</v>
      </c>
      <c r="AB113" s="128" t="n">
        <f aca="false">$D113*J113</f>
        <v>0</v>
      </c>
      <c r="AC113" s="128" t="n">
        <f aca="false">$D113*K113</f>
        <v>0</v>
      </c>
      <c r="AD113" s="128" t="n">
        <f aca="false">$D113*L113</f>
        <v>0</v>
      </c>
      <c r="AE113" s="128" t="n">
        <f aca="false">$D113*M113</f>
        <v>0</v>
      </c>
      <c r="AF113" s="128" t="n">
        <f aca="false">$D113*N113</f>
        <v>0</v>
      </c>
      <c r="AG113" s="128" t="n">
        <f aca="false">$D113*O113</f>
        <v>0</v>
      </c>
      <c r="AH113" s="128" t="n">
        <f aca="false">$D113*P113</f>
        <v>47.8468867642936</v>
      </c>
      <c r="AI113" s="128" t="n">
        <f aca="false">$D113*Q113</f>
        <v>45.7977731277466</v>
      </c>
      <c r="AJ113" s="128" t="n">
        <f aca="false">$D113*R113</f>
        <v>0</v>
      </c>
      <c r="AK113" s="128" t="n">
        <f aca="false">$D113*S113</f>
        <v>0</v>
      </c>
      <c r="AL113" s="128" t="n">
        <f aca="false">$D113*T113</f>
        <v>0</v>
      </c>
      <c r="AN113" s="129" t="n">
        <f aca="false">SUM(W113:AL113)/4</f>
        <v>45.7685756208616</v>
      </c>
      <c r="AO113" s="130" t="n">
        <f aca="false">D113</f>
        <v>37.3249984741211</v>
      </c>
    </row>
    <row r="114" customFormat="false" ht="16.5" hidden="false" customHeight="false" outlineLevel="0" collapsed="false">
      <c r="B114" s="116" t="n">
        <f aca="false">MONTH(C114)</f>
        <v>3</v>
      </c>
      <c r="C114" s="125" t="n">
        <f aca="false">PJM_01212000!A98</f>
        <v>38412</v>
      </c>
      <c r="D114" s="126" t="n">
        <f aca="false">PJM_01212000!C98</f>
        <v>27.0500007629395</v>
      </c>
      <c r="E114" s="127" t="n">
        <f aca="false">VLOOKUP($B114,$C$6:$Z$17,E$22+1)</f>
        <v>0</v>
      </c>
      <c r="F114" s="127" t="n">
        <f aca="false">VLOOKUP($B114,$C$6:$Z$17,F$22+1)</f>
        <v>1.1898</v>
      </c>
      <c r="G114" s="127" t="n">
        <f aca="false">VLOOKUP($B114,$C$6:$Z$17,G$22+1)</f>
        <v>1.1862</v>
      </c>
      <c r="H114" s="127" t="n">
        <f aca="false">VLOOKUP($B114,$C$6:$Z$17,H$22+1)</f>
        <v>0</v>
      </c>
      <c r="I114" s="127" t="n">
        <f aca="false">VLOOKUP($B114,$C$6:$Z$17,I$22+1)</f>
        <v>0</v>
      </c>
      <c r="J114" s="127" t="n">
        <f aca="false">VLOOKUP($B114,$C$6:$Z$17,J$22+1)</f>
        <v>0</v>
      </c>
      <c r="K114" s="127" t="n">
        <f aca="false">VLOOKUP($B114,$C$6:$Z$17,K$22+1)</f>
        <v>0</v>
      </c>
      <c r="L114" s="127" t="n">
        <f aca="false">VLOOKUP($B114,$C$6:$Z$17,L$22+1)</f>
        <v>0</v>
      </c>
      <c r="M114" s="127" t="n">
        <f aca="false">VLOOKUP($B114,$C$6:$Z$17,M$22+1)</f>
        <v>0</v>
      </c>
      <c r="N114" s="127" t="n">
        <f aca="false">VLOOKUP($B114,$C$6:$Z$17,N$22+1)</f>
        <v>0</v>
      </c>
      <c r="O114" s="127" t="n">
        <f aca="false">VLOOKUP($B114,$C$6:$Z$17,O$22+1)</f>
        <v>0</v>
      </c>
      <c r="P114" s="127" t="n">
        <f aca="false">VLOOKUP($B114,$C$6:$Z$17,P$22+1)</f>
        <v>1.2719</v>
      </c>
      <c r="Q114" s="127" t="n">
        <f aca="false">VLOOKUP($B114,$C$6:$Z$17,Q$22+1)</f>
        <v>1.217</v>
      </c>
      <c r="R114" s="127" t="n">
        <f aca="false">VLOOKUP($B114,$C$6:$Z$17,R$22+1)</f>
        <v>0</v>
      </c>
      <c r="S114" s="127" t="n">
        <f aca="false">VLOOKUP($B114,$C$6:$Z$17,S$22+1)</f>
        <v>0</v>
      </c>
      <c r="T114" s="127" t="n">
        <f aca="false">VLOOKUP($B114,$C$6:$Z$17,T$22+1)</f>
        <v>0</v>
      </c>
      <c r="U114" s="127" t="n">
        <f aca="false">VLOOKUP($B114,$C$6:$AB$17,T$22+3)-SUM(E114:T114)</f>
        <v>0</v>
      </c>
      <c r="W114" s="128" t="n">
        <f aca="false">$D114*E114</f>
        <v>0</v>
      </c>
      <c r="X114" s="128" t="n">
        <f aca="false">$D114*F114</f>
        <v>32.1840909077454</v>
      </c>
      <c r="Y114" s="128" t="n">
        <f aca="false">$D114*G114</f>
        <v>32.0867109049988</v>
      </c>
      <c r="Z114" s="128" t="n">
        <f aca="false">$D114*H114</f>
        <v>0</v>
      </c>
      <c r="AA114" s="128" t="n">
        <f aca="false">$D114*I114</f>
        <v>0</v>
      </c>
      <c r="AB114" s="128" t="n">
        <f aca="false">$D114*J114</f>
        <v>0</v>
      </c>
      <c r="AC114" s="128" t="n">
        <f aca="false">$D114*K114</f>
        <v>0</v>
      </c>
      <c r="AD114" s="128" t="n">
        <f aca="false">$D114*L114</f>
        <v>0</v>
      </c>
      <c r="AE114" s="128" t="n">
        <f aca="false">$D114*M114</f>
        <v>0</v>
      </c>
      <c r="AF114" s="128" t="n">
        <f aca="false">$D114*N114</f>
        <v>0</v>
      </c>
      <c r="AG114" s="128" t="n">
        <f aca="false">$D114*O114</f>
        <v>0</v>
      </c>
      <c r="AH114" s="128" t="n">
        <f aca="false">$D114*P114</f>
        <v>34.4048959703827</v>
      </c>
      <c r="AI114" s="128" t="n">
        <f aca="false">$D114*Q114</f>
        <v>32.9198509284973</v>
      </c>
      <c r="AJ114" s="128" t="n">
        <f aca="false">$D114*R114</f>
        <v>0</v>
      </c>
      <c r="AK114" s="128" t="n">
        <f aca="false">$D114*S114</f>
        <v>0</v>
      </c>
      <c r="AL114" s="128" t="n">
        <f aca="false">$D114*T114</f>
        <v>0</v>
      </c>
      <c r="AN114" s="129" t="n">
        <f aca="false">SUM(W114:AL114)/4</f>
        <v>32.898887177906</v>
      </c>
      <c r="AO114" s="130" t="n">
        <f aca="false">D114</f>
        <v>27.0500007629395</v>
      </c>
    </row>
    <row r="115" customFormat="false" ht="16.5" hidden="false" customHeight="false" outlineLevel="0" collapsed="false">
      <c r="B115" s="116" t="n">
        <f aca="false">MONTH(C115)</f>
        <v>4</v>
      </c>
      <c r="C115" s="125" t="n">
        <f aca="false">PJM_01212000!A99</f>
        <v>38443</v>
      </c>
      <c r="D115" s="126" t="n">
        <f aca="false">PJM_01212000!C99</f>
        <v>26.8250007629395</v>
      </c>
      <c r="E115" s="127" t="n">
        <f aca="false">VLOOKUP($B115,$C$6:$Z$17,E$22+1)</f>
        <v>1.1232726508202</v>
      </c>
      <c r="F115" s="127" t="n">
        <f aca="false">VLOOKUP($B115,$C$6:$Z$17,F$22+1)</f>
        <v>1.14131544612562</v>
      </c>
      <c r="G115" s="127" t="n">
        <f aca="false">VLOOKUP($B115,$C$6:$Z$17,G$22+1)</f>
        <v>0</v>
      </c>
      <c r="H115" s="127" t="n">
        <f aca="false">VLOOKUP($B115,$C$6:$Z$17,H$22+1)</f>
        <v>0</v>
      </c>
      <c r="I115" s="127" t="n">
        <f aca="false">VLOOKUP($B115,$C$6:$Z$17,I$22+1)</f>
        <v>1.11852454679246</v>
      </c>
      <c r="J115" s="127" t="n">
        <f aca="false">VLOOKUP($B115,$C$6:$Z$17,J$22+1)</f>
        <v>0</v>
      </c>
      <c r="K115" s="127" t="n">
        <f aca="false">VLOOKUP($B115,$C$6:$Z$17,K$22+1)</f>
        <v>0</v>
      </c>
      <c r="L115" s="127" t="n">
        <f aca="false">VLOOKUP($B115,$C$6:$Z$17,L$22+1)</f>
        <v>0</v>
      </c>
      <c r="M115" s="127" t="n">
        <f aca="false">VLOOKUP($B115,$C$6:$Z$17,M$22+1)</f>
        <v>0</v>
      </c>
      <c r="N115" s="127" t="n">
        <f aca="false">VLOOKUP($B115,$C$6:$Z$17,N$22+1)</f>
        <v>0</v>
      </c>
      <c r="O115" s="127" t="n">
        <f aca="false">VLOOKUP($B115,$C$6:$Z$17,O$22+1)</f>
        <v>0</v>
      </c>
      <c r="P115" s="127" t="n">
        <f aca="false">VLOOKUP($B115,$C$6:$Z$17,P$22+1)</f>
        <v>0</v>
      </c>
      <c r="Q115" s="127" t="n">
        <f aca="false">VLOOKUP($B115,$C$6:$Z$17,Q$22+1)</f>
        <v>0</v>
      </c>
      <c r="R115" s="127" t="n">
        <f aca="false">VLOOKUP($B115,$C$6:$Z$17,R$22+1)</f>
        <v>1.15433651784915</v>
      </c>
      <c r="S115" s="127" t="n">
        <f aca="false">VLOOKUP($B115,$C$6:$Z$17,S$22+1)</f>
        <v>0</v>
      </c>
      <c r="T115" s="127" t="n">
        <f aca="false">VLOOKUP($B115,$C$6:$Z$17,T$22+1)</f>
        <v>0</v>
      </c>
      <c r="U115" s="127" t="n">
        <f aca="false">VLOOKUP($B115,$C$6:$AB$17,T$22+3)-SUM(E115:T115)</f>
        <v>0</v>
      </c>
      <c r="W115" s="128" t="n">
        <f aca="false">$D115*E115</f>
        <v>30.131789715241</v>
      </c>
      <c r="X115" s="128" t="n">
        <f aca="false">$D115*F115</f>
        <v>30.6157877130743</v>
      </c>
      <c r="Y115" s="128" t="n">
        <f aca="false">$D115*G115</f>
        <v>0</v>
      </c>
      <c r="Z115" s="128" t="n">
        <f aca="false">$D115*H115</f>
        <v>0</v>
      </c>
      <c r="AA115" s="128" t="n">
        <f aca="false">$D115*I115</f>
        <v>30.0044218210744</v>
      </c>
      <c r="AB115" s="128" t="n">
        <f aca="false">$D115*J115</f>
        <v>0</v>
      </c>
      <c r="AC115" s="128" t="n">
        <f aca="false">$D115*K115</f>
        <v>0</v>
      </c>
      <c r="AD115" s="128" t="n">
        <f aca="false">$D115*L115</f>
        <v>0</v>
      </c>
      <c r="AE115" s="128" t="n">
        <f aca="false">$D115*M115</f>
        <v>0</v>
      </c>
      <c r="AF115" s="128" t="n">
        <f aca="false">$D115*N115</f>
        <v>0</v>
      </c>
      <c r="AG115" s="128" t="n">
        <f aca="false">$D115*O115</f>
        <v>0</v>
      </c>
      <c r="AH115" s="128" t="n">
        <f aca="false">$D115*P115</f>
        <v>0</v>
      </c>
      <c r="AI115" s="128" t="n">
        <f aca="false">$D115*Q115</f>
        <v>0</v>
      </c>
      <c r="AJ115" s="128" t="n">
        <f aca="false">$D115*R115</f>
        <v>30.9650779719923</v>
      </c>
      <c r="AK115" s="128" t="n">
        <f aca="false">$D115*S115</f>
        <v>0</v>
      </c>
      <c r="AL115" s="128" t="n">
        <f aca="false">$D115*T115</f>
        <v>0</v>
      </c>
      <c r="AN115" s="129" t="n">
        <f aca="false">SUM(W115:AL115)/4</f>
        <v>30.4292693053455</v>
      </c>
      <c r="AO115" s="130" t="n">
        <f aca="false">D115</f>
        <v>26.8250007629395</v>
      </c>
    </row>
    <row r="116" customFormat="false" ht="16.5" hidden="false" customHeight="false" outlineLevel="0" collapsed="false">
      <c r="B116" s="116" t="n">
        <f aca="false">MONTH(C116)</f>
        <v>5</v>
      </c>
      <c r="C116" s="125" t="n">
        <f aca="false">PJM_01212000!A100</f>
        <v>38473</v>
      </c>
      <c r="D116" s="126" t="n">
        <f aca="false">PJM_01212000!C100</f>
        <v>31.825</v>
      </c>
      <c r="E116" s="127" t="n">
        <f aca="false">VLOOKUP($B116,$C$6:$Z$17,E$22+1)</f>
        <v>0</v>
      </c>
      <c r="F116" s="127" t="n">
        <f aca="false">VLOOKUP($B116,$C$6:$Z$17,F$22+1)</f>
        <v>0</v>
      </c>
      <c r="G116" s="127" t="n">
        <f aca="false">VLOOKUP($B116,$C$6:$Z$17,G$22+1)</f>
        <v>1.06102662180267</v>
      </c>
      <c r="H116" s="127" t="n">
        <f aca="false">VLOOKUP($B116,$C$6:$Z$17,H$22+1)</f>
        <v>1.12549986193072</v>
      </c>
      <c r="I116" s="127" t="n">
        <f aca="false">VLOOKUP($B116,$C$6:$Z$17,I$22+1)</f>
        <v>1.11699070333514</v>
      </c>
      <c r="J116" s="127" t="n">
        <f aca="false">VLOOKUP($B116,$C$6:$Z$17,J$22+1)</f>
        <v>0</v>
      </c>
      <c r="K116" s="127" t="n">
        <f aca="false">VLOOKUP($B116,$C$6:$Z$17,K$22+1)</f>
        <v>0</v>
      </c>
      <c r="L116" s="127" t="n">
        <f aca="false">VLOOKUP($B116,$C$6:$Z$17,L$22+1)</f>
        <v>0</v>
      </c>
      <c r="M116" s="127" t="n">
        <f aca="false">VLOOKUP($B116,$C$6:$Z$17,M$22+1)</f>
        <v>0</v>
      </c>
      <c r="N116" s="127" t="n">
        <f aca="false">VLOOKUP($B116,$C$6:$Z$17,N$22+1)</f>
        <v>0</v>
      </c>
      <c r="O116" s="127" t="n">
        <f aca="false">VLOOKUP($B116,$C$6:$Z$17,O$22+1)</f>
        <v>0</v>
      </c>
      <c r="P116" s="127" t="n">
        <f aca="false">VLOOKUP($B116,$C$6:$Z$17,P$22+1)</f>
        <v>0</v>
      </c>
      <c r="Q116" s="127" t="n">
        <f aca="false">VLOOKUP($B116,$C$6:$Z$17,Q$22+1)</f>
        <v>0</v>
      </c>
      <c r="R116" s="127" t="n">
        <f aca="false">VLOOKUP($B116,$C$6:$Z$17,R$22+1)</f>
        <v>1.08769956124651</v>
      </c>
      <c r="S116" s="127" t="n">
        <f aca="false">VLOOKUP($B116,$C$6:$Z$17,S$22+1)</f>
        <v>0</v>
      </c>
      <c r="T116" s="127" t="n">
        <f aca="false">VLOOKUP($B116,$C$6:$Z$17,T$22+1)</f>
        <v>0</v>
      </c>
      <c r="U116" s="127" t="n">
        <f aca="false">VLOOKUP($B116,$C$6:$AB$17,T$22+3)-SUM(E116:T116)</f>
        <v>0</v>
      </c>
      <c r="W116" s="128" t="n">
        <f aca="false">$D116*E116</f>
        <v>0</v>
      </c>
      <c r="X116" s="128" t="n">
        <f aca="false">$D116*F116</f>
        <v>0</v>
      </c>
      <c r="Y116" s="128" t="n">
        <f aca="false">$D116*G116</f>
        <v>33.7671722388701</v>
      </c>
      <c r="Z116" s="128" t="n">
        <f aca="false">$D116*H116</f>
        <v>35.8190331059452</v>
      </c>
      <c r="AA116" s="128" t="n">
        <f aca="false">$D116*I116</f>
        <v>35.5482291336408</v>
      </c>
      <c r="AB116" s="128" t="n">
        <f aca="false">$D116*J116</f>
        <v>0</v>
      </c>
      <c r="AC116" s="128" t="n">
        <f aca="false">$D116*K116</f>
        <v>0</v>
      </c>
      <c r="AD116" s="128" t="n">
        <f aca="false">$D116*L116</f>
        <v>0</v>
      </c>
      <c r="AE116" s="128" t="n">
        <f aca="false">$D116*M116</f>
        <v>0</v>
      </c>
      <c r="AF116" s="128" t="n">
        <f aca="false">$D116*N116</f>
        <v>0</v>
      </c>
      <c r="AG116" s="128" t="n">
        <f aca="false">$D116*O116</f>
        <v>0</v>
      </c>
      <c r="AH116" s="128" t="n">
        <f aca="false">$D116*P116</f>
        <v>0</v>
      </c>
      <c r="AI116" s="128" t="n">
        <f aca="false">$D116*Q116</f>
        <v>0</v>
      </c>
      <c r="AJ116" s="128" t="n">
        <f aca="false">$D116*R116</f>
        <v>34.6160385366702</v>
      </c>
      <c r="AK116" s="128" t="n">
        <f aca="false">$D116*S116</f>
        <v>0</v>
      </c>
      <c r="AL116" s="128" t="n">
        <f aca="false">$D116*T116</f>
        <v>0</v>
      </c>
      <c r="AN116" s="129" t="n">
        <f aca="false">SUM(W116:AL116)/4</f>
        <v>34.9376182537816</v>
      </c>
      <c r="AO116" s="130" t="n">
        <f aca="false">D116</f>
        <v>31.825</v>
      </c>
    </row>
    <row r="117" customFormat="false" ht="16.5" hidden="false" customHeight="false" outlineLevel="0" collapsed="false">
      <c r="B117" s="116" t="n">
        <f aca="false">MONTH(C117)</f>
        <v>6</v>
      </c>
      <c r="C117" s="125" t="n">
        <f aca="false">PJM_01212000!A101</f>
        <v>38504</v>
      </c>
      <c r="D117" s="126" t="n">
        <f aca="false">PJM_01212000!C101</f>
        <v>56.3499984741211</v>
      </c>
      <c r="E117" s="127" t="n">
        <f aca="false">VLOOKUP($B117,$C$6:$Z$17,E$22+1)</f>
        <v>0</v>
      </c>
      <c r="F117" s="127" t="n">
        <f aca="false">VLOOKUP($B117,$C$6:$Z$17,F$22+1)</f>
        <v>0</v>
      </c>
      <c r="G117" s="127" t="n">
        <f aca="false">VLOOKUP($B117,$C$6:$Z$17,G$22+1)</f>
        <v>0</v>
      </c>
      <c r="H117" s="127" t="n">
        <f aca="false">VLOOKUP($B117,$C$6:$Z$17,H$22+1)</f>
        <v>0</v>
      </c>
      <c r="I117" s="127" t="n">
        <f aca="false">VLOOKUP($B117,$C$6:$Z$17,I$22+1)</f>
        <v>0</v>
      </c>
      <c r="J117" s="127" t="n">
        <f aca="false">VLOOKUP($B117,$C$6:$Z$17,J$22+1)</f>
        <v>0</v>
      </c>
      <c r="K117" s="127" t="n">
        <f aca="false">VLOOKUP($B117,$C$6:$Z$17,K$22+1)</f>
        <v>1.22092018621818</v>
      </c>
      <c r="L117" s="127" t="n">
        <f aca="false">VLOOKUP($B117,$C$6:$Z$17,L$22+1)</f>
        <v>1.23031497714214</v>
      </c>
      <c r="M117" s="127" t="n">
        <f aca="false">VLOOKUP($B117,$C$6:$Z$17,M$22+1)</f>
        <v>1.23232814662584</v>
      </c>
      <c r="N117" s="127" t="n">
        <f aca="false">VLOOKUP($B117,$C$6:$Z$17,N$22+1)</f>
        <v>1.25232563016399</v>
      </c>
      <c r="O117" s="127" t="n">
        <f aca="false">VLOOKUP($B117,$C$6:$Z$17,O$22+1)</f>
        <v>0</v>
      </c>
      <c r="P117" s="127" t="n">
        <f aca="false">VLOOKUP($B117,$C$6:$Z$17,P$22+1)</f>
        <v>0</v>
      </c>
      <c r="Q117" s="127" t="n">
        <f aca="false">VLOOKUP($B117,$C$6:$Z$17,Q$22+1)</f>
        <v>0</v>
      </c>
      <c r="R117" s="127" t="n">
        <f aca="false">VLOOKUP($B117,$C$6:$Z$17,R$22+1)</f>
        <v>0</v>
      </c>
      <c r="S117" s="127" t="n">
        <f aca="false">VLOOKUP($B117,$C$6:$Z$17,S$22+1)</f>
        <v>0</v>
      </c>
      <c r="T117" s="127" t="n">
        <f aca="false">VLOOKUP($B117,$C$6:$Z$17,T$22+1)</f>
        <v>0</v>
      </c>
      <c r="U117" s="127" t="n">
        <f aca="false">VLOOKUP($B117,$C$6:$AB$17,T$22+3)-SUM(E117:T117)</f>
        <v>0</v>
      </c>
      <c r="W117" s="128" t="n">
        <f aca="false">$D117*E117</f>
        <v>0</v>
      </c>
      <c r="X117" s="128" t="n">
        <f aca="false">$D117*F117</f>
        <v>0</v>
      </c>
      <c r="Y117" s="128" t="n">
        <f aca="false">$D117*G117</f>
        <v>0</v>
      </c>
      <c r="Z117" s="128" t="n">
        <f aca="false">$D117*H117</f>
        <v>0</v>
      </c>
      <c r="AA117" s="128" t="n">
        <f aca="false">$D117*I117</f>
        <v>0</v>
      </c>
      <c r="AB117" s="128" t="n">
        <f aca="false">$D117*J117</f>
        <v>0</v>
      </c>
      <c r="AC117" s="128" t="n">
        <f aca="false">$D117*K117</f>
        <v>68.7988506304179</v>
      </c>
      <c r="AD117" s="128" t="n">
        <f aca="false">$D117*L117</f>
        <v>69.3282470846478</v>
      </c>
      <c r="AE117" s="128" t="n">
        <f aca="false">$D117*M117</f>
        <v>69.4416891819828</v>
      </c>
      <c r="AF117" s="128" t="n">
        <f aca="false">$D117*N117</f>
        <v>70.5685473488436</v>
      </c>
      <c r="AG117" s="128" t="n">
        <f aca="false">$D117*O117</f>
        <v>0</v>
      </c>
      <c r="AH117" s="128" t="n">
        <f aca="false">$D117*P117</f>
        <v>0</v>
      </c>
      <c r="AI117" s="128" t="n">
        <f aca="false">$D117*Q117</f>
        <v>0</v>
      </c>
      <c r="AJ117" s="128" t="n">
        <f aca="false">$D117*R117</f>
        <v>0</v>
      </c>
      <c r="AK117" s="128" t="n">
        <f aca="false">$D117*S117</f>
        <v>0</v>
      </c>
      <c r="AL117" s="128" t="n">
        <f aca="false">$D117*T117</f>
        <v>0</v>
      </c>
      <c r="AN117" s="129" t="n">
        <f aca="false">SUM(W117:AL117)/4</f>
        <v>69.534333561473</v>
      </c>
      <c r="AO117" s="130" t="n">
        <f aca="false">D117</f>
        <v>56.3499984741211</v>
      </c>
    </row>
    <row r="118" customFormat="false" ht="16.5" hidden="false" customHeight="false" outlineLevel="0" collapsed="false">
      <c r="B118" s="116" t="n">
        <f aca="false">MONTH(C118)</f>
        <v>7</v>
      </c>
      <c r="C118" s="125" t="n">
        <f aca="false">PJM_01212000!A102</f>
        <v>38534</v>
      </c>
      <c r="D118" s="126" t="n">
        <f aca="false">PJM_01212000!C102</f>
        <v>95.6999969482422</v>
      </c>
      <c r="E118" s="127" t="n">
        <f aca="false">VLOOKUP($B118,$C$6:$Z$17,E$22+1)</f>
        <v>0</v>
      </c>
      <c r="F118" s="127" t="n">
        <f aca="false">VLOOKUP($B118,$C$6:$Z$17,F$22+1)</f>
        <v>0</v>
      </c>
      <c r="G118" s="127" t="n">
        <f aca="false">VLOOKUP($B118,$C$6:$Z$17,G$22+1)</f>
        <v>0</v>
      </c>
      <c r="H118" s="127" t="n">
        <f aca="false">VLOOKUP($B118,$C$6:$Z$17,H$22+1)</f>
        <v>0</v>
      </c>
      <c r="I118" s="127" t="n">
        <f aca="false">VLOOKUP($B118,$C$6:$Z$17,I$22+1)</f>
        <v>0</v>
      </c>
      <c r="J118" s="127" t="n">
        <f aca="false">VLOOKUP($B118,$C$6:$Z$17,J$22+1)</f>
        <v>0</v>
      </c>
      <c r="K118" s="127" t="n">
        <f aca="false">VLOOKUP($B118,$C$6:$Z$17,K$22+1)</f>
        <v>0</v>
      </c>
      <c r="L118" s="127" t="n">
        <f aca="false">VLOOKUP($B118,$C$6:$Z$17,L$22+1)</f>
        <v>1.2506946851613</v>
      </c>
      <c r="M118" s="127" t="n">
        <f aca="false">VLOOKUP($B118,$C$6:$Z$17,M$22+1)</f>
        <v>1.32734019400042</v>
      </c>
      <c r="N118" s="127" t="n">
        <f aca="false">VLOOKUP($B118,$C$6:$Z$17,N$22+1)</f>
        <v>1.35388881627921</v>
      </c>
      <c r="O118" s="127" t="n">
        <f aca="false">VLOOKUP($B118,$C$6:$Z$17,O$22+1)</f>
        <v>1.32033935867348</v>
      </c>
      <c r="P118" s="127" t="n">
        <f aca="false">VLOOKUP($B118,$C$6:$Z$17,P$22+1)</f>
        <v>0</v>
      </c>
      <c r="Q118" s="127" t="n">
        <f aca="false">VLOOKUP($B118,$C$6:$Z$17,Q$22+1)</f>
        <v>0</v>
      </c>
      <c r="R118" s="127" t="n">
        <f aca="false">VLOOKUP($B118,$C$6:$Z$17,R$22+1)</f>
        <v>0</v>
      </c>
      <c r="S118" s="127" t="n">
        <f aca="false">VLOOKUP($B118,$C$6:$Z$17,S$22+1)</f>
        <v>0</v>
      </c>
      <c r="T118" s="127" t="n">
        <f aca="false">VLOOKUP($B118,$C$6:$Z$17,T$22+1)</f>
        <v>0</v>
      </c>
      <c r="U118" s="127" t="n">
        <f aca="false">VLOOKUP($B118,$C$6:$AB$17,T$22+3)-SUM(E118:T118)</f>
        <v>0</v>
      </c>
      <c r="W118" s="128" t="n">
        <f aca="false">$D118*E118</f>
        <v>0</v>
      </c>
      <c r="X118" s="128" t="n">
        <f aca="false">$D118*F118</f>
        <v>0</v>
      </c>
      <c r="Y118" s="128" t="n">
        <f aca="false">$D118*G118</f>
        <v>0</v>
      </c>
      <c r="Z118" s="128" t="n">
        <f aca="false">$D118*H118</f>
        <v>0</v>
      </c>
      <c r="AA118" s="128" t="n">
        <f aca="false">$D118*I118</f>
        <v>0</v>
      </c>
      <c r="AB118" s="128" t="n">
        <f aca="false">$D118*J118</f>
        <v>0</v>
      </c>
      <c r="AC118" s="128" t="n">
        <f aca="false">$D118*K118</f>
        <v>0</v>
      </c>
      <c r="AD118" s="128" t="n">
        <f aca="false">$D118*L118</f>
        <v>119.691477553119</v>
      </c>
      <c r="AE118" s="128" t="n">
        <f aca="false">$D118*M118</f>
        <v>127.026452515119</v>
      </c>
      <c r="AF118" s="128" t="n">
        <f aca="false">$D118*N118</f>
        <v>129.56715558618</v>
      </c>
      <c r="AG118" s="128" t="n">
        <f aca="false">$D118*O118</f>
        <v>126.356472595696</v>
      </c>
      <c r="AH118" s="128" t="n">
        <f aca="false">$D118*P118</f>
        <v>0</v>
      </c>
      <c r="AI118" s="128" t="n">
        <f aca="false">$D118*Q118</f>
        <v>0</v>
      </c>
      <c r="AJ118" s="128" t="n">
        <f aca="false">$D118*R118</f>
        <v>0</v>
      </c>
      <c r="AK118" s="128" t="n">
        <f aca="false">$D118*S118</f>
        <v>0</v>
      </c>
      <c r="AL118" s="128" t="n">
        <f aca="false">$D118*T118</f>
        <v>0</v>
      </c>
      <c r="AN118" s="129" t="n">
        <f aca="false">SUM(W118:AL118)/4</f>
        <v>125.660389562529</v>
      </c>
      <c r="AO118" s="130" t="n">
        <f aca="false">D118</f>
        <v>95.6999969482422</v>
      </c>
    </row>
    <row r="119" customFormat="false" ht="16.5" hidden="false" customHeight="false" outlineLevel="0" collapsed="false">
      <c r="B119" s="116" t="n">
        <f aca="false">MONTH(C119)</f>
        <v>8</v>
      </c>
      <c r="C119" s="125" t="n">
        <f aca="false">PJM_01212000!A103</f>
        <v>38565</v>
      </c>
      <c r="D119" s="126" t="n">
        <f aca="false">PJM_01212000!C103</f>
        <v>82.6999969482422</v>
      </c>
      <c r="E119" s="127" t="n">
        <f aca="false">VLOOKUP($B119,$C$6:$Z$17,E$22+1)</f>
        <v>0</v>
      </c>
      <c r="F119" s="127" t="n">
        <f aca="false">VLOOKUP($B119,$C$6:$Z$17,F$22+1)</f>
        <v>0</v>
      </c>
      <c r="G119" s="127" t="n">
        <f aca="false">VLOOKUP($B119,$C$6:$Z$17,G$22+1)</f>
        <v>0</v>
      </c>
      <c r="H119" s="127" t="n">
        <f aca="false">VLOOKUP($B119,$C$6:$Z$17,H$22+1)</f>
        <v>0</v>
      </c>
      <c r="I119" s="127" t="n">
        <f aca="false">VLOOKUP($B119,$C$6:$Z$17,I$22+1)</f>
        <v>0</v>
      </c>
      <c r="J119" s="127" t="n">
        <f aca="false">VLOOKUP($B119,$C$6:$Z$17,J$22+1)</f>
        <v>0</v>
      </c>
      <c r="K119" s="127" t="n">
        <f aca="false">VLOOKUP($B119,$C$6:$Z$17,K$22+1)</f>
        <v>1.19072909190695</v>
      </c>
      <c r="L119" s="127" t="n">
        <f aca="false">VLOOKUP($B119,$C$6:$Z$17,L$22+1)</f>
        <v>1.26057331025457</v>
      </c>
      <c r="M119" s="127" t="n">
        <f aca="false">VLOOKUP($B119,$C$6:$Z$17,M$22+1)</f>
        <v>1.24301093426774</v>
      </c>
      <c r="N119" s="127" t="n">
        <f aca="false">VLOOKUP($B119,$C$6:$Z$17,N$22+1)</f>
        <v>1.21504622788872</v>
      </c>
      <c r="O119" s="127" t="n">
        <f aca="false">VLOOKUP($B119,$C$6:$Z$17,O$22+1)</f>
        <v>0</v>
      </c>
      <c r="P119" s="127" t="n">
        <f aca="false">VLOOKUP($B119,$C$6:$Z$17,P$22+1)</f>
        <v>0</v>
      </c>
      <c r="Q119" s="127" t="n">
        <f aca="false">VLOOKUP($B119,$C$6:$Z$17,Q$22+1)</f>
        <v>0</v>
      </c>
      <c r="R119" s="127" t="n">
        <f aca="false">VLOOKUP($B119,$C$6:$Z$17,R$22+1)</f>
        <v>0</v>
      </c>
      <c r="S119" s="127" t="n">
        <f aca="false">VLOOKUP($B119,$C$6:$Z$17,S$22+1)</f>
        <v>0</v>
      </c>
      <c r="T119" s="127" t="n">
        <f aca="false">VLOOKUP($B119,$C$6:$Z$17,T$22+1)</f>
        <v>0</v>
      </c>
      <c r="U119" s="127" t="n">
        <f aca="false">VLOOKUP($B119,$C$6:$AB$17,T$22+3)-SUM(E119:T119)</f>
        <v>0</v>
      </c>
      <c r="W119" s="128" t="n">
        <f aca="false">$D119*E119</f>
        <v>0</v>
      </c>
      <c r="X119" s="128" t="n">
        <f aca="false">$D119*F119</f>
        <v>0</v>
      </c>
      <c r="Y119" s="128" t="n">
        <f aca="false">$D119*G119</f>
        <v>0</v>
      </c>
      <c r="Z119" s="128" t="n">
        <f aca="false">$D119*H119</f>
        <v>0</v>
      </c>
      <c r="AA119" s="128" t="n">
        <f aca="false">$D119*I119</f>
        <v>0</v>
      </c>
      <c r="AB119" s="128" t="n">
        <f aca="false">$D119*J119</f>
        <v>0</v>
      </c>
      <c r="AC119" s="128" t="n">
        <f aca="false">$D119*K119</f>
        <v>98.4732922668882</v>
      </c>
      <c r="AD119" s="128" t="n">
        <f aca="false">$D119*L119</f>
        <v>104.249408911089</v>
      </c>
      <c r="AE119" s="128" t="n">
        <f aca="false">$D119*M119</f>
        <v>102.797000470574</v>
      </c>
      <c r="AF119" s="128" t="n">
        <f aca="false">$D119*N119</f>
        <v>100.48431933837</v>
      </c>
      <c r="AG119" s="128" t="n">
        <f aca="false">$D119*O119</f>
        <v>0</v>
      </c>
      <c r="AH119" s="128" t="n">
        <f aca="false">$D119*P119</f>
        <v>0</v>
      </c>
      <c r="AI119" s="128" t="n">
        <f aca="false">$D119*Q119</f>
        <v>0</v>
      </c>
      <c r="AJ119" s="128" t="n">
        <f aca="false">$D119*R119</f>
        <v>0</v>
      </c>
      <c r="AK119" s="128" t="n">
        <f aca="false">$D119*S119</f>
        <v>0</v>
      </c>
      <c r="AL119" s="128" t="n">
        <f aca="false">$D119*T119</f>
        <v>0</v>
      </c>
      <c r="AN119" s="129" t="n">
        <f aca="false">SUM(W119:AL119)/4</f>
        <v>101.50100524673</v>
      </c>
      <c r="AO119" s="130" t="n">
        <f aca="false">D119</f>
        <v>82.6999969482422</v>
      </c>
    </row>
    <row r="120" customFormat="false" ht="16.5" hidden="false" customHeight="false" outlineLevel="0" collapsed="false">
      <c r="B120" s="116" t="n">
        <f aca="false">MONTH(C120)</f>
        <v>9</v>
      </c>
      <c r="C120" s="125" t="n">
        <f aca="false">PJM_01212000!A104</f>
        <v>38596</v>
      </c>
      <c r="D120" s="126" t="n">
        <f aca="false">PJM_01212000!C104</f>
        <v>33.9249984741211</v>
      </c>
      <c r="E120" s="127" t="n">
        <f aca="false">VLOOKUP($B120,$C$6:$Z$17,E$22+1)</f>
        <v>0</v>
      </c>
      <c r="F120" s="127" t="n">
        <f aca="false">VLOOKUP($B120,$C$6:$Z$17,F$22+1)</f>
        <v>0</v>
      </c>
      <c r="G120" s="127" t="n">
        <f aca="false">VLOOKUP($B120,$C$6:$Z$17,G$22+1)</f>
        <v>0</v>
      </c>
      <c r="H120" s="127" t="n">
        <f aca="false">VLOOKUP($B120,$C$6:$Z$17,H$22+1)</f>
        <v>0</v>
      </c>
      <c r="I120" s="127" t="n">
        <f aca="false">VLOOKUP($B120,$C$6:$Z$17,I$22+1)</f>
        <v>0</v>
      </c>
      <c r="J120" s="127" t="n">
        <f aca="false">VLOOKUP($B120,$C$6:$Z$17,J$22+1)</f>
        <v>0</v>
      </c>
      <c r="K120" s="127" t="n">
        <f aca="false">VLOOKUP($B120,$C$6:$Z$17,K$22+1)</f>
        <v>0</v>
      </c>
      <c r="L120" s="127" t="n">
        <f aca="false">VLOOKUP($B120,$C$6:$Z$17,L$22+1)</f>
        <v>0</v>
      </c>
      <c r="M120" s="127" t="n">
        <f aca="false">VLOOKUP($B120,$C$6:$Z$17,M$22+1)</f>
        <v>0</v>
      </c>
      <c r="N120" s="127" t="n">
        <f aca="false">VLOOKUP($B120,$C$6:$Z$17,N$22+1)</f>
        <v>1.13452840898687</v>
      </c>
      <c r="O120" s="127" t="n">
        <f aca="false">VLOOKUP($B120,$C$6:$Z$17,O$22+1)</f>
        <v>1.1066962078626</v>
      </c>
      <c r="P120" s="127" t="n">
        <f aca="false">VLOOKUP($B120,$C$6:$Z$17,P$22+1)</f>
        <v>0</v>
      </c>
      <c r="Q120" s="127" t="n">
        <f aca="false">VLOOKUP($B120,$C$6:$Z$17,Q$22+1)</f>
        <v>1.18462637101057</v>
      </c>
      <c r="R120" s="127" t="n">
        <f aca="false">VLOOKUP($B120,$C$6:$Z$17,R$22+1)</f>
        <v>1.1944408840386</v>
      </c>
      <c r="S120" s="127" t="n">
        <f aca="false">VLOOKUP($B120,$C$6:$Z$17,S$22+1)</f>
        <v>0</v>
      </c>
      <c r="T120" s="127" t="n">
        <f aca="false">VLOOKUP($B120,$C$6:$Z$17,T$22+1)</f>
        <v>0</v>
      </c>
      <c r="U120" s="127" t="n">
        <f aca="false">VLOOKUP($B120,$C$6:$AB$17,T$22+3)-SUM(E120:T120)</f>
        <v>0</v>
      </c>
      <c r="W120" s="128" t="n">
        <f aca="false">$D120*E120</f>
        <v>0</v>
      </c>
      <c r="X120" s="128" t="n">
        <f aca="false">$D120*F120</f>
        <v>0</v>
      </c>
      <c r="Y120" s="128" t="n">
        <f aca="false">$D120*G120</f>
        <v>0</v>
      </c>
      <c r="Z120" s="128" t="n">
        <f aca="false">$D120*H120</f>
        <v>0</v>
      </c>
      <c r="AA120" s="128" t="n">
        <f aca="false">$D120*I120</f>
        <v>0</v>
      </c>
      <c r="AB120" s="128" t="n">
        <f aca="false">$D120*J120</f>
        <v>0</v>
      </c>
      <c r="AC120" s="128" t="n">
        <f aca="false">$D120*K120</f>
        <v>0</v>
      </c>
      <c r="AD120" s="128" t="n">
        <f aca="false">$D120*L120</f>
        <v>0</v>
      </c>
      <c r="AE120" s="128" t="n">
        <f aca="false">$D120*M120</f>
        <v>0</v>
      </c>
      <c r="AF120" s="128" t="n">
        <f aca="false">$D120*N120</f>
        <v>38.4888745437267</v>
      </c>
      <c r="AG120" s="128" t="n">
        <f aca="false">$D120*O120</f>
        <v>37.5446671630542</v>
      </c>
      <c r="AH120" s="128" t="n">
        <f aca="false">$D120*P120</f>
        <v>0</v>
      </c>
      <c r="AI120" s="128" t="n">
        <f aca="false">$D120*Q120</f>
        <v>40.1884478289371</v>
      </c>
      <c r="AJ120" s="128" t="n">
        <f aca="false">$D120*R120</f>
        <v>40.5214051684374</v>
      </c>
      <c r="AK120" s="128" t="n">
        <f aca="false">$D120*S120</f>
        <v>0</v>
      </c>
      <c r="AL120" s="128" t="n">
        <f aca="false">$D120*T120</f>
        <v>0</v>
      </c>
      <c r="AN120" s="129" t="n">
        <f aca="false">SUM(W120:AL120)/4</f>
        <v>39.1858486760388</v>
      </c>
      <c r="AO120" s="130" t="n">
        <f aca="false">D120</f>
        <v>33.9249984741211</v>
      </c>
    </row>
    <row r="121" customFormat="false" ht="16.5" hidden="false" customHeight="false" outlineLevel="0" collapsed="false">
      <c r="B121" s="116" t="n">
        <f aca="false">MONTH(C121)</f>
        <v>10</v>
      </c>
      <c r="C121" s="125" t="n">
        <f aca="false">PJM_01212000!A105</f>
        <v>38626</v>
      </c>
      <c r="D121" s="126" t="n">
        <f aca="false">PJM_01212000!C105</f>
        <v>27.5750003814697</v>
      </c>
      <c r="E121" s="127" t="n">
        <f aca="false">VLOOKUP($B121,$C$6:$Z$17,E$22+1)</f>
        <v>0</v>
      </c>
      <c r="F121" s="127" t="n">
        <f aca="false">VLOOKUP($B121,$C$6:$Z$17,F$22+1)</f>
        <v>1.1326</v>
      </c>
      <c r="G121" s="127" t="n">
        <f aca="false">VLOOKUP($B121,$C$6:$Z$17,G$22+1)</f>
        <v>0</v>
      </c>
      <c r="H121" s="127" t="n">
        <f aca="false">VLOOKUP($B121,$C$6:$Z$17,H$22+1)</f>
        <v>0</v>
      </c>
      <c r="I121" s="127" t="n">
        <f aca="false">VLOOKUP($B121,$C$6:$Z$17,I$22+1)</f>
        <v>0</v>
      </c>
      <c r="J121" s="127" t="n">
        <f aca="false">VLOOKUP($B121,$C$6:$Z$17,J$22+1)</f>
        <v>0</v>
      </c>
      <c r="K121" s="127" t="n">
        <f aca="false">VLOOKUP($B121,$C$6:$Z$17,K$22+1)</f>
        <v>0</v>
      </c>
      <c r="L121" s="127" t="n">
        <f aca="false">VLOOKUP($B121,$C$6:$Z$17,L$22+1)</f>
        <v>0</v>
      </c>
      <c r="M121" s="127" t="n">
        <f aca="false">VLOOKUP($B121,$C$6:$Z$17,M$22+1)</f>
        <v>0</v>
      </c>
      <c r="N121" s="127" t="n">
        <f aca="false">VLOOKUP($B121,$C$6:$Z$17,N$22+1)</f>
        <v>0</v>
      </c>
      <c r="O121" s="127" t="n">
        <f aca="false">VLOOKUP($B121,$C$6:$Z$17,O$22+1)</f>
        <v>1.2001</v>
      </c>
      <c r="P121" s="127" t="n">
        <f aca="false">VLOOKUP($B121,$C$6:$Z$17,P$22+1)</f>
        <v>1.2095</v>
      </c>
      <c r="Q121" s="127" t="n">
        <f aca="false">VLOOKUP($B121,$C$6:$Z$17,Q$22+1)</f>
        <v>1.1567</v>
      </c>
      <c r="R121" s="127" t="n">
        <f aca="false">VLOOKUP($B121,$C$6:$Z$17,R$22+1)</f>
        <v>0</v>
      </c>
      <c r="S121" s="127" t="n">
        <f aca="false">VLOOKUP($B121,$C$6:$Z$17,S$22+1)</f>
        <v>0</v>
      </c>
      <c r="T121" s="127" t="n">
        <f aca="false">VLOOKUP($B121,$C$6:$Z$17,T$22+1)</f>
        <v>0</v>
      </c>
      <c r="U121" s="127" t="n">
        <f aca="false">VLOOKUP($B121,$C$6:$AB$17,T$22+3)-SUM(E121:T121)</f>
        <v>0</v>
      </c>
      <c r="W121" s="128" t="n">
        <f aca="false">$D121*E121</f>
        <v>0</v>
      </c>
      <c r="X121" s="128" t="n">
        <f aca="false">$D121*F121</f>
        <v>31.2314454320526</v>
      </c>
      <c r="Y121" s="128" t="n">
        <f aca="false">$D121*G121</f>
        <v>0</v>
      </c>
      <c r="Z121" s="128" t="n">
        <f aca="false">$D121*H121</f>
        <v>0</v>
      </c>
      <c r="AA121" s="128" t="n">
        <f aca="false">$D121*I121</f>
        <v>0</v>
      </c>
      <c r="AB121" s="128" t="n">
        <f aca="false">$D121*J121</f>
        <v>0</v>
      </c>
      <c r="AC121" s="128" t="n">
        <f aca="false">$D121*K121</f>
        <v>0</v>
      </c>
      <c r="AD121" s="128" t="n">
        <f aca="false">$D121*L121</f>
        <v>0</v>
      </c>
      <c r="AE121" s="128" t="n">
        <f aca="false">$D121*M121</f>
        <v>0</v>
      </c>
      <c r="AF121" s="128" t="n">
        <f aca="false">$D121*N121</f>
        <v>0</v>
      </c>
      <c r="AG121" s="128" t="n">
        <f aca="false">$D121*O121</f>
        <v>33.0927579578018</v>
      </c>
      <c r="AH121" s="128" t="n">
        <f aca="false">$D121*P121</f>
        <v>33.3519629613876</v>
      </c>
      <c r="AI121" s="128" t="n">
        <f aca="false">$D121*Q121</f>
        <v>31.896002941246</v>
      </c>
      <c r="AJ121" s="128" t="n">
        <f aca="false">$D121*R121</f>
        <v>0</v>
      </c>
      <c r="AK121" s="128" t="n">
        <f aca="false">$D121*S121</f>
        <v>0</v>
      </c>
      <c r="AL121" s="128" t="n">
        <f aca="false">$D121*T121</f>
        <v>0</v>
      </c>
      <c r="AN121" s="129" t="n">
        <f aca="false">SUM(W121:AL121)/4</f>
        <v>32.393042323122</v>
      </c>
      <c r="AO121" s="130" t="n">
        <f aca="false">D121</f>
        <v>27.5750003814697</v>
      </c>
    </row>
    <row r="122" customFormat="false" ht="16.5" hidden="false" customHeight="false" outlineLevel="0" collapsed="false">
      <c r="B122" s="116" t="n">
        <f aca="false">MONTH(C122)</f>
        <v>11</v>
      </c>
      <c r="C122" s="125" t="n">
        <f aca="false">PJM_01212000!A106</f>
        <v>38657</v>
      </c>
      <c r="D122" s="126" t="n">
        <f aca="false">PJM_01212000!C106</f>
        <v>27.2474990844727</v>
      </c>
      <c r="E122" s="127" t="n">
        <f aca="false">VLOOKUP($B122,$C$6:$Z$17,E$22+1)</f>
        <v>0</v>
      </c>
      <c r="F122" s="127" t="n">
        <f aca="false">VLOOKUP($B122,$C$6:$Z$17,F$22+1)</f>
        <v>1.1426</v>
      </c>
      <c r="G122" s="127" t="n">
        <f aca="false">VLOOKUP($B122,$C$6:$Z$17,G$22+1)</f>
        <v>0</v>
      </c>
      <c r="H122" s="127" t="n">
        <f aca="false">VLOOKUP($B122,$C$6:$Z$17,H$22+1)</f>
        <v>0</v>
      </c>
      <c r="I122" s="127" t="n">
        <f aca="false">VLOOKUP($B122,$C$6:$Z$17,I$22+1)</f>
        <v>0</v>
      </c>
      <c r="J122" s="127" t="n">
        <f aca="false">VLOOKUP($B122,$C$6:$Z$17,J$22+1)</f>
        <v>0</v>
      </c>
      <c r="K122" s="127" t="n">
        <f aca="false">VLOOKUP($B122,$C$6:$Z$17,K$22+1)</f>
        <v>0</v>
      </c>
      <c r="L122" s="127" t="n">
        <f aca="false">VLOOKUP($B122,$C$6:$Z$17,L$22+1)</f>
        <v>0</v>
      </c>
      <c r="M122" s="127" t="n">
        <f aca="false">VLOOKUP($B122,$C$6:$Z$17,M$22+1)</f>
        <v>0</v>
      </c>
      <c r="N122" s="127" t="n">
        <f aca="false">VLOOKUP($B122,$C$6:$Z$17,N$22+1)</f>
        <v>0</v>
      </c>
      <c r="O122" s="127" t="n">
        <f aca="false">VLOOKUP($B122,$C$6:$Z$17,O$22+1)</f>
        <v>1.2171</v>
      </c>
      <c r="P122" s="127" t="n">
        <f aca="false">VLOOKUP($B122,$C$6:$Z$17,P$22+1)</f>
        <v>1.2269</v>
      </c>
      <c r="Q122" s="127" t="n">
        <f aca="false">VLOOKUP($B122,$C$6:$Z$17,Q$22+1)</f>
        <v>1.1767</v>
      </c>
      <c r="R122" s="127" t="n">
        <f aca="false">VLOOKUP($B122,$C$6:$Z$17,R$22+1)</f>
        <v>0</v>
      </c>
      <c r="S122" s="127" t="n">
        <f aca="false">VLOOKUP($B122,$C$6:$Z$17,S$22+1)</f>
        <v>0</v>
      </c>
      <c r="T122" s="127" t="n">
        <f aca="false">VLOOKUP($B122,$C$6:$Z$17,T$22+1)</f>
        <v>0</v>
      </c>
      <c r="U122" s="127" t="n">
        <f aca="false">VLOOKUP($B122,$C$6:$AB$17,T$22+3)-SUM(E122:T122)</f>
        <v>0</v>
      </c>
      <c r="W122" s="128" t="n">
        <f aca="false">$D122*E122</f>
        <v>0</v>
      </c>
      <c r="X122" s="128" t="n">
        <f aca="false">$D122*F122</f>
        <v>31.1329924539185</v>
      </c>
      <c r="Y122" s="128" t="n">
        <f aca="false">$D122*G122</f>
        <v>0</v>
      </c>
      <c r="Z122" s="128" t="n">
        <f aca="false">$D122*H122</f>
        <v>0</v>
      </c>
      <c r="AA122" s="128" t="n">
        <f aca="false">$D122*I122</f>
        <v>0</v>
      </c>
      <c r="AB122" s="128" t="n">
        <f aca="false">$D122*J122</f>
        <v>0</v>
      </c>
      <c r="AC122" s="128" t="n">
        <f aca="false">$D122*K122</f>
        <v>0</v>
      </c>
      <c r="AD122" s="128" t="n">
        <f aca="false">$D122*L122</f>
        <v>0</v>
      </c>
      <c r="AE122" s="128" t="n">
        <f aca="false">$D122*M122</f>
        <v>0</v>
      </c>
      <c r="AF122" s="128" t="n">
        <f aca="false">$D122*N122</f>
        <v>0</v>
      </c>
      <c r="AG122" s="128" t="n">
        <f aca="false">$D122*O122</f>
        <v>33.1629311357117</v>
      </c>
      <c r="AH122" s="128" t="n">
        <f aca="false">$D122*P122</f>
        <v>33.4299566267395</v>
      </c>
      <c r="AI122" s="128" t="n">
        <f aca="false">$D122*Q122</f>
        <v>32.062132172699</v>
      </c>
      <c r="AJ122" s="128" t="n">
        <f aca="false">$D122*R122</f>
        <v>0</v>
      </c>
      <c r="AK122" s="128" t="n">
        <f aca="false">$D122*S122</f>
        <v>0</v>
      </c>
      <c r="AL122" s="128" t="n">
        <f aca="false">$D122*T122</f>
        <v>0</v>
      </c>
      <c r="AN122" s="129" t="n">
        <f aca="false">SUM(W122:AL122)/4</f>
        <v>32.4470030972672</v>
      </c>
      <c r="AO122" s="130" t="n">
        <f aca="false">D122</f>
        <v>27.2474990844727</v>
      </c>
    </row>
    <row r="123" customFormat="false" ht="16.5" hidden="false" customHeight="false" outlineLevel="0" collapsed="false">
      <c r="B123" s="116" t="n">
        <f aca="false">MONTH(C123)</f>
        <v>12</v>
      </c>
      <c r="C123" s="125" t="n">
        <f aca="false">PJM_01212000!A107</f>
        <v>38687</v>
      </c>
      <c r="D123" s="126" t="n">
        <f aca="false">PJM_01212000!C107</f>
        <v>28.9999996185303</v>
      </c>
      <c r="E123" s="127" t="n">
        <f aca="false">VLOOKUP($B123,$C$6:$Z$17,E$22+1)</f>
        <v>0</v>
      </c>
      <c r="F123" s="127" t="n">
        <f aca="false">VLOOKUP($B123,$C$6:$Z$17,F$22+1)</f>
        <v>1.1638</v>
      </c>
      <c r="G123" s="127" t="n">
        <f aca="false">VLOOKUP($B123,$C$6:$Z$17,G$22+1)</f>
        <v>0</v>
      </c>
      <c r="H123" s="127" t="n">
        <f aca="false">VLOOKUP($B123,$C$6:$Z$17,H$22+1)</f>
        <v>0</v>
      </c>
      <c r="I123" s="127" t="n">
        <f aca="false">VLOOKUP($B123,$C$6:$Z$17,I$22+1)</f>
        <v>0</v>
      </c>
      <c r="J123" s="127" t="n">
        <f aca="false">VLOOKUP($B123,$C$6:$Z$17,J$22+1)</f>
        <v>0</v>
      </c>
      <c r="K123" s="127" t="n">
        <f aca="false">VLOOKUP($B123,$C$6:$Z$17,K$22+1)</f>
        <v>0</v>
      </c>
      <c r="L123" s="127" t="n">
        <f aca="false">VLOOKUP($B123,$C$6:$Z$17,L$22+1)</f>
        <v>0</v>
      </c>
      <c r="M123" s="127" t="n">
        <f aca="false">VLOOKUP($B123,$C$6:$Z$17,M$22+1)</f>
        <v>0</v>
      </c>
      <c r="N123" s="127" t="n">
        <f aca="false">VLOOKUP($B123,$C$6:$Z$17,N$22+1)</f>
        <v>0</v>
      </c>
      <c r="O123" s="127" t="n">
        <f aca="false">VLOOKUP($B123,$C$6:$Z$17,O$22+1)</f>
        <v>1.23965925286319</v>
      </c>
      <c r="P123" s="127" t="n">
        <f aca="false">VLOOKUP($B123,$C$6:$Z$17,P$22+1)</f>
        <v>1.2314</v>
      </c>
      <c r="Q123" s="127" t="n">
        <f aca="false">VLOOKUP($B123,$C$6:$Z$17,Q$22+1)</f>
        <v>1.18899630831453</v>
      </c>
      <c r="R123" s="127" t="n">
        <f aca="false">VLOOKUP($B123,$C$6:$Z$17,R$22+1)</f>
        <v>0</v>
      </c>
      <c r="S123" s="127" t="n">
        <f aca="false">VLOOKUP($B123,$C$6:$Z$17,S$22+1)</f>
        <v>0</v>
      </c>
      <c r="T123" s="127" t="n">
        <f aca="false">VLOOKUP($B123,$C$6:$Z$17,T$22+1)</f>
        <v>0</v>
      </c>
      <c r="U123" s="127" t="n">
        <f aca="false">VLOOKUP($B123,$C$6:$AB$17,T$22+3)-SUM(E123:T123)</f>
        <v>0</v>
      </c>
      <c r="W123" s="128" t="n">
        <f aca="false">$D123*E123</f>
        <v>0</v>
      </c>
      <c r="X123" s="128" t="n">
        <f aca="false">$D123*F123</f>
        <v>33.7501995560455</v>
      </c>
      <c r="Y123" s="128" t="n">
        <f aca="false">$D123*G123</f>
        <v>0</v>
      </c>
      <c r="Z123" s="128" t="n">
        <f aca="false">$D123*H123</f>
        <v>0</v>
      </c>
      <c r="AA123" s="128" t="n">
        <f aca="false">$D123*I123</f>
        <v>0</v>
      </c>
      <c r="AB123" s="128" t="n">
        <f aca="false">$D123*J123</f>
        <v>0</v>
      </c>
      <c r="AC123" s="128" t="n">
        <f aca="false">$D123*K123</f>
        <v>0</v>
      </c>
      <c r="AD123" s="128" t="n">
        <f aca="false">$D123*L123</f>
        <v>0</v>
      </c>
      <c r="AE123" s="128" t="n">
        <f aca="false">$D123*M123</f>
        <v>0</v>
      </c>
      <c r="AF123" s="128" t="n">
        <f aca="false">$D123*N123</f>
        <v>0</v>
      </c>
      <c r="AG123" s="128" t="n">
        <f aca="false">$D123*O123</f>
        <v>35.95011786014</v>
      </c>
      <c r="AH123" s="128" t="n">
        <f aca="false">$D123*P123</f>
        <v>35.7105995302582</v>
      </c>
      <c r="AI123" s="128" t="n">
        <f aca="false">$D123*Q123</f>
        <v>34.4808924875553</v>
      </c>
      <c r="AJ123" s="128" t="n">
        <f aca="false">$D123*R123</f>
        <v>0</v>
      </c>
      <c r="AK123" s="128" t="n">
        <f aca="false">$D123*S123</f>
        <v>0</v>
      </c>
      <c r="AL123" s="128" t="n">
        <f aca="false">$D123*T123</f>
        <v>0</v>
      </c>
      <c r="AN123" s="129" t="n">
        <f aca="false">SUM(W123:AL123)/4</f>
        <v>34.9729523584998</v>
      </c>
      <c r="AO123" s="130" t="n">
        <f aca="false">D123</f>
        <v>28.9999996185303</v>
      </c>
    </row>
    <row r="124" customFormat="false" ht="16.5" hidden="false" customHeight="false" outlineLevel="0" collapsed="false">
      <c r="B124" s="116" t="n">
        <f aca="false">MONTH(C124)</f>
        <v>1</v>
      </c>
      <c r="C124" s="125" t="n">
        <f aca="false">PJM_01212000!A108</f>
        <v>38718</v>
      </c>
      <c r="D124" s="126" t="n">
        <f aca="false">PJM_01212000!C108</f>
        <v>37.8249984741211</v>
      </c>
      <c r="E124" s="127" t="n">
        <f aca="false">VLOOKUP($B124,$C$6:$Z$17,E$22+1)</f>
        <v>0</v>
      </c>
      <c r="F124" s="127" t="n">
        <f aca="false">VLOOKUP($B124,$C$6:$Z$17,F$22+1)</f>
        <v>1.19981175661928</v>
      </c>
      <c r="G124" s="127" t="n">
        <f aca="false">VLOOKUP($B124,$C$6:$Z$17,G$22+1)</f>
        <v>1.19616001156207</v>
      </c>
      <c r="H124" s="127" t="n">
        <f aca="false">VLOOKUP($B124,$C$6:$Z$17,H$22+1)</f>
        <v>0</v>
      </c>
      <c r="I124" s="127" t="n">
        <f aca="false">VLOOKUP($B124,$C$6:$Z$17,I$22+1)</f>
        <v>0</v>
      </c>
      <c r="J124" s="127" t="n">
        <f aca="false">VLOOKUP($B124,$C$6:$Z$17,J$22+1)</f>
        <v>0</v>
      </c>
      <c r="K124" s="127" t="n">
        <f aca="false">VLOOKUP($B124,$C$6:$Z$17,K$22+1)</f>
        <v>0</v>
      </c>
      <c r="L124" s="127" t="n">
        <f aca="false">VLOOKUP($B124,$C$6:$Z$17,L$22+1)</f>
        <v>0</v>
      </c>
      <c r="M124" s="127" t="n">
        <f aca="false">VLOOKUP($B124,$C$6:$Z$17,M$22+1)</f>
        <v>0</v>
      </c>
      <c r="N124" s="127" t="n">
        <f aca="false">VLOOKUP($B124,$C$6:$Z$17,N$22+1)</f>
        <v>0</v>
      </c>
      <c r="O124" s="127" t="n">
        <f aca="false">VLOOKUP($B124,$C$6:$Z$17,O$22+1)</f>
        <v>0</v>
      </c>
      <c r="P124" s="127" t="n">
        <f aca="false">VLOOKUP($B124,$C$6:$Z$17,P$22+1)</f>
        <v>1.28189922894351</v>
      </c>
      <c r="Q124" s="127" t="n">
        <f aca="false">VLOOKUP($B124,$C$6:$Z$17,Q$22+1)</f>
        <v>1.227</v>
      </c>
      <c r="R124" s="127" t="n">
        <f aca="false">VLOOKUP($B124,$C$6:$Z$17,R$22+1)</f>
        <v>0</v>
      </c>
      <c r="S124" s="127" t="n">
        <f aca="false">VLOOKUP($B124,$C$6:$Z$17,S$22+1)</f>
        <v>0</v>
      </c>
      <c r="T124" s="127" t="n">
        <f aca="false">VLOOKUP($B124,$C$6:$Z$17,T$22+1)</f>
        <v>0</v>
      </c>
      <c r="U124" s="127" t="n">
        <f aca="false">VLOOKUP($B124,$C$6:$AB$17,T$22+3)-SUM(E124:T124)</f>
        <v>0</v>
      </c>
      <c r="W124" s="128" t="n">
        <f aca="false">$D124*E124</f>
        <v>0</v>
      </c>
      <c r="X124" s="128" t="n">
        <f aca="false">$D124*F124</f>
        <v>45.3828778633569</v>
      </c>
      <c r="Y124" s="128" t="n">
        <f aca="false">$D124*G124</f>
        <v>45.24475061214</v>
      </c>
      <c r="Z124" s="128" t="n">
        <f aca="false">$D124*H124</f>
        <v>0</v>
      </c>
      <c r="AA124" s="128" t="n">
        <f aca="false">$D124*I124</f>
        <v>0</v>
      </c>
      <c r="AB124" s="128" t="n">
        <f aca="false">$D124*J124</f>
        <v>0</v>
      </c>
      <c r="AC124" s="128" t="n">
        <f aca="false">$D124*K124</f>
        <v>0</v>
      </c>
      <c r="AD124" s="128" t="n">
        <f aca="false">$D124*L124</f>
        <v>0</v>
      </c>
      <c r="AE124" s="128" t="n">
        <f aca="false">$D124*M124</f>
        <v>0</v>
      </c>
      <c r="AF124" s="128" t="n">
        <f aca="false">$D124*N124</f>
        <v>0</v>
      </c>
      <c r="AG124" s="128" t="n">
        <f aca="false">$D124*O124</f>
        <v>0</v>
      </c>
      <c r="AH124" s="128" t="n">
        <f aca="false">$D124*P124</f>
        <v>48.4878363787653</v>
      </c>
      <c r="AI124" s="128" t="n">
        <f aca="false">$D124*Q124</f>
        <v>46.4112731277466</v>
      </c>
      <c r="AJ124" s="128" t="n">
        <f aca="false">$D124*R124</f>
        <v>0</v>
      </c>
      <c r="AK124" s="128" t="n">
        <f aca="false">$D124*S124</f>
        <v>0</v>
      </c>
      <c r="AL124" s="128" t="n">
        <f aca="false">$D124*T124</f>
        <v>0</v>
      </c>
      <c r="AN124" s="129" t="n">
        <f aca="false">SUM(W124:AL124)/4</f>
        <v>46.3816844955022</v>
      </c>
      <c r="AO124" s="130" t="n">
        <f aca="false">D124</f>
        <v>37.8249984741211</v>
      </c>
    </row>
    <row r="125" customFormat="false" ht="16.5" hidden="false" customHeight="false" outlineLevel="0" collapsed="false">
      <c r="B125" s="116" t="n">
        <f aca="false">MONTH(C125)</f>
        <v>2</v>
      </c>
      <c r="C125" s="125" t="n">
        <f aca="false">PJM_01212000!A109</f>
        <v>38749</v>
      </c>
      <c r="D125" s="126" t="n">
        <f aca="false">PJM_01212000!C109</f>
        <v>37.8249984741211</v>
      </c>
      <c r="E125" s="127" t="n">
        <f aca="false">VLOOKUP($B125,$C$6:$Z$17,E$22+1)</f>
        <v>0</v>
      </c>
      <c r="F125" s="127" t="n">
        <f aca="false">VLOOKUP($B125,$C$6:$Z$17,F$22+1)</f>
        <v>1.19981175661928</v>
      </c>
      <c r="G125" s="127" t="n">
        <f aca="false">VLOOKUP($B125,$C$6:$Z$17,G$22+1)</f>
        <v>1.19616001156207</v>
      </c>
      <c r="H125" s="127" t="n">
        <f aca="false">VLOOKUP($B125,$C$6:$Z$17,H$22+1)</f>
        <v>0</v>
      </c>
      <c r="I125" s="127" t="n">
        <f aca="false">VLOOKUP($B125,$C$6:$Z$17,I$22+1)</f>
        <v>0</v>
      </c>
      <c r="J125" s="127" t="n">
        <f aca="false">VLOOKUP($B125,$C$6:$Z$17,J$22+1)</f>
        <v>0</v>
      </c>
      <c r="K125" s="127" t="n">
        <f aca="false">VLOOKUP($B125,$C$6:$Z$17,K$22+1)</f>
        <v>0</v>
      </c>
      <c r="L125" s="127" t="n">
        <f aca="false">VLOOKUP($B125,$C$6:$Z$17,L$22+1)</f>
        <v>0</v>
      </c>
      <c r="M125" s="127" t="n">
        <f aca="false">VLOOKUP($B125,$C$6:$Z$17,M$22+1)</f>
        <v>0</v>
      </c>
      <c r="N125" s="127" t="n">
        <f aca="false">VLOOKUP($B125,$C$6:$Z$17,N$22+1)</f>
        <v>0</v>
      </c>
      <c r="O125" s="127" t="n">
        <f aca="false">VLOOKUP($B125,$C$6:$Z$17,O$22+1)</f>
        <v>0</v>
      </c>
      <c r="P125" s="127" t="n">
        <f aca="false">VLOOKUP($B125,$C$6:$Z$17,P$22+1)</f>
        <v>1.28189922894351</v>
      </c>
      <c r="Q125" s="127" t="n">
        <f aca="false">VLOOKUP($B125,$C$6:$Z$17,Q$22+1)</f>
        <v>1.227</v>
      </c>
      <c r="R125" s="127" t="n">
        <f aca="false">VLOOKUP($B125,$C$6:$Z$17,R$22+1)</f>
        <v>0</v>
      </c>
      <c r="S125" s="127" t="n">
        <f aca="false">VLOOKUP($B125,$C$6:$Z$17,S$22+1)</f>
        <v>0</v>
      </c>
      <c r="T125" s="127" t="n">
        <f aca="false">VLOOKUP($B125,$C$6:$Z$17,T$22+1)</f>
        <v>0</v>
      </c>
      <c r="U125" s="127" t="n">
        <f aca="false">VLOOKUP($B125,$C$6:$AB$17,T$22+3)-SUM(E125:T125)</f>
        <v>0</v>
      </c>
      <c r="W125" s="128" t="n">
        <f aca="false">$D125*E125</f>
        <v>0</v>
      </c>
      <c r="X125" s="128" t="n">
        <f aca="false">$D125*F125</f>
        <v>45.3828778633569</v>
      </c>
      <c r="Y125" s="128" t="n">
        <f aca="false">$D125*G125</f>
        <v>45.24475061214</v>
      </c>
      <c r="Z125" s="128" t="n">
        <f aca="false">$D125*H125</f>
        <v>0</v>
      </c>
      <c r="AA125" s="128" t="n">
        <f aca="false">$D125*I125</f>
        <v>0</v>
      </c>
      <c r="AB125" s="128" t="n">
        <f aca="false">$D125*J125</f>
        <v>0</v>
      </c>
      <c r="AC125" s="128" t="n">
        <f aca="false">$D125*K125</f>
        <v>0</v>
      </c>
      <c r="AD125" s="128" t="n">
        <f aca="false">$D125*L125</f>
        <v>0</v>
      </c>
      <c r="AE125" s="128" t="n">
        <f aca="false">$D125*M125</f>
        <v>0</v>
      </c>
      <c r="AF125" s="128" t="n">
        <f aca="false">$D125*N125</f>
        <v>0</v>
      </c>
      <c r="AG125" s="128" t="n">
        <f aca="false">$D125*O125</f>
        <v>0</v>
      </c>
      <c r="AH125" s="128" t="n">
        <f aca="false">$D125*P125</f>
        <v>48.4878363787653</v>
      </c>
      <c r="AI125" s="128" t="n">
        <f aca="false">$D125*Q125</f>
        <v>46.4112731277466</v>
      </c>
      <c r="AJ125" s="128" t="n">
        <f aca="false">$D125*R125</f>
        <v>0</v>
      </c>
      <c r="AK125" s="128" t="n">
        <f aca="false">$D125*S125</f>
        <v>0</v>
      </c>
      <c r="AL125" s="128" t="n">
        <f aca="false">$D125*T125</f>
        <v>0</v>
      </c>
      <c r="AN125" s="129" t="n">
        <f aca="false">SUM(W125:AL125)/4</f>
        <v>46.3816844955022</v>
      </c>
      <c r="AO125" s="130" t="n">
        <f aca="false">D125</f>
        <v>37.8249984741211</v>
      </c>
    </row>
    <row r="126" customFormat="false" ht="16.5" hidden="false" customHeight="false" outlineLevel="0" collapsed="false">
      <c r="B126" s="116" t="n">
        <f aca="false">MONTH(C126)</f>
        <v>3</v>
      </c>
      <c r="C126" s="125" t="n">
        <f aca="false">PJM_01212000!A110</f>
        <v>38777</v>
      </c>
      <c r="D126" s="126" t="n">
        <f aca="false">PJM_01212000!C110</f>
        <v>27.5500007629395</v>
      </c>
      <c r="E126" s="127" t="n">
        <f aca="false">VLOOKUP($B126,$C$6:$Z$17,E$22+1)</f>
        <v>0</v>
      </c>
      <c r="F126" s="127" t="n">
        <f aca="false">VLOOKUP($B126,$C$6:$Z$17,F$22+1)</f>
        <v>1.1898</v>
      </c>
      <c r="G126" s="127" t="n">
        <f aca="false">VLOOKUP($B126,$C$6:$Z$17,G$22+1)</f>
        <v>1.1862</v>
      </c>
      <c r="H126" s="127" t="n">
        <f aca="false">VLOOKUP($B126,$C$6:$Z$17,H$22+1)</f>
        <v>0</v>
      </c>
      <c r="I126" s="127" t="n">
        <f aca="false">VLOOKUP($B126,$C$6:$Z$17,I$22+1)</f>
        <v>0</v>
      </c>
      <c r="J126" s="127" t="n">
        <f aca="false">VLOOKUP($B126,$C$6:$Z$17,J$22+1)</f>
        <v>0</v>
      </c>
      <c r="K126" s="127" t="n">
        <f aca="false">VLOOKUP($B126,$C$6:$Z$17,K$22+1)</f>
        <v>0</v>
      </c>
      <c r="L126" s="127" t="n">
        <f aca="false">VLOOKUP($B126,$C$6:$Z$17,L$22+1)</f>
        <v>0</v>
      </c>
      <c r="M126" s="127" t="n">
        <f aca="false">VLOOKUP($B126,$C$6:$Z$17,M$22+1)</f>
        <v>0</v>
      </c>
      <c r="N126" s="127" t="n">
        <f aca="false">VLOOKUP($B126,$C$6:$Z$17,N$22+1)</f>
        <v>0</v>
      </c>
      <c r="O126" s="127" t="n">
        <f aca="false">VLOOKUP($B126,$C$6:$Z$17,O$22+1)</f>
        <v>0</v>
      </c>
      <c r="P126" s="127" t="n">
        <f aca="false">VLOOKUP($B126,$C$6:$Z$17,P$22+1)</f>
        <v>1.2719</v>
      </c>
      <c r="Q126" s="127" t="n">
        <f aca="false">VLOOKUP($B126,$C$6:$Z$17,Q$22+1)</f>
        <v>1.217</v>
      </c>
      <c r="R126" s="127" t="n">
        <f aca="false">VLOOKUP($B126,$C$6:$Z$17,R$22+1)</f>
        <v>0</v>
      </c>
      <c r="S126" s="127" t="n">
        <f aca="false">VLOOKUP($B126,$C$6:$Z$17,S$22+1)</f>
        <v>0</v>
      </c>
      <c r="T126" s="127" t="n">
        <f aca="false">VLOOKUP($B126,$C$6:$Z$17,T$22+1)</f>
        <v>0</v>
      </c>
      <c r="U126" s="127" t="n">
        <f aca="false">VLOOKUP($B126,$C$6:$AB$17,T$22+3)-SUM(E126:T126)</f>
        <v>0</v>
      </c>
      <c r="W126" s="128" t="n">
        <f aca="false">$D126*E126</f>
        <v>0</v>
      </c>
      <c r="X126" s="128" t="n">
        <f aca="false">$D126*F126</f>
        <v>32.7789909077454</v>
      </c>
      <c r="Y126" s="128" t="n">
        <f aca="false">$D126*G126</f>
        <v>32.6798109049988</v>
      </c>
      <c r="Z126" s="128" t="n">
        <f aca="false">$D126*H126</f>
        <v>0</v>
      </c>
      <c r="AA126" s="128" t="n">
        <f aca="false">$D126*I126</f>
        <v>0</v>
      </c>
      <c r="AB126" s="128" t="n">
        <f aca="false">$D126*J126</f>
        <v>0</v>
      </c>
      <c r="AC126" s="128" t="n">
        <f aca="false">$D126*K126</f>
        <v>0</v>
      </c>
      <c r="AD126" s="128" t="n">
        <f aca="false">$D126*L126</f>
        <v>0</v>
      </c>
      <c r="AE126" s="128" t="n">
        <f aca="false">$D126*M126</f>
        <v>0</v>
      </c>
      <c r="AF126" s="128" t="n">
        <f aca="false">$D126*N126</f>
        <v>0</v>
      </c>
      <c r="AG126" s="128" t="n">
        <f aca="false">$D126*O126</f>
        <v>0</v>
      </c>
      <c r="AH126" s="128" t="n">
        <f aca="false">$D126*P126</f>
        <v>35.0408459703827</v>
      </c>
      <c r="AI126" s="128" t="n">
        <f aca="false">$D126*Q126</f>
        <v>33.5283509284973</v>
      </c>
      <c r="AJ126" s="128" t="n">
        <f aca="false">$D126*R126</f>
        <v>0</v>
      </c>
      <c r="AK126" s="128" t="n">
        <f aca="false">$D126*S126</f>
        <v>0</v>
      </c>
      <c r="AL126" s="128" t="n">
        <f aca="false">$D126*T126</f>
        <v>0</v>
      </c>
      <c r="AN126" s="129" t="n">
        <f aca="false">SUM(W126:AL126)/4</f>
        <v>33.506999677906</v>
      </c>
      <c r="AO126" s="130" t="n">
        <f aca="false">D126</f>
        <v>27.5500007629395</v>
      </c>
    </row>
    <row r="127" customFormat="false" ht="16.5" hidden="false" customHeight="false" outlineLevel="0" collapsed="false">
      <c r="B127" s="116" t="n">
        <f aca="false">MONTH(C127)</f>
        <v>4</v>
      </c>
      <c r="C127" s="125" t="n">
        <f aca="false">PJM_01212000!A111</f>
        <v>38808</v>
      </c>
      <c r="D127" s="126" t="n">
        <f aca="false">PJM_01212000!C111</f>
        <v>27.3250007629395</v>
      </c>
      <c r="E127" s="127" t="n">
        <f aca="false">VLOOKUP($B127,$C$6:$Z$17,E$22+1)</f>
        <v>1.1232726508202</v>
      </c>
      <c r="F127" s="127" t="n">
        <f aca="false">VLOOKUP($B127,$C$6:$Z$17,F$22+1)</f>
        <v>1.14131544612562</v>
      </c>
      <c r="G127" s="127" t="n">
        <f aca="false">VLOOKUP($B127,$C$6:$Z$17,G$22+1)</f>
        <v>0</v>
      </c>
      <c r="H127" s="127" t="n">
        <f aca="false">VLOOKUP($B127,$C$6:$Z$17,H$22+1)</f>
        <v>0</v>
      </c>
      <c r="I127" s="127" t="n">
        <f aca="false">VLOOKUP($B127,$C$6:$Z$17,I$22+1)</f>
        <v>1.11852454679246</v>
      </c>
      <c r="J127" s="127" t="n">
        <f aca="false">VLOOKUP($B127,$C$6:$Z$17,J$22+1)</f>
        <v>0</v>
      </c>
      <c r="K127" s="127" t="n">
        <f aca="false">VLOOKUP($B127,$C$6:$Z$17,K$22+1)</f>
        <v>0</v>
      </c>
      <c r="L127" s="127" t="n">
        <f aca="false">VLOOKUP($B127,$C$6:$Z$17,L$22+1)</f>
        <v>0</v>
      </c>
      <c r="M127" s="127" t="n">
        <f aca="false">VLOOKUP($B127,$C$6:$Z$17,M$22+1)</f>
        <v>0</v>
      </c>
      <c r="N127" s="127" t="n">
        <f aca="false">VLOOKUP($B127,$C$6:$Z$17,N$22+1)</f>
        <v>0</v>
      </c>
      <c r="O127" s="127" t="n">
        <f aca="false">VLOOKUP($B127,$C$6:$Z$17,O$22+1)</f>
        <v>0</v>
      </c>
      <c r="P127" s="127" t="n">
        <f aca="false">VLOOKUP($B127,$C$6:$Z$17,P$22+1)</f>
        <v>0</v>
      </c>
      <c r="Q127" s="127" t="n">
        <f aca="false">VLOOKUP($B127,$C$6:$Z$17,Q$22+1)</f>
        <v>0</v>
      </c>
      <c r="R127" s="127" t="n">
        <f aca="false">VLOOKUP($B127,$C$6:$Z$17,R$22+1)</f>
        <v>1.15433651784915</v>
      </c>
      <c r="S127" s="127" t="n">
        <f aca="false">VLOOKUP($B127,$C$6:$Z$17,S$22+1)</f>
        <v>0</v>
      </c>
      <c r="T127" s="127" t="n">
        <f aca="false">VLOOKUP($B127,$C$6:$Z$17,T$22+1)</f>
        <v>0</v>
      </c>
      <c r="U127" s="127" t="n">
        <f aca="false">VLOOKUP($B127,$C$6:$AB$17,T$22+3)-SUM(E127:T127)</f>
        <v>0</v>
      </c>
      <c r="W127" s="128" t="n">
        <f aca="false">$D127*E127</f>
        <v>30.6934260406511</v>
      </c>
      <c r="X127" s="128" t="n">
        <f aca="false">$D127*F127</f>
        <v>31.1864454361371</v>
      </c>
      <c r="Y127" s="128" t="n">
        <f aca="false">$D127*G127</f>
        <v>0</v>
      </c>
      <c r="Z127" s="128" t="n">
        <f aca="false">$D127*H127</f>
        <v>0</v>
      </c>
      <c r="AA127" s="128" t="n">
        <f aca="false">$D127*I127</f>
        <v>30.5636840944706</v>
      </c>
      <c r="AB127" s="128" t="n">
        <f aca="false">$D127*J127</f>
        <v>0</v>
      </c>
      <c r="AC127" s="128" t="n">
        <f aca="false">$D127*K127</f>
        <v>0</v>
      </c>
      <c r="AD127" s="128" t="n">
        <f aca="false">$D127*L127</f>
        <v>0</v>
      </c>
      <c r="AE127" s="128" t="n">
        <f aca="false">$D127*M127</f>
        <v>0</v>
      </c>
      <c r="AF127" s="128" t="n">
        <f aca="false">$D127*N127</f>
        <v>0</v>
      </c>
      <c r="AG127" s="128" t="n">
        <f aca="false">$D127*O127</f>
        <v>0</v>
      </c>
      <c r="AH127" s="128" t="n">
        <f aca="false">$D127*P127</f>
        <v>0</v>
      </c>
      <c r="AI127" s="128" t="n">
        <f aca="false">$D127*Q127</f>
        <v>0</v>
      </c>
      <c r="AJ127" s="128" t="n">
        <f aca="false">$D127*R127</f>
        <v>31.5422462309169</v>
      </c>
      <c r="AK127" s="128" t="n">
        <f aca="false">$D127*S127</f>
        <v>0</v>
      </c>
      <c r="AL127" s="128" t="n">
        <f aca="false">$D127*T127</f>
        <v>0</v>
      </c>
      <c r="AN127" s="129" t="n">
        <f aca="false">SUM(W127:AL127)/4</f>
        <v>30.9964504505439</v>
      </c>
      <c r="AO127" s="130" t="n">
        <f aca="false">D127</f>
        <v>27.3250007629395</v>
      </c>
    </row>
    <row r="128" customFormat="false" ht="16.5" hidden="false" customHeight="false" outlineLevel="0" collapsed="false">
      <c r="B128" s="116" t="n">
        <f aca="false">MONTH(C128)</f>
        <v>5</v>
      </c>
      <c r="C128" s="125" t="n">
        <f aca="false">PJM_01212000!A112</f>
        <v>38838</v>
      </c>
      <c r="D128" s="126" t="n">
        <f aca="false">PJM_01212000!C112</f>
        <v>32.575</v>
      </c>
      <c r="E128" s="127" t="n">
        <f aca="false">VLOOKUP($B128,$C$6:$Z$17,E$22+1)</f>
        <v>0</v>
      </c>
      <c r="F128" s="127" t="n">
        <f aca="false">VLOOKUP($B128,$C$6:$Z$17,F$22+1)</f>
        <v>0</v>
      </c>
      <c r="G128" s="127" t="n">
        <f aca="false">VLOOKUP($B128,$C$6:$Z$17,G$22+1)</f>
        <v>1.06102662180267</v>
      </c>
      <c r="H128" s="127" t="n">
        <f aca="false">VLOOKUP($B128,$C$6:$Z$17,H$22+1)</f>
        <v>1.12549986193072</v>
      </c>
      <c r="I128" s="127" t="n">
        <f aca="false">VLOOKUP($B128,$C$6:$Z$17,I$22+1)</f>
        <v>1.11699070333514</v>
      </c>
      <c r="J128" s="127" t="n">
        <f aca="false">VLOOKUP($B128,$C$6:$Z$17,J$22+1)</f>
        <v>0</v>
      </c>
      <c r="K128" s="127" t="n">
        <f aca="false">VLOOKUP($B128,$C$6:$Z$17,K$22+1)</f>
        <v>0</v>
      </c>
      <c r="L128" s="127" t="n">
        <f aca="false">VLOOKUP($B128,$C$6:$Z$17,L$22+1)</f>
        <v>0</v>
      </c>
      <c r="M128" s="127" t="n">
        <f aca="false">VLOOKUP($B128,$C$6:$Z$17,M$22+1)</f>
        <v>0</v>
      </c>
      <c r="N128" s="127" t="n">
        <f aca="false">VLOOKUP($B128,$C$6:$Z$17,N$22+1)</f>
        <v>0</v>
      </c>
      <c r="O128" s="127" t="n">
        <f aca="false">VLOOKUP($B128,$C$6:$Z$17,O$22+1)</f>
        <v>0</v>
      </c>
      <c r="P128" s="127" t="n">
        <f aca="false">VLOOKUP($B128,$C$6:$Z$17,P$22+1)</f>
        <v>0</v>
      </c>
      <c r="Q128" s="127" t="n">
        <f aca="false">VLOOKUP($B128,$C$6:$Z$17,Q$22+1)</f>
        <v>0</v>
      </c>
      <c r="R128" s="127" t="n">
        <f aca="false">VLOOKUP($B128,$C$6:$Z$17,R$22+1)</f>
        <v>1.08769956124651</v>
      </c>
      <c r="S128" s="127" t="n">
        <f aca="false">VLOOKUP($B128,$C$6:$Z$17,S$22+1)</f>
        <v>0</v>
      </c>
      <c r="T128" s="127" t="n">
        <f aca="false">VLOOKUP($B128,$C$6:$Z$17,T$22+1)</f>
        <v>0</v>
      </c>
      <c r="U128" s="127" t="n">
        <f aca="false">VLOOKUP($B128,$C$6:$AB$17,T$22+3)-SUM(E128:T128)</f>
        <v>0</v>
      </c>
      <c r="W128" s="128" t="n">
        <f aca="false">$D128*E128</f>
        <v>0</v>
      </c>
      <c r="X128" s="128" t="n">
        <f aca="false">$D128*F128</f>
        <v>0</v>
      </c>
      <c r="Y128" s="128" t="n">
        <f aca="false">$D128*G128</f>
        <v>34.5629422052221</v>
      </c>
      <c r="Z128" s="128" t="n">
        <f aca="false">$D128*H128</f>
        <v>36.6631580023932</v>
      </c>
      <c r="AA128" s="128" t="n">
        <f aca="false">$D128*I128</f>
        <v>36.3859721611422</v>
      </c>
      <c r="AB128" s="128" t="n">
        <f aca="false">$D128*J128</f>
        <v>0</v>
      </c>
      <c r="AC128" s="128" t="n">
        <f aca="false">$D128*K128</f>
        <v>0</v>
      </c>
      <c r="AD128" s="128" t="n">
        <f aca="false">$D128*L128</f>
        <v>0</v>
      </c>
      <c r="AE128" s="128" t="n">
        <f aca="false">$D128*M128</f>
        <v>0</v>
      </c>
      <c r="AF128" s="128" t="n">
        <f aca="false">$D128*N128</f>
        <v>0</v>
      </c>
      <c r="AG128" s="128" t="n">
        <f aca="false">$D128*O128</f>
        <v>0</v>
      </c>
      <c r="AH128" s="128" t="n">
        <f aca="false">$D128*P128</f>
        <v>0</v>
      </c>
      <c r="AI128" s="128" t="n">
        <f aca="false">$D128*Q128</f>
        <v>0</v>
      </c>
      <c r="AJ128" s="128" t="n">
        <f aca="false">$D128*R128</f>
        <v>35.4318132076051</v>
      </c>
      <c r="AK128" s="128" t="n">
        <f aca="false">$D128*S128</f>
        <v>0</v>
      </c>
      <c r="AL128" s="128" t="n">
        <f aca="false">$D128*T128</f>
        <v>0</v>
      </c>
      <c r="AN128" s="129" t="n">
        <f aca="false">SUM(W128:AL128)/4</f>
        <v>35.7609713940906</v>
      </c>
      <c r="AO128" s="130" t="n">
        <f aca="false">D128</f>
        <v>32.575</v>
      </c>
    </row>
    <row r="129" customFormat="false" ht="16.5" hidden="false" customHeight="false" outlineLevel="0" collapsed="false">
      <c r="B129" s="116" t="n">
        <f aca="false">MONTH(C129)</f>
        <v>6</v>
      </c>
      <c r="C129" s="125" t="n">
        <f aca="false">PJM_01212000!A113</f>
        <v>38869</v>
      </c>
      <c r="D129" s="126" t="n">
        <f aca="false">PJM_01212000!C113</f>
        <v>57.3499984741211</v>
      </c>
      <c r="E129" s="127" t="n">
        <f aca="false">VLOOKUP($B129,$C$6:$Z$17,E$22+1)</f>
        <v>0</v>
      </c>
      <c r="F129" s="127" t="n">
        <f aca="false">VLOOKUP($B129,$C$6:$Z$17,F$22+1)</f>
        <v>0</v>
      </c>
      <c r="G129" s="127" t="n">
        <f aca="false">VLOOKUP($B129,$C$6:$Z$17,G$22+1)</f>
        <v>0</v>
      </c>
      <c r="H129" s="127" t="n">
        <f aca="false">VLOOKUP($B129,$C$6:$Z$17,H$22+1)</f>
        <v>0</v>
      </c>
      <c r="I129" s="127" t="n">
        <f aca="false">VLOOKUP($B129,$C$6:$Z$17,I$22+1)</f>
        <v>0</v>
      </c>
      <c r="J129" s="127" t="n">
        <f aca="false">VLOOKUP($B129,$C$6:$Z$17,J$22+1)</f>
        <v>0</v>
      </c>
      <c r="K129" s="127" t="n">
        <f aca="false">VLOOKUP($B129,$C$6:$Z$17,K$22+1)</f>
        <v>1.22092018621818</v>
      </c>
      <c r="L129" s="127" t="n">
        <f aca="false">VLOOKUP($B129,$C$6:$Z$17,L$22+1)</f>
        <v>1.23031497714214</v>
      </c>
      <c r="M129" s="127" t="n">
        <f aca="false">VLOOKUP($B129,$C$6:$Z$17,M$22+1)</f>
        <v>1.23232814662584</v>
      </c>
      <c r="N129" s="127" t="n">
        <f aca="false">VLOOKUP($B129,$C$6:$Z$17,N$22+1)</f>
        <v>1.25232563016399</v>
      </c>
      <c r="O129" s="127" t="n">
        <f aca="false">VLOOKUP($B129,$C$6:$Z$17,O$22+1)</f>
        <v>0</v>
      </c>
      <c r="P129" s="127" t="n">
        <f aca="false">VLOOKUP($B129,$C$6:$Z$17,P$22+1)</f>
        <v>0</v>
      </c>
      <c r="Q129" s="127" t="n">
        <f aca="false">VLOOKUP($B129,$C$6:$Z$17,Q$22+1)</f>
        <v>0</v>
      </c>
      <c r="R129" s="127" t="n">
        <f aca="false">VLOOKUP($B129,$C$6:$Z$17,R$22+1)</f>
        <v>0</v>
      </c>
      <c r="S129" s="127" t="n">
        <f aca="false">VLOOKUP($B129,$C$6:$Z$17,S$22+1)</f>
        <v>0</v>
      </c>
      <c r="T129" s="127" t="n">
        <f aca="false">VLOOKUP($B129,$C$6:$Z$17,T$22+1)</f>
        <v>0</v>
      </c>
      <c r="U129" s="127" t="n">
        <f aca="false">VLOOKUP($B129,$C$6:$AB$17,T$22+3)-SUM(E129:T129)</f>
        <v>0</v>
      </c>
      <c r="W129" s="128" t="n">
        <f aca="false">$D129*E129</f>
        <v>0</v>
      </c>
      <c r="X129" s="128" t="n">
        <f aca="false">$D129*F129</f>
        <v>0</v>
      </c>
      <c r="Y129" s="128" t="n">
        <f aca="false">$D129*G129</f>
        <v>0</v>
      </c>
      <c r="Z129" s="128" t="n">
        <f aca="false">$D129*H129</f>
        <v>0</v>
      </c>
      <c r="AA129" s="128" t="n">
        <f aca="false">$D129*I129</f>
        <v>0</v>
      </c>
      <c r="AB129" s="128" t="n">
        <f aca="false">$D129*J129</f>
        <v>0</v>
      </c>
      <c r="AC129" s="128" t="n">
        <f aca="false">$D129*K129</f>
        <v>70.0197708166361</v>
      </c>
      <c r="AD129" s="128" t="n">
        <f aca="false">$D129*L129</f>
        <v>70.55856206179</v>
      </c>
      <c r="AE129" s="128" t="n">
        <f aca="false">$D129*M129</f>
        <v>70.6740173286086</v>
      </c>
      <c r="AF129" s="128" t="n">
        <f aca="false">$D129*N129</f>
        <v>71.8208729790075</v>
      </c>
      <c r="AG129" s="128" t="n">
        <f aca="false">$D129*O129</f>
        <v>0</v>
      </c>
      <c r="AH129" s="128" t="n">
        <f aca="false">$D129*P129</f>
        <v>0</v>
      </c>
      <c r="AI129" s="128" t="n">
        <f aca="false">$D129*Q129</f>
        <v>0</v>
      </c>
      <c r="AJ129" s="128" t="n">
        <f aca="false">$D129*R129</f>
        <v>0</v>
      </c>
      <c r="AK129" s="128" t="n">
        <f aca="false">$D129*S129</f>
        <v>0</v>
      </c>
      <c r="AL129" s="128" t="n">
        <f aca="false">$D129*T129</f>
        <v>0</v>
      </c>
      <c r="AN129" s="129" t="n">
        <f aca="false">SUM(W129:AL129)/4</f>
        <v>70.7683057965106</v>
      </c>
      <c r="AO129" s="130" t="n">
        <f aca="false">D129</f>
        <v>57.3499984741211</v>
      </c>
    </row>
    <row r="130" customFormat="false" ht="16.5" hidden="false" customHeight="false" outlineLevel="0" collapsed="false">
      <c r="B130" s="116" t="n">
        <f aca="false">MONTH(C130)</f>
        <v>7</v>
      </c>
      <c r="C130" s="125" t="n">
        <f aca="false">PJM_01212000!A114</f>
        <v>38899</v>
      </c>
      <c r="D130" s="126" t="n">
        <f aca="false">PJM_01212000!C114</f>
        <v>97.9499969482422</v>
      </c>
      <c r="E130" s="127" t="n">
        <f aca="false">VLOOKUP($B130,$C$6:$Z$17,E$22+1)</f>
        <v>0</v>
      </c>
      <c r="F130" s="127" t="n">
        <f aca="false">VLOOKUP($B130,$C$6:$Z$17,F$22+1)</f>
        <v>0</v>
      </c>
      <c r="G130" s="127" t="n">
        <f aca="false">VLOOKUP($B130,$C$6:$Z$17,G$22+1)</f>
        <v>0</v>
      </c>
      <c r="H130" s="127" t="n">
        <f aca="false">VLOOKUP($B130,$C$6:$Z$17,H$22+1)</f>
        <v>0</v>
      </c>
      <c r="I130" s="127" t="n">
        <f aca="false">VLOOKUP($B130,$C$6:$Z$17,I$22+1)</f>
        <v>0</v>
      </c>
      <c r="J130" s="127" t="n">
        <f aca="false">VLOOKUP($B130,$C$6:$Z$17,J$22+1)</f>
        <v>0</v>
      </c>
      <c r="K130" s="127" t="n">
        <f aca="false">VLOOKUP($B130,$C$6:$Z$17,K$22+1)</f>
        <v>0</v>
      </c>
      <c r="L130" s="127" t="n">
        <f aca="false">VLOOKUP($B130,$C$6:$Z$17,L$22+1)</f>
        <v>1.2506946851613</v>
      </c>
      <c r="M130" s="127" t="n">
        <f aca="false">VLOOKUP($B130,$C$6:$Z$17,M$22+1)</f>
        <v>1.32734019400042</v>
      </c>
      <c r="N130" s="127" t="n">
        <f aca="false">VLOOKUP($B130,$C$6:$Z$17,N$22+1)</f>
        <v>1.35388881627921</v>
      </c>
      <c r="O130" s="127" t="n">
        <f aca="false">VLOOKUP($B130,$C$6:$Z$17,O$22+1)</f>
        <v>1.32033935867348</v>
      </c>
      <c r="P130" s="127" t="n">
        <f aca="false">VLOOKUP($B130,$C$6:$Z$17,P$22+1)</f>
        <v>0</v>
      </c>
      <c r="Q130" s="127" t="n">
        <f aca="false">VLOOKUP($B130,$C$6:$Z$17,Q$22+1)</f>
        <v>0</v>
      </c>
      <c r="R130" s="127" t="n">
        <f aca="false">VLOOKUP($B130,$C$6:$Z$17,R$22+1)</f>
        <v>0</v>
      </c>
      <c r="S130" s="127" t="n">
        <f aca="false">VLOOKUP($B130,$C$6:$Z$17,S$22+1)</f>
        <v>0</v>
      </c>
      <c r="T130" s="127" t="n">
        <f aca="false">VLOOKUP($B130,$C$6:$Z$17,T$22+1)</f>
        <v>0</v>
      </c>
      <c r="U130" s="127" t="n">
        <f aca="false">VLOOKUP($B130,$C$6:$AB$17,T$22+3)-SUM(E130:T130)</f>
        <v>0</v>
      </c>
      <c r="W130" s="128" t="n">
        <f aca="false">$D130*E130</f>
        <v>0</v>
      </c>
      <c r="X130" s="128" t="n">
        <f aca="false">$D130*F130</f>
        <v>0</v>
      </c>
      <c r="Y130" s="128" t="n">
        <f aca="false">$D130*G130</f>
        <v>0</v>
      </c>
      <c r="Z130" s="128" t="n">
        <f aca="false">$D130*H130</f>
        <v>0</v>
      </c>
      <c r="AA130" s="128" t="n">
        <f aca="false">$D130*I130</f>
        <v>0</v>
      </c>
      <c r="AB130" s="128" t="n">
        <f aca="false">$D130*J130</f>
        <v>0</v>
      </c>
      <c r="AC130" s="128" t="n">
        <f aca="false">$D130*K130</f>
        <v>0</v>
      </c>
      <c r="AD130" s="128" t="n">
        <f aca="false">$D130*L130</f>
        <v>122.505540594732</v>
      </c>
      <c r="AE130" s="128" t="n">
        <f aca="false">$D130*M130</f>
        <v>130.01296795162</v>
      </c>
      <c r="AF130" s="128" t="n">
        <f aca="false">$D130*N130</f>
        <v>132.613405422808</v>
      </c>
      <c r="AG130" s="128" t="n">
        <f aca="false">$D130*O130</f>
        <v>129.327236152711</v>
      </c>
      <c r="AH130" s="128" t="n">
        <f aca="false">$D130*P130</f>
        <v>0</v>
      </c>
      <c r="AI130" s="128" t="n">
        <f aca="false">$D130*Q130</f>
        <v>0</v>
      </c>
      <c r="AJ130" s="128" t="n">
        <f aca="false">$D130*R130</f>
        <v>0</v>
      </c>
      <c r="AK130" s="128" t="n">
        <f aca="false">$D130*S130</f>
        <v>0</v>
      </c>
      <c r="AL130" s="128" t="n">
        <f aca="false">$D130*T130</f>
        <v>0</v>
      </c>
      <c r="AN130" s="129" t="n">
        <f aca="false">SUM(W130:AL130)/4</f>
        <v>128.614787530468</v>
      </c>
      <c r="AO130" s="130" t="n">
        <f aca="false">D130</f>
        <v>97.9499969482422</v>
      </c>
    </row>
    <row r="131" customFormat="false" ht="16.5" hidden="false" customHeight="false" outlineLevel="0" collapsed="false">
      <c r="B131" s="116" t="n">
        <f aca="false">MONTH(C131)</f>
        <v>8</v>
      </c>
      <c r="C131" s="125" t="n">
        <f aca="false">PJM_01212000!A115</f>
        <v>38930</v>
      </c>
      <c r="D131" s="126" t="n">
        <f aca="false">PJM_01212000!C115</f>
        <v>84.9499969482422</v>
      </c>
      <c r="E131" s="127" t="n">
        <f aca="false">VLOOKUP($B131,$C$6:$Z$17,E$22+1)</f>
        <v>0</v>
      </c>
      <c r="F131" s="127" t="n">
        <f aca="false">VLOOKUP($B131,$C$6:$Z$17,F$22+1)</f>
        <v>0</v>
      </c>
      <c r="G131" s="127" t="n">
        <f aca="false">VLOOKUP($B131,$C$6:$Z$17,G$22+1)</f>
        <v>0</v>
      </c>
      <c r="H131" s="127" t="n">
        <f aca="false">VLOOKUP($B131,$C$6:$Z$17,H$22+1)</f>
        <v>0</v>
      </c>
      <c r="I131" s="127" t="n">
        <f aca="false">VLOOKUP($B131,$C$6:$Z$17,I$22+1)</f>
        <v>0</v>
      </c>
      <c r="J131" s="127" t="n">
        <f aca="false">VLOOKUP($B131,$C$6:$Z$17,J$22+1)</f>
        <v>0</v>
      </c>
      <c r="K131" s="127" t="n">
        <f aca="false">VLOOKUP($B131,$C$6:$Z$17,K$22+1)</f>
        <v>1.19072909190695</v>
      </c>
      <c r="L131" s="127" t="n">
        <f aca="false">VLOOKUP($B131,$C$6:$Z$17,L$22+1)</f>
        <v>1.26057331025457</v>
      </c>
      <c r="M131" s="127" t="n">
        <f aca="false">VLOOKUP($B131,$C$6:$Z$17,M$22+1)</f>
        <v>1.24301093426774</v>
      </c>
      <c r="N131" s="127" t="n">
        <f aca="false">VLOOKUP($B131,$C$6:$Z$17,N$22+1)</f>
        <v>1.21504622788872</v>
      </c>
      <c r="O131" s="127" t="n">
        <f aca="false">VLOOKUP($B131,$C$6:$Z$17,O$22+1)</f>
        <v>0</v>
      </c>
      <c r="P131" s="127" t="n">
        <f aca="false">VLOOKUP($B131,$C$6:$Z$17,P$22+1)</f>
        <v>0</v>
      </c>
      <c r="Q131" s="127" t="n">
        <f aca="false">VLOOKUP($B131,$C$6:$Z$17,Q$22+1)</f>
        <v>0</v>
      </c>
      <c r="R131" s="127" t="n">
        <f aca="false">VLOOKUP($B131,$C$6:$Z$17,R$22+1)</f>
        <v>0</v>
      </c>
      <c r="S131" s="127" t="n">
        <f aca="false">VLOOKUP($B131,$C$6:$Z$17,S$22+1)</f>
        <v>0</v>
      </c>
      <c r="T131" s="127" t="n">
        <f aca="false">VLOOKUP($B131,$C$6:$Z$17,T$22+1)</f>
        <v>0</v>
      </c>
      <c r="U131" s="127" t="n">
        <f aca="false">VLOOKUP($B131,$C$6:$AB$17,T$22+3)-SUM(E131:T131)</f>
        <v>0</v>
      </c>
      <c r="W131" s="128" t="n">
        <f aca="false">$D131*E131</f>
        <v>0</v>
      </c>
      <c r="X131" s="128" t="n">
        <f aca="false">$D131*F131</f>
        <v>0</v>
      </c>
      <c r="Y131" s="128" t="n">
        <f aca="false">$D131*G131</f>
        <v>0</v>
      </c>
      <c r="Z131" s="128" t="n">
        <f aca="false">$D131*H131</f>
        <v>0</v>
      </c>
      <c r="AA131" s="128" t="n">
        <f aca="false">$D131*I131</f>
        <v>0</v>
      </c>
      <c r="AB131" s="128" t="n">
        <f aca="false">$D131*J131</f>
        <v>0</v>
      </c>
      <c r="AC131" s="128" t="n">
        <f aca="false">$D131*K131</f>
        <v>101.152432723679</v>
      </c>
      <c r="AD131" s="128" t="n">
        <f aca="false">$D131*L131</f>
        <v>107.085698859161</v>
      </c>
      <c r="AE131" s="128" t="n">
        <f aca="false">$D131*M131</f>
        <v>105.593775072676</v>
      </c>
      <c r="AF131" s="128" t="n">
        <f aca="false">$D131*N131</f>
        <v>103.21817335112</v>
      </c>
      <c r="AG131" s="128" t="n">
        <f aca="false">$D131*O131</f>
        <v>0</v>
      </c>
      <c r="AH131" s="128" t="n">
        <f aca="false">$D131*P131</f>
        <v>0</v>
      </c>
      <c r="AI131" s="128" t="n">
        <f aca="false">$D131*Q131</f>
        <v>0</v>
      </c>
      <c r="AJ131" s="128" t="n">
        <f aca="false">$D131*R131</f>
        <v>0</v>
      </c>
      <c r="AK131" s="128" t="n">
        <f aca="false">$D131*S131</f>
        <v>0</v>
      </c>
      <c r="AL131" s="128" t="n">
        <f aca="false">$D131*T131</f>
        <v>0</v>
      </c>
      <c r="AN131" s="129" t="n">
        <f aca="false">SUM(W131:AL131)/4</f>
        <v>104.262520001659</v>
      </c>
      <c r="AO131" s="130" t="n">
        <f aca="false">D131</f>
        <v>84.9499969482422</v>
      </c>
    </row>
    <row r="132" customFormat="false" ht="16.5" hidden="false" customHeight="false" outlineLevel="0" collapsed="false">
      <c r="B132" s="116" t="n">
        <f aca="false">MONTH(C132)</f>
        <v>9</v>
      </c>
      <c r="C132" s="125" t="n">
        <f aca="false">PJM_01212000!A116</f>
        <v>38961</v>
      </c>
      <c r="D132" s="126" t="n">
        <f aca="false">PJM_01212000!C116</f>
        <v>34.4249984741211</v>
      </c>
      <c r="E132" s="127" t="n">
        <f aca="false">VLOOKUP($B132,$C$6:$Z$17,E$22+1)</f>
        <v>0</v>
      </c>
      <c r="F132" s="127" t="n">
        <f aca="false">VLOOKUP($B132,$C$6:$Z$17,F$22+1)</f>
        <v>0</v>
      </c>
      <c r="G132" s="127" t="n">
        <f aca="false">VLOOKUP($B132,$C$6:$Z$17,G$22+1)</f>
        <v>0</v>
      </c>
      <c r="H132" s="127" t="n">
        <f aca="false">VLOOKUP($B132,$C$6:$Z$17,H$22+1)</f>
        <v>0</v>
      </c>
      <c r="I132" s="127" t="n">
        <f aca="false">VLOOKUP($B132,$C$6:$Z$17,I$22+1)</f>
        <v>0</v>
      </c>
      <c r="J132" s="127" t="n">
        <f aca="false">VLOOKUP($B132,$C$6:$Z$17,J$22+1)</f>
        <v>0</v>
      </c>
      <c r="K132" s="127" t="n">
        <f aca="false">VLOOKUP($B132,$C$6:$Z$17,K$22+1)</f>
        <v>0</v>
      </c>
      <c r="L132" s="127" t="n">
        <f aca="false">VLOOKUP($B132,$C$6:$Z$17,L$22+1)</f>
        <v>0</v>
      </c>
      <c r="M132" s="127" t="n">
        <f aca="false">VLOOKUP($B132,$C$6:$Z$17,M$22+1)</f>
        <v>0</v>
      </c>
      <c r="N132" s="127" t="n">
        <f aca="false">VLOOKUP($B132,$C$6:$Z$17,N$22+1)</f>
        <v>1.13452840898687</v>
      </c>
      <c r="O132" s="127" t="n">
        <f aca="false">VLOOKUP($B132,$C$6:$Z$17,O$22+1)</f>
        <v>1.1066962078626</v>
      </c>
      <c r="P132" s="127" t="n">
        <f aca="false">VLOOKUP($B132,$C$6:$Z$17,P$22+1)</f>
        <v>0</v>
      </c>
      <c r="Q132" s="127" t="n">
        <f aca="false">VLOOKUP($B132,$C$6:$Z$17,Q$22+1)</f>
        <v>1.18462637101057</v>
      </c>
      <c r="R132" s="127" t="n">
        <f aca="false">VLOOKUP($B132,$C$6:$Z$17,R$22+1)</f>
        <v>1.1944408840386</v>
      </c>
      <c r="S132" s="127" t="n">
        <f aca="false">VLOOKUP($B132,$C$6:$Z$17,S$22+1)</f>
        <v>0</v>
      </c>
      <c r="T132" s="127" t="n">
        <f aca="false">VLOOKUP($B132,$C$6:$Z$17,T$22+1)</f>
        <v>0</v>
      </c>
      <c r="U132" s="127" t="n">
        <f aca="false">VLOOKUP($B132,$C$6:$AB$17,T$22+3)-SUM(E132:T132)</f>
        <v>0</v>
      </c>
      <c r="W132" s="128" t="n">
        <f aca="false">$D132*E132</f>
        <v>0</v>
      </c>
      <c r="X132" s="128" t="n">
        <f aca="false">$D132*F132</f>
        <v>0</v>
      </c>
      <c r="Y132" s="128" t="n">
        <f aca="false">$D132*G132</f>
        <v>0</v>
      </c>
      <c r="Z132" s="128" t="n">
        <f aca="false">$D132*H132</f>
        <v>0</v>
      </c>
      <c r="AA132" s="128" t="n">
        <f aca="false">$D132*I132</f>
        <v>0</v>
      </c>
      <c r="AB132" s="128" t="n">
        <f aca="false">$D132*J132</f>
        <v>0</v>
      </c>
      <c r="AC132" s="128" t="n">
        <f aca="false">$D132*K132</f>
        <v>0</v>
      </c>
      <c r="AD132" s="128" t="n">
        <f aca="false">$D132*L132</f>
        <v>0</v>
      </c>
      <c r="AE132" s="128" t="n">
        <f aca="false">$D132*M132</f>
        <v>0</v>
      </c>
      <c r="AF132" s="128" t="n">
        <f aca="false">$D132*N132</f>
        <v>39.0561387482201</v>
      </c>
      <c r="AG132" s="128" t="n">
        <f aca="false">$D132*O132</f>
        <v>38.0980152669855</v>
      </c>
      <c r="AH132" s="128" t="n">
        <f aca="false">$D132*P132</f>
        <v>0</v>
      </c>
      <c r="AI132" s="128" t="n">
        <f aca="false">$D132*Q132</f>
        <v>40.7807610144424</v>
      </c>
      <c r="AJ132" s="128" t="n">
        <f aca="false">$D132*R132</f>
        <v>41.1186256104567</v>
      </c>
      <c r="AK132" s="128" t="n">
        <f aca="false">$D132*S132</f>
        <v>0</v>
      </c>
      <c r="AL132" s="128" t="n">
        <f aca="false">$D132*T132</f>
        <v>0</v>
      </c>
      <c r="AN132" s="129" t="n">
        <f aca="false">SUM(W132:AL132)/4</f>
        <v>39.7633851600262</v>
      </c>
      <c r="AO132" s="130" t="n">
        <f aca="false">D132</f>
        <v>34.4249984741211</v>
      </c>
    </row>
    <row r="133" customFormat="false" ht="16.5" hidden="false" customHeight="false" outlineLevel="0" collapsed="false">
      <c r="B133" s="116" t="n">
        <f aca="false">MONTH(C133)</f>
        <v>10</v>
      </c>
      <c r="C133" s="125" t="n">
        <f aca="false">PJM_01212000!A117</f>
        <v>38991</v>
      </c>
      <c r="D133" s="126" t="n">
        <f aca="false">PJM_01212000!C117</f>
        <v>28.0750003814697</v>
      </c>
      <c r="E133" s="127" t="n">
        <f aca="false">VLOOKUP($B133,$C$6:$Z$17,E$22+1)</f>
        <v>0</v>
      </c>
      <c r="F133" s="127" t="n">
        <f aca="false">VLOOKUP($B133,$C$6:$Z$17,F$22+1)</f>
        <v>1.1326</v>
      </c>
      <c r="G133" s="127" t="n">
        <f aca="false">VLOOKUP($B133,$C$6:$Z$17,G$22+1)</f>
        <v>0</v>
      </c>
      <c r="H133" s="127" t="n">
        <f aca="false">VLOOKUP($B133,$C$6:$Z$17,H$22+1)</f>
        <v>0</v>
      </c>
      <c r="I133" s="127" t="n">
        <f aca="false">VLOOKUP($B133,$C$6:$Z$17,I$22+1)</f>
        <v>0</v>
      </c>
      <c r="J133" s="127" t="n">
        <f aca="false">VLOOKUP($B133,$C$6:$Z$17,J$22+1)</f>
        <v>0</v>
      </c>
      <c r="K133" s="127" t="n">
        <f aca="false">VLOOKUP($B133,$C$6:$Z$17,K$22+1)</f>
        <v>0</v>
      </c>
      <c r="L133" s="127" t="n">
        <f aca="false">VLOOKUP($B133,$C$6:$Z$17,L$22+1)</f>
        <v>0</v>
      </c>
      <c r="M133" s="127" t="n">
        <f aca="false">VLOOKUP($B133,$C$6:$Z$17,M$22+1)</f>
        <v>0</v>
      </c>
      <c r="N133" s="127" t="n">
        <f aca="false">VLOOKUP($B133,$C$6:$Z$17,N$22+1)</f>
        <v>0</v>
      </c>
      <c r="O133" s="127" t="n">
        <f aca="false">VLOOKUP($B133,$C$6:$Z$17,O$22+1)</f>
        <v>1.2001</v>
      </c>
      <c r="P133" s="127" t="n">
        <f aca="false">VLOOKUP($B133,$C$6:$Z$17,P$22+1)</f>
        <v>1.2095</v>
      </c>
      <c r="Q133" s="127" t="n">
        <f aca="false">VLOOKUP($B133,$C$6:$Z$17,Q$22+1)</f>
        <v>1.1567</v>
      </c>
      <c r="R133" s="127" t="n">
        <f aca="false">VLOOKUP($B133,$C$6:$Z$17,R$22+1)</f>
        <v>0</v>
      </c>
      <c r="S133" s="127" t="n">
        <f aca="false">VLOOKUP($B133,$C$6:$Z$17,S$22+1)</f>
        <v>0</v>
      </c>
      <c r="T133" s="127" t="n">
        <f aca="false">VLOOKUP($B133,$C$6:$Z$17,T$22+1)</f>
        <v>0</v>
      </c>
      <c r="U133" s="127" t="n">
        <f aca="false">VLOOKUP($B133,$C$6:$AB$17,T$22+3)-SUM(E133:T133)</f>
        <v>0</v>
      </c>
      <c r="W133" s="128" t="n">
        <f aca="false">$D133*E133</f>
        <v>0</v>
      </c>
      <c r="X133" s="128" t="n">
        <f aca="false">$D133*F133</f>
        <v>31.7977454320526</v>
      </c>
      <c r="Y133" s="128" t="n">
        <f aca="false">$D133*G133</f>
        <v>0</v>
      </c>
      <c r="Z133" s="128" t="n">
        <f aca="false">$D133*H133</f>
        <v>0</v>
      </c>
      <c r="AA133" s="128" t="n">
        <f aca="false">$D133*I133</f>
        <v>0</v>
      </c>
      <c r="AB133" s="128" t="n">
        <f aca="false">$D133*J133</f>
        <v>0</v>
      </c>
      <c r="AC133" s="128" t="n">
        <f aca="false">$D133*K133</f>
        <v>0</v>
      </c>
      <c r="AD133" s="128" t="n">
        <f aca="false">$D133*L133</f>
        <v>0</v>
      </c>
      <c r="AE133" s="128" t="n">
        <f aca="false">$D133*M133</f>
        <v>0</v>
      </c>
      <c r="AF133" s="128" t="n">
        <f aca="false">$D133*N133</f>
        <v>0</v>
      </c>
      <c r="AG133" s="128" t="n">
        <f aca="false">$D133*O133</f>
        <v>33.6928079578018</v>
      </c>
      <c r="AH133" s="128" t="n">
        <f aca="false">$D133*P133</f>
        <v>33.9567129613876</v>
      </c>
      <c r="AI133" s="128" t="n">
        <f aca="false">$D133*Q133</f>
        <v>32.474352941246</v>
      </c>
      <c r="AJ133" s="128" t="n">
        <f aca="false">$D133*R133</f>
        <v>0</v>
      </c>
      <c r="AK133" s="128" t="n">
        <f aca="false">$D133*S133</f>
        <v>0</v>
      </c>
      <c r="AL133" s="128" t="n">
        <f aca="false">$D133*T133</f>
        <v>0</v>
      </c>
      <c r="AN133" s="129" t="n">
        <f aca="false">SUM(W133:AL133)/4</f>
        <v>32.980404823122</v>
      </c>
      <c r="AO133" s="130" t="n">
        <f aca="false">D133</f>
        <v>28.0750003814697</v>
      </c>
    </row>
    <row r="134" customFormat="false" ht="16.5" hidden="false" customHeight="false" outlineLevel="0" collapsed="false">
      <c r="B134" s="116" t="n">
        <f aca="false">MONTH(C134)</f>
        <v>11</v>
      </c>
      <c r="C134" s="125" t="n">
        <f aca="false">PJM_01212000!A118</f>
        <v>39022</v>
      </c>
      <c r="D134" s="126" t="n">
        <f aca="false">PJM_01212000!C118</f>
        <v>27.7474990844727</v>
      </c>
      <c r="E134" s="127" t="n">
        <f aca="false">VLOOKUP($B134,$C$6:$Z$17,E$22+1)</f>
        <v>0</v>
      </c>
      <c r="F134" s="127" t="n">
        <f aca="false">VLOOKUP($B134,$C$6:$Z$17,F$22+1)</f>
        <v>1.1426</v>
      </c>
      <c r="G134" s="127" t="n">
        <f aca="false">VLOOKUP($B134,$C$6:$Z$17,G$22+1)</f>
        <v>0</v>
      </c>
      <c r="H134" s="127" t="n">
        <f aca="false">VLOOKUP($B134,$C$6:$Z$17,H$22+1)</f>
        <v>0</v>
      </c>
      <c r="I134" s="127" t="n">
        <f aca="false">VLOOKUP($B134,$C$6:$Z$17,I$22+1)</f>
        <v>0</v>
      </c>
      <c r="J134" s="127" t="n">
        <f aca="false">VLOOKUP($B134,$C$6:$Z$17,J$22+1)</f>
        <v>0</v>
      </c>
      <c r="K134" s="127" t="n">
        <f aca="false">VLOOKUP($B134,$C$6:$Z$17,K$22+1)</f>
        <v>0</v>
      </c>
      <c r="L134" s="127" t="n">
        <f aca="false">VLOOKUP($B134,$C$6:$Z$17,L$22+1)</f>
        <v>0</v>
      </c>
      <c r="M134" s="127" t="n">
        <f aca="false">VLOOKUP($B134,$C$6:$Z$17,M$22+1)</f>
        <v>0</v>
      </c>
      <c r="N134" s="127" t="n">
        <f aca="false">VLOOKUP($B134,$C$6:$Z$17,N$22+1)</f>
        <v>0</v>
      </c>
      <c r="O134" s="127" t="n">
        <f aca="false">VLOOKUP($B134,$C$6:$Z$17,O$22+1)</f>
        <v>1.2171</v>
      </c>
      <c r="P134" s="127" t="n">
        <f aca="false">VLOOKUP($B134,$C$6:$Z$17,P$22+1)</f>
        <v>1.2269</v>
      </c>
      <c r="Q134" s="127" t="n">
        <f aca="false">VLOOKUP($B134,$C$6:$Z$17,Q$22+1)</f>
        <v>1.1767</v>
      </c>
      <c r="R134" s="127" t="n">
        <f aca="false">VLOOKUP($B134,$C$6:$Z$17,R$22+1)</f>
        <v>0</v>
      </c>
      <c r="S134" s="127" t="n">
        <f aca="false">VLOOKUP($B134,$C$6:$Z$17,S$22+1)</f>
        <v>0</v>
      </c>
      <c r="T134" s="127" t="n">
        <f aca="false">VLOOKUP($B134,$C$6:$Z$17,T$22+1)</f>
        <v>0</v>
      </c>
      <c r="U134" s="127" t="n">
        <f aca="false">VLOOKUP($B134,$C$6:$AB$17,T$22+3)-SUM(E134:T134)</f>
        <v>0</v>
      </c>
      <c r="W134" s="128" t="n">
        <f aca="false">$D134*E134</f>
        <v>0</v>
      </c>
      <c r="X134" s="128" t="n">
        <f aca="false">$D134*F134</f>
        <v>31.7042924539185</v>
      </c>
      <c r="Y134" s="128" t="n">
        <f aca="false">$D134*G134</f>
        <v>0</v>
      </c>
      <c r="Z134" s="128" t="n">
        <f aca="false">$D134*H134</f>
        <v>0</v>
      </c>
      <c r="AA134" s="128" t="n">
        <f aca="false">$D134*I134</f>
        <v>0</v>
      </c>
      <c r="AB134" s="128" t="n">
        <f aca="false">$D134*J134</f>
        <v>0</v>
      </c>
      <c r="AC134" s="128" t="n">
        <f aca="false">$D134*K134</f>
        <v>0</v>
      </c>
      <c r="AD134" s="128" t="n">
        <f aca="false">$D134*L134</f>
        <v>0</v>
      </c>
      <c r="AE134" s="128" t="n">
        <f aca="false">$D134*M134</f>
        <v>0</v>
      </c>
      <c r="AF134" s="128" t="n">
        <f aca="false">$D134*N134</f>
        <v>0</v>
      </c>
      <c r="AG134" s="128" t="n">
        <f aca="false">$D134*O134</f>
        <v>33.7714811357117</v>
      </c>
      <c r="AH134" s="128" t="n">
        <f aca="false">$D134*P134</f>
        <v>34.0434066267395</v>
      </c>
      <c r="AI134" s="128" t="n">
        <f aca="false">$D134*Q134</f>
        <v>32.650482172699</v>
      </c>
      <c r="AJ134" s="128" t="n">
        <f aca="false">$D134*R134</f>
        <v>0</v>
      </c>
      <c r="AK134" s="128" t="n">
        <f aca="false">$D134*S134</f>
        <v>0</v>
      </c>
      <c r="AL134" s="128" t="n">
        <f aca="false">$D134*T134</f>
        <v>0</v>
      </c>
      <c r="AN134" s="129" t="n">
        <f aca="false">SUM(W134:AL134)/4</f>
        <v>33.0424155972672</v>
      </c>
      <c r="AO134" s="130" t="n">
        <f aca="false">D134</f>
        <v>27.7474990844727</v>
      </c>
    </row>
    <row r="135" customFormat="false" ht="16.5" hidden="false" customHeight="false" outlineLevel="0" collapsed="false">
      <c r="B135" s="116" t="n">
        <f aca="false">MONTH(C135)</f>
        <v>12</v>
      </c>
      <c r="C135" s="125" t="n">
        <f aca="false">PJM_01212000!A119</f>
        <v>39052</v>
      </c>
      <c r="D135" s="126" t="n">
        <f aca="false">PJM_01212000!C119</f>
        <v>29.4999996185303</v>
      </c>
      <c r="E135" s="127" t="n">
        <f aca="false">VLOOKUP($B135,$C$6:$Z$17,E$22+1)</f>
        <v>0</v>
      </c>
      <c r="F135" s="127" t="n">
        <f aca="false">VLOOKUP($B135,$C$6:$Z$17,F$22+1)</f>
        <v>1.1638</v>
      </c>
      <c r="G135" s="127" t="n">
        <f aca="false">VLOOKUP($B135,$C$6:$Z$17,G$22+1)</f>
        <v>0</v>
      </c>
      <c r="H135" s="127" t="n">
        <f aca="false">VLOOKUP($B135,$C$6:$Z$17,H$22+1)</f>
        <v>0</v>
      </c>
      <c r="I135" s="127" t="n">
        <f aca="false">VLOOKUP($B135,$C$6:$Z$17,I$22+1)</f>
        <v>0</v>
      </c>
      <c r="J135" s="127" t="n">
        <f aca="false">VLOOKUP($B135,$C$6:$Z$17,J$22+1)</f>
        <v>0</v>
      </c>
      <c r="K135" s="127" t="n">
        <f aca="false">VLOOKUP($B135,$C$6:$Z$17,K$22+1)</f>
        <v>0</v>
      </c>
      <c r="L135" s="127" t="n">
        <f aca="false">VLOOKUP($B135,$C$6:$Z$17,L$22+1)</f>
        <v>0</v>
      </c>
      <c r="M135" s="127" t="n">
        <f aca="false">VLOOKUP($B135,$C$6:$Z$17,M$22+1)</f>
        <v>0</v>
      </c>
      <c r="N135" s="127" t="n">
        <f aca="false">VLOOKUP($B135,$C$6:$Z$17,N$22+1)</f>
        <v>0</v>
      </c>
      <c r="O135" s="127" t="n">
        <f aca="false">VLOOKUP($B135,$C$6:$Z$17,O$22+1)</f>
        <v>1.23965925286319</v>
      </c>
      <c r="P135" s="127" t="n">
        <f aca="false">VLOOKUP($B135,$C$6:$Z$17,P$22+1)</f>
        <v>1.2314</v>
      </c>
      <c r="Q135" s="127" t="n">
        <f aca="false">VLOOKUP($B135,$C$6:$Z$17,Q$22+1)</f>
        <v>1.18899630831453</v>
      </c>
      <c r="R135" s="127" t="n">
        <f aca="false">VLOOKUP($B135,$C$6:$Z$17,R$22+1)</f>
        <v>0</v>
      </c>
      <c r="S135" s="127" t="n">
        <f aca="false">VLOOKUP($B135,$C$6:$Z$17,S$22+1)</f>
        <v>0</v>
      </c>
      <c r="T135" s="127" t="n">
        <f aca="false">VLOOKUP($B135,$C$6:$Z$17,T$22+1)</f>
        <v>0</v>
      </c>
      <c r="U135" s="127" t="n">
        <f aca="false">VLOOKUP($B135,$C$6:$AB$17,T$22+3)-SUM(E135:T135)</f>
        <v>0</v>
      </c>
      <c r="W135" s="128" t="n">
        <f aca="false">$D135*E135</f>
        <v>0</v>
      </c>
      <c r="X135" s="128" t="n">
        <f aca="false">$D135*F135</f>
        <v>34.3320995560455</v>
      </c>
      <c r="Y135" s="128" t="n">
        <f aca="false">$D135*G135</f>
        <v>0</v>
      </c>
      <c r="Z135" s="128" t="n">
        <f aca="false">$D135*H135</f>
        <v>0</v>
      </c>
      <c r="AA135" s="128" t="n">
        <f aca="false">$D135*I135</f>
        <v>0</v>
      </c>
      <c r="AB135" s="128" t="n">
        <f aca="false">$D135*J135</f>
        <v>0</v>
      </c>
      <c r="AC135" s="128" t="n">
        <f aca="false">$D135*K135</f>
        <v>0</v>
      </c>
      <c r="AD135" s="128" t="n">
        <f aca="false">$D135*L135</f>
        <v>0</v>
      </c>
      <c r="AE135" s="128" t="n">
        <f aca="false">$D135*M135</f>
        <v>0</v>
      </c>
      <c r="AF135" s="128" t="n">
        <f aca="false">$D135*N135</f>
        <v>0</v>
      </c>
      <c r="AG135" s="128" t="n">
        <f aca="false">$D135*O135</f>
        <v>36.5699474865716</v>
      </c>
      <c r="AH135" s="128" t="n">
        <f aca="false">$D135*P135</f>
        <v>36.3262995302582</v>
      </c>
      <c r="AI135" s="128" t="n">
        <f aca="false">$D135*Q135</f>
        <v>35.0753906417125</v>
      </c>
      <c r="AJ135" s="128" t="n">
        <f aca="false">$D135*R135</f>
        <v>0</v>
      </c>
      <c r="AK135" s="128" t="n">
        <f aca="false">$D135*S135</f>
        <v>0</v>
      </c>
      <c r="AL135" s="128" t="n">
        <f aca="false">$D135*T135</f>
        <v>0</v>
      </c>
      <c r="AN135" s="129" t="n">
        <f aca="false">SUM(W135:AL135)/4</f>
        <v>35.575934303647</v>
      </c>
      <c r="AO135" s="130" t="n">
        <f aca="false">D135</f>
        <v>29.4999996185303</v>
      </c>
    </row>
    <row r="136" customFormat="false" ht="16.5" hidden="false" customHeight="false" outlineLevel="0" collapsed="false">
      <c r="B136" s="116" t="n">
        <f aca="false">MONTH(C136)</f>
        <v>1</v>
      </c>
      <c r="C136" s="125" t="n">
        <f aca="false">PJM_01212000!A120</f>
        <v>39083</v>
      </c>
      <c r="D136" s="126" t="n">
        <f aca="false">PJM_01212000!C120</f>
        <v>38.3249984741211</v>
      </c>
      <c r="E136" s="127" t="n">
        <f aca="false">VLOOKUP($B136,$C$6:$Z$17,E$22+1)</f>
        <v>0</v>
      </c>
      <c r="F136" s="127" t="n">
        <f aca="false">VLOOKUP($B136,$C$6:$Z$17,F$22+1)</f>
        <v>1.19981175661928</v>
      </c>
      <c r="G136" s="127" t="n">
        <f aca="false">VLOOKUP($B136,$C$6:$Z$17,G$22+1)</f>
        <v>1.19616001156207</v>
      </c>
      <c r="H136" s="127" t="n">
        <f aca="false">VLOOKUP($B136,$C$6:$Z$17,H$22+1)</f>
        <v>0</v>
      </c>
      <c r="I136" s="127" t="n">
        <f aca="false">VLOOKUP($B136,$C$6:$Z$17,I$22+1)</f>
        <v>0</v>
      </c>
      <c r="J136" s="127" t="n">
        <f aca="false">VLOOKUP($B136,$C$6:$Z$17,J$22+1)</f>
        <v>0</v>
      </c>
      <c r="K136" s="127" t="n">
        <f aca="false">VLOOKUP($B136,$C$6:$Z$17,K$22+1)</f>
        <v>0</v>
      </c>
      <c r="L136" s="127" t="n">
        <f aca="false">VLOOKUP($B136,$C$6:$Z$17,L$22+1)</f>
        <v>0</v>
      </c>
      <c r="M136" s="127" t="n">
        <f aca="false">VLOOKUP($B136,$C$6:$Z$17,M$22+1)</f>
        <v>0</v>
      </c>
      <c r="N136" s="127" t="n">
        <f aca="false">VLOOKUP($B136,$C$6:$Z$17,N$22+1)</f>
        <v>0</v>
      </c>
      <c r="O136" s="127" t="n">
        <f aca="false">VLOOKUP($B136,$C$6:$Z$17,O$22+1)</f>
        <v>0</v>
      </c>
      <c r="P136" s="127" t="n">
        <f aca="false">VLOOKUP($B136,$C$6:$Z$17,P$22+1)</f>
        <v>1.28189922894351</v>
      </c>
      <c r="Q136" s="127" t="n">
        <f aca="false">VLOOKUP($B136,$C$6:$Z$17,Q$22+1)</f>
        <v>1.227</v>
      </c>
      <c r="R136" s="127" t="n">
        <f aca="false">VLOOKUP($B136,$C$6:$Z$17,R$22+1)</f>
        <v>0</v>
      </c>
      <c r="S136" s="127" t="n">
        <f aca="false">VLOOKUP($B136,$C$6:$Z$17,S$22+1)</f>
        <v>0</v>
      </c>
      <c r="T136" s="127" t="n">
        <f aca="false">VLOOKUP($B136,$C$6:$Z$17,T$22+1)</f>
        <v>0</v>
      </c>
      <c r="U136" s="127" t="n">
        <f aca="false">VLOOKUP($B136,$C$6:$AB$17,T$22+3)-SUM(E136:T136)</f>
        <v>0</v>
      </c>
      <c r="W136" s="128" t="n">
        <f aca="false">$D136*E136</f>
        <v>0</v>
      </c>
      <c r="X136" s="128" t="n">
        <f aca="false">$D136*F136</f>
        <v>45.9827837416665</v>
      </c>
      <c r="Y136" s="128" t="n">
        <f aca="false">$D136*G136</f>
        <v>45.8428306179211</v>
      </c>
      <c r="Z136" s="128" t="n">
        <f aca="false">$D136*H136</f>
        <v>0</v>
      </c>
      <c r="AA136" s="128" t="n">
        <f aca="false">$D136*I136</f>
        <v>0</v>
      </c>
      <c r="AB136" s="128" t="n">
        <f aca="false">$D136*J136</f>
        <v>0</v>
      </c>
      <c r="AC136" s="128" t="n">
        <f aca="false">$D136*K136</f>
        <v>0</v>
      </c>
      <c r="AD136" s="128" t="n">
        <f aca="false">$D136*L136</f>
        <v>0</v>
      </c>
      <c r="AE136" s="128" t="n">
        <f aca="false">$D136*M136</f>
        <v>0</v>
      </c>
      <c r="AF136" s="128" t="n">
        <f aca="false">$D136*N136</f>
        <v>0</v>
      </c>
      <c r="AG136" s="128" t="n">
        <f aca="false">$D136*O136</f>
        <v>0</v>
      </c>
      <c r="AH136" s="128" t="n">
        <f aca="false">$D136*P136</f>
        <v>49.1287859932371</v>
      </c>
      <c r="AI136" s="128" t="n">
        <f aca="false">$D136*Q136</f>
        <v>47.0247731277466</v>
      </c>
      <c r="AJ136" s="128" t="n">
        <f aca="false">$D136*R136</f>
        <v>0</v>
      </c>
      <c r="AK136" s="128" t="n">
        <f aca="false">$D136*S136</f>
        <v>0</v>
      </c>
      <c r="AL136" s="128" t="n">
        <f aca="false">$D136*T136</f>
        <v>0</v>
      </c>
      <c r="AN136" s="129" t="n">
        <f aca="false">SUM(W136:AL136)/4</f>
        <v>46.9947933701428</v>
      </c>
      <c r="AO136" s="130" t="n">
        <f aca="false">D136</f>
        <v>38.3249984741211</v>
      </c>
    </row>
    <row r="137" customFormat="false" ht="16.5" hidden="false" customHeight="false" outlineLevel="0" collapsed="false">
      <c r="B137" s="116" t="n">
        <f aca="false">MONTH(C137)</f>
        <v>2</v>
      </c>
      <c r="C137" s="125" t="n">
        <f aca="false">PJM_01212000!A121</f>
        <v>39114</v>
      </c>
      <c r="D137" s="126" t="n">
        <f aca="false">PJM_01212000!C121</f>
        <v>38.3249984741211</v>
      </c>
      <c r="E137" s="127" t="n">
        <f aca="false">VLOOKUP($B137,$C$6:$Z$17,E$22+1)</f>
        <v>0</v>
      </c>
      <c r="F137" s="127" t="n">
        <f aca="false">VLOOKUP($B137,$C$6:$Z$17,F$22+1)</f>
        <v>1.19981175661928</v>
      </c>
      <c r="G137" s="127" t="n">
        <f aca="false">VLOOKUP($B137,$C$6:$Z$17,G$22+1)</f>
        <v>1.19616001156207</v>
      </c>
      <c r="H137" s="127" t="n">
        <f aca="false">VLOOKUP($B137,$C$6:$Z$17,H$22+1)</f>
        <v>0</v>
      </c>
      <c r="I137" s="127" t="n">
        <f aca="false">VLOOKUP($B137,$C$6:$Z$17,I$22+1)</f>
        <v>0</v>
      </c>
      <c r="J137" s="127" t="n">
        <f aca="false">VLOOKUP($B137,$C$6:$Z$17,J$22+1)</f>
        <v>0</v>
      </c>
      <c r="K137" s="127" t="n">
        <f aca="false">VLOOKUP($B137,$C$6:$Z$17,K$22+1)</f>
        <v>0</v>
      </c>
      <c r="L137" s="127" t="n">
        <f aca="false">VLOOKUP($B137,$C$6:$Z$17,L$22+1)</f>
        <v>0</v>
      </c>
      <c r="M137" s="127" t="n">
        <f aca="false">VLOOKUP($B137,$C$6:$Z$17,M$22+1)</f>
        <v>0</v>
      </c>
      <c r="N137" s="127" t="n">
        <f aca="false">VLOOKUP($B137,$C$6:$Z$17,N$22+1)</f>
        <v>0</v>
      </c>
      <c r="O137" s="127" t="n">
        <f aca="false">VLOOKUP($B137,$C$6:$Z$17,O$22+1)</f>
        <v>0</v>
      </c>
      <c r="P137" s="127" t="n">
        <f aca="false">VLOOKUP($B137,$C$6:$Z$17,P$22+1)</f>
        <v>1.28189922894351</v>
      </c>
      <c r="Q137" s="127" t="n">
        <f aca="false">VLOOKUP($B137,$C$6:$Z$17,Q$22+1)</f>
        <v>1.227</v>
      </c>
      <c r="R137" s="127" t="n">
        <f aca="false">VLOOKUP($B137,$C$6:$Z$17,R$22+1)</f>
        <v>0</v>
      </c>
      <c r="S137" s="127" t="n">
        <f aca="false">VLOOKUP($B137,$C$6:$Z$17,S$22+1)</f>
        <v>0</v>
      </c>
      <c r="T137" s="127" t="n">
        <f aca="false">VLOOKUP($B137,$C$6:$Z$17,T$22+1)</f>
        <v>0</v>
      </c>
      <c r="U137" s="127" t="n">
        <f aca="false">VLOOKUP($B137,$C$6:$AB$17,T$22+3)-SUM(E137:T137)</f>
        <v>0</v>
      </c>
      <c r="W137" s="128" t="n">
        <f aca="false">$D137*E137</f>
        <v>0</v>
      </c>
      <c r="X137" s="128" t="n">
        <f aca="false">$D137*F137</f>
        <v>45.9827837416665</v>
      </c>
      <c r="Y137" s="128" t="n">
        <f aca="false">$D137*G137</f>
        <v>45.8428306179211</v>
      </c>
      <c r="Z137" s="128" t="n">
        <f aca="false">$D137*H137</f>
        <v>0</v>
      </c>
      <c r="AA137" s="128" t="n">
        <f aca="false">$D137*I137</f>
        <v>0</v>
      </c>
      <c r="AB137" s="128" t="n">
        <f aca="false">$D137*J137</f>
        <v>0</v>
      </c>
      <c r="AC137" s="128" t="n">
        <f aca="false">$D137*K137</f>
        <v>0</v>
      </c>
      <c r="AD137" s="128" t="n">
        <f aca="false">$D137*L137</f>
        <v>0</v>
      </c>
      <c r="AE137" s="128" t="n">
        <f aca="false">$D137*M137</f>
        <v>0</v>
      </c>
      <c r="AF137" s="128" t="n">
        <f aca="false">$D137*N137</f>
        <v>0</v>
      </c>
      <c r="AG137" s="128" t="n">
        <f aca="false">$D137*O137</f>
        <v>0</v>
      </c>
      <c r="AH137" s="128" t="n">
        <f aca="false">$D137*P137</f>
        <v>49.1287859932371</v>
      </c>
      <c r="AI137" s="128" t="n">
        <f aca="false">$D137*Q137</f>
        <v>47.0247731277466</v>
      </c>
      <c r="AJ137" s="128" t="n">
        <f aca="false">$D137*R137</f>
        <v>0</v>
      </c>
      <c r="AK137" s="128" t="n">
        <f aca="false">$D137*S137</f>
        <v>0</v>
      </c>
      <c r="AL137" s="128" t="n">
        <f aca="false">$D137*T137</f>
        <v>0</v>
      </c>
      <c r="AN137" s="129" t="n">
        <f aca="false">SUM(W137:AL137)/4</f>
        <v>46.9947933701428</v>
      </c>
      <c r="AO137" s="130" t="n">
        <f aca="false">D137</f>
        <v>38.3249984741211</v>
      </c>
    </row>
    <row r="138" customFormat="false" ht="16.5" hidden="false" customHeight="false" outlineLevel="0" collapsed="false">
      <c r="B138" s="116" t="n">
        <f aca="false">MONTH(C138)</f>
        <v>3</v>
      </c>
      <c r="C138" s="125" t="n">
        <f aca="false">PJM_01212000!A122</f>
        <v>39142</v>
      </c>
      <c r="D138" s="126" t="n">
        <f aca="false">PJM_01212000!C122</f>
        <v>28.0500007629395</v>
      </c>
      <c r="E138" s="127" t="n">
        <f aca="false">VLOOKUP($B138,$C$6:$Z$17,E$22+1)</f>
        <v>0</v>
      </c>
      <c r="F138" s="127" t="n">
        <f aca="false">VLOOKUP($B138,$C$6:$Z$17,F$22+1)</f>
        <v>1.1898</v>
      </c>
      <c r="G138" s="127" t="n">
        <f aca="false">VLOOKUP($B138,$C$6:$Z$17,G$22+1)</f>
        <v>1.1862</v>
      </c>
      <c r="H138" s="127" t="n">
        <f aca="false">VLOOKUP($B138,$C$6:$Z$17,H$22+1)</f>
        <v>0</v>
      </c>
      <c r="I138" s="127" t="n">
        <f aca="false">VLOOKUP($B138,$C$6:$Z$17,I$22+1)</f>
        <v>0</v>
      </c>
      <c r="J138" s="127" t="n">
        <f aca="false">VLOOKUP($B138,$C$6:$Z$17,J$22+1)</f>
        <v>0</v>
      </c>
      <c r="K138" s="127" t="n">
        <f aca="false">VLOOKUP($B138,$C$6:$Z$17,K$22+1)</f>
        <v>0</v>
      </c>
      <c r="L138" s="127" t="n">
        <f aca="false">VLOOKUP($B138,$C$6:$Z$17,L$22+1)</f>
        <v>0</v>
      </c>
      <c r="M138" s="127" t="n">
        <f aca="false">VLOOKUP($B138,$C$6:$Z$17,M$22+1)</f>
        <v>0</v>
      </c>
      <c r="N138" s="127" t="n">
        <f aca="false">VLOOKUP($B138,$C$6:$Z$17,N$22+1)</f>
        <v>0</v>
      </c>
      <c r="O138" s="127" t="n">
        <f aca="false">VLOOKUP($B138,$C$6:$Z$17,O$22+1)</f>
        <v>0</v>
      </c>
      <c r="P138" s="127" t="n">
        <f aca="false">VLOOKUP($B138,$C$6:$Z$17,P$22+1)</f>
        <v>1.2719</v>
      </c>
      <c r="Q138" s="127" t="n">
        <f aca="false">VLOOKUP($B138,$C$6:$Z$17,Q$22+1)</f>
        <v>1.217</v>
      </c>
      <c r="R138" s="127" t="n">
        <f aca="false">VLOOKUP($B138,$C$6:$Z$17,R$22+1)</f>
        <v>0</v>
      </c>
      <c r="S138" s="127" t="n">
        <f aca="false">VLOOKUP($B138,$C$6:$Z$17,S$22+1)</f>
        <v>0</v>
      </c>
      <c r="T138" s="127" t="n">
        <f aca="false">VLOOKUP($B138,$C$6:$Z$17,T$22+1)</f>
        <v>0</v>
      </c>
      <c r="U138" s="127" t="n">
        <f aca="false">VLOOKUP($B138,$C$6:$AB$17,T$22+3)-SUM(E138:T138)</f>
        <v>0</v>
      </c>
      <c r="W138" s="128" t="n">
        <f aca="false">$D138*E138</f>
        <v>0</v>
      </c>
      <c r="X138" s="128" t="n">
        <f aca="false">$D138*F138</f>
        <v>33.3738909077454</v>
      </c>
      <c r="Y138" s="128" t="n">
        <f aca="false">$D138*G138</f>
        <v>33.2729109049988</v>
      </c>
      <c r="Z138" s="128" t="n">
        <f aca="false">$D138*H138</f>
        <v>0</v>
      </c>
      <c r="AA138" s="128" t="n">
        <f aca="false">$D138*I138</f>
        <v>0</v>
      </c>
      <c r="AB138" s="128" t="n">
        <f aca="false">$D138*J138</f>
        <v>0</v>
      </c>
      <c r="AC138" s="128" t="n">
        <f aca="false">$D138*K138</f>
        <v>0</v>
      </c>
      <c r="AD138" s="128" t="n">
        <f aca="false">$D138*L138</f>
        <v>0</v>
      </c>
      <c r="AE138" s="128" t="n">
        <f aca="false">$D138*M138</f>
        <v>0</v>
      </c>
      <c r="AF138" s="128" t="n">
        <f aca="false">$D138*N138</f>
        <v>0</v>
      </c>
      <c r="AG138" s="128" t="n">
        <f aca="false">$D138*O138</f>
        <v>0</v>
      </c>
      <c r="AH138" s="128" t="n">
        <f aca="false">$D138*P138</f>
        <v>35.6767959703827</v>
      </c>
      <c r="AI138" s="128" t="n">
        <f aca="false">$D138*Q138</f>
        <v>34.1368509284973</v>
      </c>
      <c r="AJ138" s="128" t="n">
        <f aca="false">$D138*R138</f>
        <v>0</v>
      </c>
      <c r="AK138" s="128" t="n">
        <f aca="false">$D138*S138</f>
        <v>0</v>
      </c>
      <c r="AL138" s="128" t="n">
        <f aca="false">$D138*T138</f>
        <v>0</v>
      </c>
      <c r="AN138" s="129" t="n">
        <f aca="false">SUM(W138:AL138)/4</f>
        <v>34.115112177906</v>
      </c>
      <c r="AO138" s="130" t="n">
        <f aca="false">D138</f>
        <v>28.0500007629395</v>
      </c>
    </row>
    <row r="139" customFormat="false" ht="16.5" hidden="false" customHeight="false" outlineLevel="0" collapsed="false">
      <c r="B139" s="116" t="n">
        <f aca="false">MONTH(C139)</f>
        <v>4</v>
      </c>
      <c r="C139" s="125" t="n">
        <f aca="false">PJM_01212000!A123</f>
        <v>39173</v>
      </c>
      <c r="D139" s="126" t="n">
        <f aca="false">PJM_01212000!C123</f>
        <v>27.8250007629395</v>
      </c>
      <c r="E139" s="127" t="n">
        <f aca="false">VLOOKUP($B139,$C$6:$Z$17,E$22+1)</f>
        <v>1.1232726508202</v>
      </c>
      <c r="F139" s="127" t="n">
        <f aca="false">VLOOKUP($B139,$C$6:$Z$17,F$22+1)</f>
        <v>1.14131544612562</v>
      </c>
      <c r="G139" s="127" t="n">
        <f aca="false">VLOOKUP($B139,$C$6:$Z$17,G$22+1)</f>
        <v>0</v>
      </c>
      <c r="H139" s="127" t="n">
        <f aca="false">VLOOKUP($B139,$C$6:$Z$17,H$22+1)</f>
        <v>0</v>
      </c>
      <c r="I139" s="127" t="n">
        <f aca="false">VLOOKUP($B139,$C$6:$Z$17,I$22+1)</f>
        <v>1.11852454679246</v>
      </c>
      <c r="J139" s="127" t="n">
        <f aca="false">VLOOKUP($B139,$C$6:$Z$17,J$22+1)</f>
        <v>0</v>
      </c>
      <c r="K139" s="127" t="n">
        <f aca="false">VLOOKUP($B139,$C$6:$Z$17,K$22+1)</f>
        <v>0</v>
      </c>
      <c r="L139" s="127" t="n">
        <f aca="false">VLOOKUP($B139,$C$6:$Z$17,L$22+1)</f>
        <v>0</v>
      </c>
      <c r="M139" s="127" t="n">
        <f aca="false">VLOOKUP($B139,$C$6:$Z$17,M$22+1)</f>
        <v>0</v>
      </c>
      <c r="N139" s="127" t="n">
        <f aca="false">VLOOKUP($B139,$C$6:$Z$17,N$22+1)</f>
        <v>0</v>
      </c>
      <c r="O139" s="127" t="n">
        <f aca="false">VLOOKUP($B139,$C$6:$Z$17,O$22+1)</f>
        <v>0</v>
      </c>
      <c r="P139" s="127" t="n">
        <f aca="false">VLOOKUP($B139,$C$6:$Z$17,P$22+1)</f>
        <v>0</v>
      </c>
      <c r="Q139" s="127" t="n">
        <f aca="false">VLOOKUP($B139,$C$6:$Z$17,Q$22+1)</f>
        <v>0</v>
      </c>
      <c r="R139" s="127" t="n">
        <f aca="false">VLOOKUP($B139,$C$6:$Z$17,R$22+1)</f>
        <v>1.15433651784915</v>
      </c>
      <c r="S139" s="127" t="n">
        <f aca="false">VLOOKUP($B139,$C$6:$Z$17,S$22+1)</f>
        <v>0</v>
      </c>
      <c r="T139" s="127" t="n">
        <f aca="false">VLOOKUP($B139,$C$6:$Z$17,T$22+1)</f>
        <v>0</v>
      </c>
      <c r="U139" s="127" t="n">
        <f aca="false">VLOOKUP($B139,$C$6:$AB$17,T$22+3)-SUM(E139:T139)</f>
        <v>0</v>
      </c>
      <c r="W139" s="128" t="n">
        <f aca="false">$D139*E139</f>
        <v>31.2550623660612</v>
      </c>
      <c r="X139" s="128" t="n">
        <f aca="false">$D139*F139</f>
        <v>31.7571031591999</v>
      </c>
      <c r="Y139" s="128" t="n">
        <f aca="false">$D139*G139</f>
        <v>0</v>
      </c>
      <c r="Z139" s="128" t="n">
        <f aca="false">$D139*H139</f>
        <v>0</v>
      </c>
      <c r="AA139" s="128" t="n">
        <f aca="false">$D139*I139</f>
        <v>31.1229463678668</v>
      </c>
      <c r="AB139" s="128" t="n">
        <f aca="false">$D139*J139</f>
        <v>0</v>
      </c>
      <c r="AC139" s="128" t="n">
        <f aca="false">$D139*K139</f>
        <v>0</v>
      </c>
      <c r="AD139" s="128" t="n">
        <f aca="false">$D139*L139</f>
        <v>0</v>
      </c>
      <c r="AE139" s="128" t="n">
        <f aca="false">$D139*M139</f>
        <v>0</v>
      </c>
      <c r="AF139" s="128" t="n">
        <f aca="false">$D139*N139</f>
        <v>0</v>
      </c>
      <c r="AG139" s="128" t="n">
        <f aca="false">$D139*O139</f>
        <v>0</v>
      </c>
      <c r="AH139" s="128" t="n">
        <f aca="false">$D139*P139</f>
        <v>0</v>
      </c>
      <c r="AI139" s="128" t="n">
        <f aca="false">$D139*Q139</f>
        <v>0</v>
      </c>
      <c r="AJ139" s="128" t="n">
        <f aca="false">$D139*R139</f>
        <v>32.1194144898414</v>
      </c>
      <c r="AK139" s="128" t="n">
        <f aca="false">$D139*S139</f>
        <v>0</v>
      </c>
      <c r="AL139" s="128" t="n">
        <f aca="false">$D139*T139</f>
        <v>0</v>
      </c>
      <c r="AN139" s="129" t="n">
        <f aca="false">SUM(W139:AL139)/4</f>
        <v>31.5636315957423</v>
      </c>
      <c r="AO139" s="130" t="n">
        <f aca="false">D139</f>
        <v>27.8250007629395</v>
      </c>
    </row>
    <row r="140" customFormat="false" ht="16.5" hidden="false" customHeight="false" outlineLevel="0" collapsed="false">
      <c r="B140" s="116" t="n">
        <f aca="false">MONTH(C140)</f>
        <v>5</v>
      </c>
      <c r="C140" s="125" t="n">
        <f aca="false">PJM_01212000!A124</f>
        <v>39203</v>
      </c>
      <c r="D140" s="126" t="n">
        <f aca="false">PJM_01212000!C124</f>
        <v>33.575</v>
      </c>
      <c r="E140" s="127" t="n">
        <f aca="false">VLOOKUP($B140,$C$6:$Z$17,E$22+1)</f>
        <v>0</v>
      </c>
      <c r="F140" s="127" t="n">
        <f aca="false">VLOOKUP($B140,$C$6:$Z$17,F$22+1)</f>
        <v>0</v>
      </c>
      <c r="G140" s="127" t="n">
        <f aca="false">VLOOKUP($B140,$C$6:$Z$17,G$22+1)</f>
        <v>1.06102662180267</v>
      </c>
      <c r="H140" s="127" t="n">
        <f aca="false">VLOOKUP($B140,$C$6:$Z$17,H$22+1)</f>
        <v>1.12549986193072</v>
      </c>
      <c r="I140" s="127" t="n">
        <f aca="false">VLOOKUP($B140,$C$6:$Z$17,I$22+1)</f>
        <v>1.11699070333514</v>
      </c>
      <c r="J140" s="127" t="n">
        <f aca="false">VLOOKUP($B140,$C$6:$Z$17,J$22+1)</f>
        <v>0</v>
      </c>
      <c r="K140" s="127" t="n">
        <f aca="false">VLOOKUP($B140,$C$6:$Z$17,K$22+1)</f>
        <v>0</v>
      </c>
      <c r="L140" s="127" t="n">
        <f aca="false">VLOOKUP($B140,$C$6:$Z$17,L$22+1)</f>
        <v>0</v>
      </c>
      <c r="M140" s="127" t="n">
        <f aca="false">VLOOKUP($B140,$C$6:$Z$17,M$22+1)</f>
        <v>0</v>
      </c>
      <c r="N140" s="127" t="n">
        <f aca="false">VLOOKUP($B140,$C$6:$Z$17,N$22+1)</f>
        <v>0</v>
      </c>
      <c r="O140" s="127" t="n">
        <f aca="false">VLOOKUP($B140,$C$6:$Z$17,O$22+1)</f>
        <v>0</v>
      </c>
      <c r="P140" s="127" t="n">
        <f aca="false">VLOOKUP($B140,$C$6:$Z$17,P$22+1)</f>
        <v>0</v>
      </c>
      <c r="Q140" s="127" t="n">
        <f aca="false">VLOOKUP($B140,$C$6:$Z$17,Q$22+1)</f>
        <v>0</v>
      </c>
      <c r="R140" s="127" t="n">
        <f aca="false">VLOOKUP($B140,$C$6:$Z$17,R$22+1)</f>
        <v>1.08769956124651</v>
      </c>
      <c r="S140" s="127" t="n">
        <f aca="false">VLOOKUP($B140,$C$6:$Z$17,S$22+1)</f>
        <v>0</v>
      </c>
      <c r="T140" s="127" t="n">
        <f aca="false">VLOOKUP($B140,$C$6:$Z$17,T$22+1)</f>
        <v>0</v>
      </c>
      <c r="U140" s="127" t="n">
        <f aca="false">VLOOKUP($B140,$C$6:$AB$17,T$22+3)-SUM(E140:T140)</f>
        <v>0</v>
      </c>
      <c r="W140" s="128" t="n">
        <f aca="false">$D140*E140</f>
        <v>0</v>
      </c>
      <c r="X140" s="128" t="n">
        <f aca="false">$D140*F140</f>
        <v>0</v>
      </c>
      <c r="Y140" s="128" t="n">
        <f aca="false">$D140*G140</f>
        <v>35.6239688270248</v>
      </c>
      <c r="Z140" s="128" t="n">
        <f aca="false">$D140*H140</f>
        <v>37.7886578643239</v>
      </c>
      <c r="AA140" s="128" t="n">
        <f aca="false">$D140*I140</f>
        <v>37.5029628644773</v>
      </c>
      <c r="AB140" s="128" t="n">
        <f aca="false">$D140*J140</f>
        <v>0</v>
      </c>
      <c r="AC140" s="128" t="n">
        <f aca="false">$D140*K140</f>
        <v>0</v>
      </c>
      <c r="AD140" s="128" t="n">
        <f aca="false">$D140*L140</f>
        <v>0</v>
      </c>
      <c r="AE140" s="128" t="n">
        <f aca="false">$D140*M140</f>
        <v>0</v>
      </c>
      <c r="AF140" s="128" t="n">
        <f aca="false">$D140*N140</f>
        <v>0</v>
      </c>
      <c r="AG140" s="128" t="n">
        <f aca="false">$D140*O140</f>
        <v>0</v>
      </c>
      <c r="AH140" s="128" t="n">
        <f aca="false">$D140*P140</f>
        <v>0</v>
      </c>
      <c r="AI140" s="128" t="n">
        <f aca="false">$D140*Q140</f>
        <v>0</v>
      </c>
      <c r="AJ140" s="128" t="n">
        <f aca="false">$D140*R140</f>
        <v>36.5195127688516</v>
      </c>
      <c r="AK140" s="128" t="n">
        <f aca="false">$D140*S140</f>
        <v>0</v>
      </c>
      <c r="AL140" s="128" t="n">
        <f aca="false">$D140*T140</f>
        <v>0</v>
      </c>
      <c r="AN140" s="129" t="n">
        <f aca="false">SUM(W140:AL140)/4</f>
        <v>36.8587755811694</v>
      </c>
      <c r="AO140" s="130" t="n">
        <f aca="false">D140</f>
        <v>33.575</v>
      </c>
    </row>
    <row r="141" customFormat="false" ht="16.5" hidden="false" customHeight="false" outlineLevel="0" collapsed="false">
      <c r="B141" s="116" t="n">
        <f aca="false">MONTH(C141)</f>
        <v>6</v>
      </c>
      <c r="C141" s="125" t="n">
        <f aca="false">PJM_01212000!A125</f>
        <v>39234</v>
      </c>
      <c r="D141" s="126" t="n">
        <f aca="false">PJM_01212000!C125</f>
        <v>58.5999984741211</v>
      </c>
      <c r="E141" s="127" t="n">
        <f aca="false">VLOOKUP($B141,$C$6:$Z$17,E$22+1)</f>
        <v>0</v>
      </c>
      <c r="F141" s="127" t="n">
        <f aca="false">VLOOKUP($B141,$C$6:$Z$17,F$22+1)</f>
        <v>0</v>
      </c>
      <c r="G141" s="127" t="n">
        <f aca="false">VLOOKUP($B141,$C$6:$Z$17,G$22+1)</f>
        <v>0</v>
      </c>
      <c r="H141" s="127" t="n">
        <f aca="false">VLOOKUP($B141,$C$6:$Z$17,H$22+1)</f>
        <v>0</v>
      </c>
      <c r="I141" s="127" t="n">
        <f aca="false">VLOOKUP($B141,$C$6:$Z$17,I$22+1)</f>
        <v>0</v>
      </c>
      <c r="J141" s="127" t="n">
        <f aca="false">VLOOKUP($B141,$C$6:$Z$17,J$22+1)</f>
        <v>0</v>
      </c>
      <c r="K141" s="127" t="n">
        <f aca="false">VLOOKUP($B141,$C$6:$Z$17,K$22+1)</f>
        <v>1.22092018621818</v>
      </c>
      <c r="L141" s="127" t="n">
        <f aca="false">VLOOKUP($B141,$C$6:$Z$17,L$22+1)</f>
        <v>1.23031497714214</v>
      </c>
      <c r="M141" s="127" t="n">
        <f aca="false">VLOOKUP($B141,$C$6:$Z$17,M$22+1)</f>
        <v>1.23232814662584</v>
      </c>
      <c r="N141" s="127" t="n">
        <f aca="false">VLOOKUP($B141,$C$6:$Z$17,N$22+1)</f>
        <v>1.25232563016399</v>
      </c>
      <c r="O141" s="127" t="n">
        <f aca="false">VLOOKUP($B141,$C$6:$Z$17,O$22+1)</f>
        <v>0</v>
      </c>
      <c r="P141" s="127" t="n">
        <f aca="false">VLOOKUP($B141,$C$6:$Z$17,P$22+1)</f>
        <v>0</v>
      </c>
      <c r="Q141" s="127" t="n">
        <f aca="false">VLOOKUP($B141,$C$6:$Z$17,Q$22+1)</f>
        <v>0</v>
      </c>
      <c r="R141" s="127" t="n">
        <f aca="false">VLOOKUP($B141,$C$6:$Z$17,R$22+1)</f>
        <v>0</v>
      </c>
      <c r="S141" s="127" t="n">
        <f aca="false">VLOOKUP($B141,$C$6:$Z$17,S$22+1)</f>
        <v>0</v>
      </c>
      <c r="T141" s="127" t="n">
        <f aca="false">VLOOKUP($B141,$C$6:$Z$17,T$22+1)</f>
        <v>0</v>
      </c>
      <c r="U141" s="127" t="n">
        <f aca="false">VLOOKUP($B141,$C$6:$AB$17,T$22+3)-SUM(E141:T141)</f>
        <v>0</v>
      </c>
      <c r="W141" s="128" t="n">
        <f aca="false">$D141*E141</f>
        <v>0</v>
      </c>
      <c r="X141" s="128" t="n">
        <f aca="false">$D141*F141</f>
        <v>0</v>
      </c>
      <c r="Y141" s="128" t="n">
        <f aca="false">$D141*G141</f>
        <v>0</v>
      </c>
      <c r="Z141" s="128" t="n">
        <f aca="false">$D141*H141</f>
        <v>0</v>
      </c>
      <c r="AA141" s="128" t="n">
        <f aca="false">$D141*I141</f>
        <v>0</v>
      </c>
      <c r="AB141" s="128" t="n">
        <f aca="false">$D141*J141</f>
        <v>0</v>
      </c>
      <c r="AC141" s="128" t="n">
        <f aca="false">$D141*K141</f>
        <v>71.5459210494088</v>
      </c>
      <c r="AD141" s="128" t="n">
        <f aca="false">$D141*L141</f>
        <v>72.0964557832176</v>
      </c>
      <c r="AE141" s="128" t="n">
        <f aca="false">$D141*M141</f>
        <v>72.2144275118909</v>
      </c>
      <c r="AF141" s="128" t="n">
        <f aca="false">$D141*N141</f>
        <v>73.3862800167125</v>
      </c>
      <c r="AG141" s="128" t="n">
        <f aca="false">$D141*O141</f>
        <v>0</v>
      </c>
      <c r="AH141" s="128" t="n">
        <f aca="false">$D141*P141</f>
        <v>0</v>
      </c>
      <c r="AI141" s="128" t="n">
        <f aca="false">$D141*Q141</f>
        <v>0</v>
      </c>
      <c r="AJ141" s="128" t="n">
        <f aca="false">$D141*R141</f>
        <v>0</v>
      </c>
      <c r="AK141" s="128" t="n">
        <f aca="false">$D141*S141</f>
        <v>0</v>
      </c>
      <c r="AL141" s="128" t="n">
        <f aca="false">$D141*T141</f>
        <v>0</v>
      </c>
      <c r="AN141" s="129" t="n">
        <f aca="false">SUM(W141:AL141)/4</f>
        <v>72.3107710903075</v>
      </c>
      <c r="AO141" s="130" t="n">
        <f aca="false">D141</f>
        <v>58.5999984741211</v>
      </c>
    </row>
    <row r="142" customFormat="false" ht="16.5" hidden="false" customHeight="false" outlineLevel="0" collapsed="false">
      <c r="B142" s="116" t="n">
        <f aca="false">MONTH(C142)</f>
        <v>7</v>
      </c>
      <c r="C142" s="125" t="n">
        <f aca="false">PJM_01212000!A126</f>
        <v>39264</v>
      </c>
      <c r="D142" s="126" t="n">
        <f aca="false">PJM_01212000!C126</f>
        <v>100.199996948242</v>
      </c>
      <c r="E142" s="127" t="n">
        <f aca="false">VLOOKUP($B142,$C$6:$Z$17,E$22+1)</f>
        <v>0</v>
      </c>
      <c r="F142" s="127" t="n">
        <f aca="false">VLOOKUP($B142,$C$6:$Z$17,F$22+1)</f>
        <v>0</v>
      </c>
      <c r="G142" s="127" t="n">
        <f aca="false">VLOOKUP($B142,$C$6:$Z$17,G$22+1)</f>
        <v>0</v>
      </c>
      <c r="H142" s="127" t="n">
        <f aca="false">VLOOKUP($B142,$C$6:$Z$17,H$22+1)</f>
        <v>0</v>
      </c>
      <c r="I142" s="127" t="n">
        <f aca="false">VLOOKUP($B142,$C$6:$Z$17,I$22+1)</f>
        <v>0</v>
      </c>
      <c r="J142" s="127" t="n">
        <f aca="false">VLOOKUP($B142,$C$6:$Z$17,J$22+1)</f>
        <v>0</v>
      </c>
      <c r="K142" s="127" t="n">
        <f aca="false">VLOOKUP($B142,$C$6:$Z$17,K$22+1)</f>
        <v>0</v>
      </c>
      <c r="L142" s="127" t="n">
        <f aca="false">VLOOKUP($B142,$C$6:$Z$17,L$22+1)</f>
        <v>1.2506946851613</v>
      </c>
      <c r="M142" s="127" t="n">
        <f aca="false">VLOOKUP($B142,$C$6:$Z$17,M$22+1)</f>
        <v>1.32734019400042</v>
      </c>
      <c r="N142" s="127" t="n">
        <f aca="false">VLOOKUP($B142,$C$6:$Z$17,N$22+1)</f>
        <v>1.35388881627921</v>
      </c>
      <c r="O142" s="127" t="n">
        <f aca="false">VLOOKUP($B142,$C$6:$Z$17,O$22+1)</f>
        <v>1.32033935867348</v>
      </c>
      <c r="P142" s="127" t="n">
        <f aca="false">VLOOKUP($B142,$C$6:$Z$17,P$22+1)</f>
        <v>0</v>
      </c>
      <c r="Q142" s="127" t="n">
        <f aca="false">VLOOKUP($B142,$C$6:$Z$17,Q$22+1)</f>
        <v>0</v>
      </c>
      <c r="R142" s="127" t="n">
        <f aca="false">VLOOKUP($B142,$C$6:$Z$17,R$22+1)</f>
        <v>0</v>
      </c>
      <c r="S142" s="127" t="n">
        <f aca="false">VLOOKUP($B142,$C$6:$Z$17,S$22+1)</f>
        <v>0</v>
      </c>
      <c r="T142" s="127" t="n">
        <f aca="false">VLOOKUP($B142,$C$6:$Z$17,T$22+1)</f>
        <v>0</v>
      </c>
      <c r="U142" s="127" t="n">
        <f aca="false">VLOOKUP($B142,$C$6:$AB$17,T$22+3)-SUM(E142:T142)</f>
        <v>0</v>
      </c>
      <c r="W142" s="128" t="n">
        <f aca="false">$D142*E142</f>
        <v>0</v>
      </c>
      <c r="X142" s="128" t="n">
        <f aca="false">$D142*F142</f>
        <v>0</v>
      </c>
      <c r="Y142" s="128" t="n">
        <f aca="false">$D142*G142</f>
        <v>0</v>
      </c>
      <c r="Z142" s="128" t="n">
        <f aca="false">$D142*H142</f>
        <v>0</v>
      </c>
      <c r="AA142" s="128" t="n">
        <f aca="false">$D142*I142</f>
        <v>0</v>
      </c>
      <c r="AB142" s="128" t="n">
        <f aca="false">$D142*J142</f>
        <v>0</v>
      </c>
      <c r="AC142" s="128" t="n">
        <f aca="false">$D142*K142</f>
        <v>0</v>
      </c>
      <c r="AD142" s="128" t="n">
        <f aca="false">$D142*L142</f>
        <v>125.319603636345</v>
      </c>
      <c r="AE142" s="128" t="n">
        <f aca="false">$D142*M142</f>
        <v>132.999483388121</v>
      </c>
      <c r="AF142" s="128" t="n">
        <f aca="false">$D142*N142</f>
        <v>135.659655259437</v>
      </c>
      <c r="AG142" s="128" t="n">
        <f aca="false">$D142*O142</f>
        <v>132.297999709726</v>
      </c>
      <c r="AH142" s="128" t="n">
        <f aca="false">$D142*P142</f>
        <v>0</v>
      </c>
      <c r="AI142" s="128" t="n">
        <f aca="false">$D142*Q142</f>
        <v>0</v>
      </c>
      <c r="AJ142" s="128" t="n">
        <f aca="false">$D142*R142</f>
        <v>0</v>
      </c>
      <c r="AK142" s="128" t="n">
        <f aca="false">$D142*S142</f>
        <v>0</v>
      </c>
      <c r="AL142" s="128" t="n">
        <f aca="false">$D142*T142</f>
        <v>0</v>
      </c>
      <c r="AN142" s="129" t="n">
        <f aca="false">SUM(W142:AL142)/4</f>
        <v>131.569185498407</v>
      </c>
      <c r="AO142" s="130" t="n">
        <f aca="false">D142</f>
        <v>100.199996948242</v>
      </c>
    </row>
    <row r="143" customFormat="false" ht="16.5" hidden="false" customHeight="false" outlineLevel="0" collapsed="false">
      <c r="B143" s="116" t="n">
        <f aca="false">MONTH(C143)</f>
        <v>8</v>
      </c>
      <c r="C143" s="125" t="n">
        <f aca="false">PJM_01212000!A127</f>
        <v>39295</v>
      </c>
      <c r="D143" s="126" t="n">
        <f aca="false">PJM_01212000!C127</f>
        <v>87.1999969482422</v>
      </c>
      <c r="E143" s="127" t="n">
        <f aca="false">VLOOKUP($B143,$C$6:$Z$17,E$22+1)</f>
        <v>0</v>
      </c>
      <c r="F143" s="127" t="n">
        <f aca="false">VLOOKUP($B143,$C$6:$Z$17,F$22+1)</f>
        <v>0</v>
      </c>
      <c r="G143" s="127" t="n">
        <f aca="false">VLOOKUP($B143,$C$6:$Z$17,G$22+1)</f>
        <v>0</v>
      </c>
      <c r="H143" s="127" t="n">
        <f aca="false">VLOOKUP($B143,$C$6:$Z$17,H$22+1)</f>
        <v>0</v>
      </c>
      <c r="I143" s="127" t="n">
        <f aca="false">VLOOKUP($B143,$C$6:$Z$17,I$22+1)</f>
        <v>0</v>
      </c>
      <c r="J143" s="127" t="n">
        <f aca="false">VLOOKUP($B143,$C$6:$Z$17,J$22+1)</f>
        <v>0</v>
      </c>
      <c r="K143" s="127" t="n">
        <f aca="false">VLOOKUP($B143,$C$6:$Z$17,K$22+1)</f>
        <v>1.19072909190695</v>
      </c>
      <c r="L143" s="127" t="n">
        <f aca="false">VLOOKUP($B143,$C$6:$Z$17,L$22+1)</f>
        <v>1.26057331025457</v>
      </c>
      <c r="M143" s="127" t="n">
        <f aca="false">VLOOKUP($B143,$C$6:$Z$17,M$22+1)</f>
        <v>1.24301093426774</v>
      </c>
      <c r="N143" s="127" t="n">
        <f aca="false">VLOOKUP($B143,$C$6:$Z$17,N$22+1)</f>
        <v>1.21504622788872</v>
      </c>
      <c r="O143" s="127" t="n">
        <f aca="false">VLOOKUP($B143,$C$6:$Z$17,O$22+1)</f>
        <v>0</v>
      </c>
      <c r="P143" s="127" t="n">
        <f aca="false">VLOOKUP($B143,$C$6:$Z$17,P$22+1)</f>
        <v>0</v>
      </c>
      <c r="Q143" s="127" t="n">
        <f aca="false">VLOOKUP($B143,$C$6:$Z$17,Q$22+1)</f>
        <v>0</v>
      </c>
      <c r="R143" s="127" t="n">
        <f aca="false">VLOOKUP($B143,$C$6:$Z$17,R$22+1)</f>
        <v>0</v>
      </c>
      <c r="S143" s="127" t="n">
        <f aca="false">VLOOKUP($B143,$C$6:$Z$17,S$22+1)</f>
        <v>0</v>
      </c>
      <c r="T143" s="127" t="n">
        <f aca="false">VLOOKUP($B143,$C$6:$Z$17,T$22+1)</f>
        <v>0</v>
      </c>
      <c r="U143" s="127" t="n">
        <f aca="false">VLOOKUP($B143,$C$6:$AB$17,T$22+3)-SUM(E143:T143)</f>
        <v>0</v>
      </c>
      <c r="W143" s="128" t="n">
        <f aca="false">$D143*E143</f>
        <v>0</v>
      </c>
      <c r="X143" s="128" t="n">
        <f aca="false">$D143*F143</f>
        <v>0</v>
      </c>
      <c r="Y143" s="128" t="n">
        <f aca="false">$D143*G143</f>
        <v>0</v>
      </c>
      <c r="Z143" s="128" t="n">
        <f aca="false">$D143*H143</f>
        <v>0</v>
      </c>
      <c r="AA143" s="128" t="n">
        <f aca="false">$D143*I143</f>
        <v>0</v>
      </c>
      <c r="AB143" s="128" t="n">
        <f aca="false">$D143*J143</f>
        <v>0</v>
      </c>
      <c r="AC143" s="128" t="n">
        <f aca="false">$D143*K143</f>
        <v>103.83157318047</v>
      </c>
      <c r="AD143" s="128" t="n">
        <f aca="false">$D143*L143</f>
        <v>109.921988807234</v>
      </c>
      <c r="AE143" s="128" t="n">
        <f aca="false">$D143*M143</f>
        <v>108.390549674779</v>
      </c>
      <c r="AF143" s="128" t="n">
        <f aca="false">$D143*N143</f>
        <v>105.952027363869</v>
      </c>
      <c r="AG143" s="128" t="n">
        <f aca="false">$D143*O143</f>
        <v>0</v>
      </c>
      <c r="AH143" s="128" t="n">
        <f aca="false">$D143*P143</f>
        <v>0</v>
      </c>
      <c r="AI143" s="128" t="n">
        <f aca="false">$D143*Q143</f>
        <v>0</v>
      </c>
      <c r="AJ143" s="128" t="n">
        <f aca="false">$D143*R143</f>
        <v>0</v>
      </c>
      <c r="AK143" s="128" t="n">
        <f aca="false">$D143*S143</f>
        <v>0</v>
      </c>
      <c r="AL143" s="128" t="n">
        <f aca="false">$D143*T143</f>
        <v>0</v>
      </c>
      <c r="AN143" s="129" t="n">
        <f aca="false">SUM(W143:AL143)/4</f>
        <v>107.024034756588</v>
      </c>
      <c r="AO143" s="130" t="n">
        <f aca="false">D143</f>
        <v>87.1999969482422</v>
      </c>
    </row>
    <row r="144" customFormat="false" ht="16.5" hidden="false" customHeight="false" outlineLevel="0" collapsed="false">
      <c r="B144" s="116" t="n">
        <f aca="false">MONTH(C144)</f>
        <v>9</v>
      </c>
      <c r="C144" s="125" t="n">
        <f aca="false">PJM_01212000!A128</f>
        <v>39326</v>
      </c>
      <c r="D144" s="126" t="n">
        <f aca="false">PJM_01212000!C128</f>
        <v>34.9249984741211</v>
      </c>
      <c r="E144" s="127" t="n">
        <f aca="false">VLOOKUP($B144,$C$6:$Z$17,E$22+1)</f>
        <v>0</v>
      </c>
      <c r="F144" s="127" t="n">
        <f aca="false">VLOOKUP($B144,$C$6:$Z$17,F$22+1)</f>
        <v>0</v>
      </c>
      <c r="G144" s="127" t="n">
        <f aca="false">VLOOKUP($B144,$C$6:$Z$17,G$22+1)</f>
        <v>0</v>
      </c>
      <c r="H144" s="127" t="n">
        <f aca="false">VLOOKUP($B144,$C$6:$Z$17,H$22+1)</f>
        <v>0</v>
      </c>
      <c r="I144" s="127" t="n">
        <f aca="false">VLOOKUP($B144,$C$6:$Z$17,I$22+1)</f>
        <v>0</v>
      </c>
      <c r="J144" s="127" t="n">
        <f aca="false">VLOOKUP($B144,$C$6:$Z$17,J$22+1)</f>
        <v>0</v>
      </c>
      <c r="K144" s="127" t="n">
        <f aca="false">VLOOKUP($B144,$C$6:$Z$17,K$22+1)</f>
        <v>0</v>
      </c>
      <c r="L144" s="127" t="n">
        <f aca="false">VLOOKUP($B144,$C$6:$Z$17,L$22+1)</f>
        <v>0</v>
      </c>
      <c r="M144" s="127" t="n">
        <f aca="false">VLOOKUP($B144,$C$6:$Z$17,M$22+1)</f>
        <v>0</v>
      </c>
      <c r="N144" s="127" t="n">
        <f aca="false">VLOOKUP($B144,$C$6:$Z$17,N$22+1)</f>
        <v>1.13452840898687</v>
      </c>
      <c r="O144" s="127" t="n">
        <f aca="false">VLOOKUP($B144,$C$6:$Z$17,O$22+1)</f>
        <v>1.1066962078626</v>
      </c>
      <c r="P144" s="127" t="n">
        <f aca="false">VLOOKUP($B144,$C$6:$Z$17,P$22+1)</f>
        <v>0</v>
      </c>
      <c r="Q144" s="127" t="n">
        <f aca="false">VLOOKUP($B144,$C$6:$Z$17,Q$22+1)</f>
        <v>1.18462637101057</v>
      </c>
      <c r="R144" s="127" t="n">
        <f aca="false">VLOOKUP($B144,$C$6:$Z$17,R$22+1)</f>
        <v>1.1944408840386</v>
      </c>
      <c r="S144" s="127" t="n">
        <f aca="false">VLOOKUP($B144,$C$6:$Z$17,S$22+1)</f>
        <v>0</v>
      </c>
      <c r="T144" s="127" t="n">
        <f aca="false">VLOOKUP($B144,$C$6:$Z$17,T$22+1)</f>
        <v>0</v>
      </c>
      <c r="U144" s="127" t="n">
        <f aca="false">VLOOKUP($B144,$C$6:$AB$17,T$22+3)-SUM(E144:T144)</f>
        <v>0</v>
      </c>
      <c r="W144" s="128" t="n">
        <f aca="false">$D144*E144</f>
        <v>0</v>
      </c>
      <c r="X144" s="128" t="n">
        <f aca="false">$D144*F144</f>
        <v>0</v>
      </c>
      <c r="Y144" s="128" t="n">
        <f aca="false">$D144*G144</f>
        <v>0</v>
      </c>
      <c r="Z144" s="128" t="n">
        <f aca="false">$D144*H144</f>
        <v>0</v>
      </c>
      <c r="AA144" s="128" t="n">
        <f aca="false">$D144*I144</f>
        <v>0</v>
      </c>
      <c r="AB144" s="128" t="n">
        <f aca="false">$D144*J144</f>
        <v>0</v>
      </c>
      <c r="AC144" s="128" t="n">
        <f aca="false">$D144*K144</f>
        <v>0</v>
      </c>
      <c r="AD144" s="128" t="n">
        <f aca="false">$D144*L144</f>
        <v>0</v>
      </c>
      <c r="AE144" s="128" t="n">
        <f aca="false">$D144*M144</f>
        <v>0</v>
      </c>
      <c r="AF144" s="128" t="n">
        <f aca="false">$D144*N144</f>
        <v>39.6234029527136</v>
      </c>
      <c r="AG144" s="128" t="n">
        <f aca="false">$D144*O144</f>
        <v>38.6513633709168</v>
      </c>
      <c r="AH144" s="128" t="n">
        <f aca="false">$D144*P144</f>
        <v>0</v>
      </c>
      <c r="AI144" s="128" t="n">
        <f aca="false">$D144*Q144</f>
        <v>41.3730741999476</v>
      </c>
      <c r="AJ144" s="128" t="n">
        <f aca="false">$D144*R144</f>
        <v>41.7158460524759</v>
      </c>
      <c r="AK144" s="128" t="n">
        <f aca="false">$D144*S144</f>
        <v>0</v>
      </c>
      <c r="AL144" s="128" t="n">
        <f aca="false">$D144*T144</f>
        <v>0</v>
      </c>
      <c r="AN144" s="129" t="n">
        <f aca="false">SUM(W144:AL144)/4</f>
        <v>40.3409216440135</v>
      </c>
      <c r="AO144" s="130" t="n">
        <f aca="false">D144</f>
        <v>34.9249984741211</v>
      </c>
    </row>
    <row r="145" customFormat="false" ht="16.5" hidden="false" customHeight="false" outlineLevel="0" collapsed="false">
      <c r="B145" s="116" t="n">
        <f aca="false">MONTH(C145)</f>
        <v>10</v>
      </c>
      <c r="C145" s="125" t="n">
        <f aca="false">PJM_01212000!A129</f>
        <v>39356</v>
      </c>
      <c r="D145" s="126" t="n">
        <f aca="false">PJM_01212000!C129</f>
        <v>28.5750003814697</v>
      </c>
      <c r="E145" s="127" t="n">
        <f aca="false">VLOOKUP($B145,$C$6:$Z$17,E$22+1)</f>
        <v>0</v>
      </c>
      <c r="F145" s="127" t="n">
        <f aca="false">VLOOKUP($B145,$C$6:$Z$17,F$22+1)</f>
        <v>1.1326</v>
      </c>
      <c r="G145" s="127" t="n">
        <f aca="false">VLOOKUP($B145,$C$6:$Z$17,G$22+1)</f>
        <v>0</v>
      </c>
      <c r="H145" s="127" t="n">
        <f aca="false">VLOOKUP($B145,$C$6:$Z$17,H$22+1)</f>
        <v>0</v>
      </c>
      <c r="I145" s="127" t="n">
        <f aca="false">VLOOKUP($B145,$C$6:$Z$17,I$22+1)</f>
        <v>0</v>
      </c>
      <c r="J145" s="127" t="n">
        <f aca="false">VLOOKUP($B145,$C$6:$Z$17,J$22+1)</f>
        <v>0</v>
      </c>
      <c r="K145" s="127" t="n">
        <f aca="false">VLOOKUP($B145,$C$6:$Z$17,K$22+1)</f>
        <v>0</v>
      </c>
      <c r="L145" s="127" t="n">
        <f aca="false">VLOOKUP($B145,$C$6:$Z$17,L$22+1)</f>
        <v>0</v>
      </c>
      <c r="M145" s="127" t="n">
        <f aca="false">VLOOKUP($B145,$C$6:$Z$17,M$22+1)</f>
        <v>0</v>
      </c>
      <c r="N145" s="127" t="n">
        <f aca="false">VLOOKUP($B145,$C$6:$Z$17,N$22+1)</f>
        <v>0</v>
      </c>
      <c r="O145" s="127" t="n">
        <f aca="false">VLOOKUP($B145,$C$6:$Z$17,O$22+1)</f>
        <v>1.2001</v>
      </c>
      <c r="P145" s="127" t="n">
        <f aca="false">VLOOKUP($B145,$C$6:$Z$17,P$22+1)</f>
        <v>1.2095</v>
      </c>
      <c r="Q145" s="127" t="n">
        <f aca="false">VLOOKUP($B145,$C$6:$Z$17,Q$22+1)</f>
        <v>1.1567</v>
      </c>
      <c r="R145" s="127" t="n">
        <f aca="false">VLOOKUP($B145,$C$6:$Z$17,R$22+1)</f>
        <v>0</v>
      </c>
      <c r="S145" s="127" t="n">
        <f aca="false">VLOOKUP($B145,$C$6:$Z$17,S$22+1)</f>
        <v>0</v>
      </c>
      <c r="T145" s="127" t="n">
        <f aca="false">VLOOKUP($B145,$C$6:$Z$17,T$22+1)</f>
        <v>0</v>
      </c>
      <c r="U145" s="127" t="n">
        <f aca="false">VLOOKUP($B145,$C$6:$AB$17,T$22+3)-SUM(E145:T145)</f>
        <v>0</v>
      </c>
      <c r="W145" s="128" t="n">
        <f aca="false">$D145*E145</f>
        <v>0</v>
      </c>
      <c r="X145" s="128" t="n">
        <f aca="false">$D145*F145</f>
        <v>32.3640454320526</v>
      </c>
      <c r="Y145" s="128" t="n">
        <f aca="false">$D145*G145</f>
        <v>0</v>
      </c>
      <c r="Z145" s="128" t="n">
        <f aca="false">$D145*H145</f>
        <v>0</v>
      </c>
      <c r="AA145" s="128" t="n">
        <f aca="false">$D145*I145</f>
        <v>0</v>
      </c>
      <c r="AB145" s="128" t="n">
        <f aca="false">$D145*J145</f>
        <v>0</v>
      </c>
      <c r="AC145" s="128" t="n">
        <f aca="false">$D145*K145</f>
        <v>0</v>
      </c>
      <c r="AD145" s="128" t="n">
        <f aca="false">$D145*L145</f>
        <v>0</v>
      </c>
      <c r="AE145" s="128" t="n">
        <f aca="false">$D145*M145</f>
        <v>0</v>
      </c>
      <c r="AF145" s="128" t="n">
        <f aca="false">$D145*N145</f>
        <v>0</v>
      </c>
      <c r="AG145" s="128" t="n">
        <f aca="false">$D145*O145</f>
        <v>34.2928579578018</v>
      </c>
      <c r="AH145" s="128" t="n">
        <f aca="false">$D145*P145</f>
        <v>34.5614629613876</v>
      </c>
      <c r="AI145" s="128" t="n">
        <f aca="false">$D145*Q145</f>
        <v>33.052702941246</v>
      </c>
      <c r="AJ145" s="128" t="n">
        <f aca="false">$D145*R145</f>
        <v>0</v>
      </c>
      <c r="AK145" s="128" t="n">
        <f aca="false">$D145*S145</f>
        <v>0</v>
      </c>
      <c r="AL145" s="128" t="n">
        <f aca="false">$D145*T145</f>
        <v>0</v>
      </c>
      <c r="AN145" s="129" t="n">
        <f aca="false">SUM(W145:AL145)/4</f>
        <v>33.567767323122</v>
      </c>
      <c r="AO145" s="130" t="n">
        <f aca="false">D145</f>
        <v>28.5750003814697</v>
      </c>
    </row>
    <row r="146" customFormat="false" ht="16.5" hidden="false" customHeight="false" outlineLevel="0" collapsed="false">
      <c r="B146" s="116" t="n">
        <f aca="false">MONTH(C146)</f>
        <v>11</v>
      </c>
      <c r="C146" s="125" t="n">
        <f aca="false">PJM_01212000!A130</f>
        <v>39387</v>
      </c>
      <c r="D146" s="126" t="n">
        <f aca="false">PJM_01212000!C130</f>
        <v>28.2474990844727</v>
      </c>
      <c r="E146" s="127" t="n">
        <f aca="false">VLOOKUP($B146,$C$6:$Z$17,E$22+1)</f>
        <v>0</v>
      </c>
      <c r="F146" s="127" t="n">
        <f aca="false">VLOOKUP($B146,$C$6:$Z$17,F$22+1)</f>
        <v>1.1426</v>
      </c>
      <c r="G146" s="127" t="n">
        <f aca="false">VLOOKUP($B146,$C$6:$Z$17,G$22+1)</f>
        <v>0</v>
      </c>
      <c r="H146" s="127" t="n">
        <f aca="false">VLOOKUP($B146,$C$6:$Z$17,H$22+1)</f>
        <v>0</v>
      </c>
      <c r="I146" s="127" t="n">
        <f aca="false">VLOOKUP($B146,$C$6:$Z$17,I$22+1)</f>
        <v>0</v>
      </c>
      <c r="J146" s="127" t="n">
        <f aca="false">VLOOKUP($B146,$C$6:$Z$17,J$22+1)</f>
        <v>0</v>
      </c>
      <c r="K146" s="127" t="n">
        <f aca="false">VLOOKUP($B146,$C$6:$Z$17,K$22+1)</f>
        <v>0</v>
      </c>
      <c r="L146" s="127" t="n">
        <f aca="false">VLOOKUP($B146,$C$6:$Z$17,L$22+1)</f>
        <v>0</v>
      </c>
      <c r="M146" s="127" t="n">
        <f aca="false">VLOOKUP($B146,$C$6:$Z$17,M$22+1)</f>
        <v>0</v>
      </c>
      <c r="N146" s="127" t="n">
        <f aca="false">VLOOKUP($B146,$C$6:$Z$17,N$22+1)</f>
        <v>0</v>
      </c>
      <c r="O146" s="127" t="n">
        <f aca="false">VLOOKUP($B146,$C$6:$Z$17,O$22+1)</f>
        <v>1.2171</v>
      </c>
      <c r="P146" s="127" t="n">
        <f aca="false">VLOOKUP($B146,$C$6:$Z$17,P$22+1)</f>
        <v>1.2269</v>
      </c>
      <c r="Q146" s="127" t="n">
        <f aca="false">VLOOKUP($B146,$C$6:$Z$17,Q$22+1)</f>
        <v>1.1767</v>
      </c>
      <c r="R146" s="127" t="n">
        <f aca="false">VLOOKUP($B146,$C$6:$Z$17,R$22+1)</f>
        <v>0</v>
      </c>
      <c r="S146" s="127" t="n">
        <f aca="false">VLOOKUP($B146,$C$6:$Z$17,S$22+1)</f>
        <v>0</v>
      </c>
      <c r="T146" s="127" t="n">
        <f aca="false">VLOOKUP($B146,$C$6:$Z$17,T$22+1)</f>
        <v>0</v>
      </c>
      <c r="U146" s="127" t="n">
        <f aca="false">VLOOKUP($B146,$C$6:$AB$17,T$22+3)-SUM(E146:T146)</f>
        <v>0</v>
      </c>
      <c r="W146" s="128" t="n">
        <f aca="false">$D146*E146</f>
        <v>0</v>
      </c>
      <c r="X146" s="128" t="n">
        <f aca="false">$D146*F146</f>
        <v>32.2755924539185</v>
      </c>
      <c r="Y146" s="128" t="n">
        <f aca="false">$D146*G146</f>
        <v>0</v>
      </c>
      <c r="Z146" s="128" t="n">
        <f aca="false">$D146*H146</f>
        <v>0</v>
      </c>
      <c r="AA146" s="128" t="n">
        <f aca="false">$D146*I146</f>
        <v>0</v>
      </c>
      <c r="AB146" s="128" t="n">
        <f aca="false">$D146*J146</f>
        <v>0</v>
      </c>
      <c r="AC146" s="128" t="n">
        <f aca="false">$D146*K146</f>
        <v>0</v>
      </c>
      <c r="AD146" s="128" t="n">
        <f aca="false">$D146*L146</f>
        <v>0</v>
      </c>
      <c r="AE146" s="128" t="n">
        <f aca="false">$D146*M146</f>
        <v>0</v>
      </c>
      <c r="AF146" s="128" t="n">
        <f aca="false">$D146*N146</f>
        <v>0</v>
      </c>
      <c r="AG146" s="128" t="n">
        <f aca="false">$D146*O146</f>
        <v>34.3800311357117</v>
      </c>
      <c r="AH146" s="128" t="n">
        <f aca="false">$D146*P146</f>
        <v>34.6568566267395</v>
      </c>
      <c r="AI146" s="128" t="n">
        <f aca="false">$D146*Q146</f>
        <v>33.238832172699</v>
      </c>
      <c r="AJ146" s="128" t="n">
        <f aca="false">$D146*R146</f>
        <v>0</v>
      </c>
      <c r="AK146" s="128" t="n">
        <f aca="false">$D146*S146</f>
        <v>0</v>
      </c>
      <c r="AL146" s="128" t="n">
        <f aca="false">$D146*T146</f>
        <v>0</v>
      </c>
      <c r="AN146" s="129" t="n">
        <f aca="false">SUM(W146:AL146)/4</f>
        <v>33.6378280972672</v>
      </c>
      <c r="AO146" s="130" t="n">
        <f aca="false">D146</f>
        <v>28.2474990844727</v>
      </c>
    </row>
    <row r="147" customFormat="false" ht="16.5" hidden="false" customHeight="false" outlineLevel="0" collapsed="false">
      <c r="B147" s="116" t="n">
        <f aca="false">MONTH(C147)</f>
        <v>12</v>
      </c>
      <c r="C147" s="125" t="n">
        <f aca="false">PJM_01212000!A131</f>
        <v>39417</v>
      </c>
      <c r="D147" s="126" t="n">
        <f aca="false">PJM_01212000!C131</f>
        <v>29.9999996185303</v>
      </c>
      <c r="E147" s="127" t="n">
        <f aca="false">VLOOKUP($B147,$C$6:$Z$17,E$22+1)</f>
        <v>0</v>
      </c>
      <c r="F147" s="127" t="n">
        <f aca="false">VLOOKUP($B147,$C$6:$Z$17,F$22+1)</f>
        <v>1.1638</v>
      </c>
      <c r="G147" s="127" t="n">
        <f aca="false">VLOOKUP($B147,$C$6:$Z$17,G$22+1)</f>
        <v>0</v>
      </c>
      <c r="H147" s="127" t="n">
        <f aca="false">VLOOKUP($B147,$C$6:$Z$17,H$22+1)</f>
        <v>0</v>
      </c>
      <c r="I147" s="127" t="n">
        <f aca="false">VLOOKUP($B147,$C$6:$Z$17,I$22+1)</f>
        <v>0</v>
      </c>
      <c r="J147" s="127" t="n">
        <f aca="false">VLOOKUP($B147,$C$6:$Z$17,J$22+1)</f>
        <v>0</v>
      </c>
      <c r="K147" s="127" t="n">
        <f aca="false">VLOOKUP($B147,$C$6:$Z$17,K$22+1)</f>
        <v>0</v>
      </c>
      <c r="L147" s="127" t="n">
        <f aca="false">VLOOKUP($B147,$C$6:$Z$17,L$22+1)</f>
        <v>0</v>
      </c>
      <c r="M147" s="127" t="n">
        <f aca="false">VLOOKUP($B147,$C$6:$Z$17,M$22+1)</f>
        <v>0</v>
      </c>
      <c r="N147" s="127" t="n">
        <f aca="false">VLOOKUP($B147,$C$6:$Z$17,N$22+1)</f>
        <v>0</v>
      </c>
      <c r="O147" s="127" t="n">
        <f aca="false">VLOOKUP($B147,$C$6:$Z$17,O$22+1)</f>
        <v>1.23965925286319</v>
      </c>
      <c r="P147" s="127" t="n">
        <f aca="false">VLOOKUP($B147,$C$6:$Z$17,P$22+1)</f>
        <v>1.2314</v>
      </c>
      <c r="Q147" s="127" t="n">
        <f aca="false">VLOOKUP($B147,$C$6:$Z$17,Q$22+1)</f>
        <v>1.18899630831453</v>
      </c>
      <c r="R147" s="127" t="n">
        <f aca="false">VLOOKUP($B147,$C$6:$Z$17,R$22+1)</f>
        <v>0</v>
      </c>
      <c r="S147" s="127" t="n">
        <f aca="false">VLOOKUP($B147,$C$6:$Z$17,S$22+1)</f>
        <v>0</v>
      </c>
      <c r="T147" s="127" t="n">
        <f aca="false">VLOOKUP($B147,$C$6:$Z$17,T$22+1)</f>
        <v>0</v>
      </c>
      <c r="U147" s="127" t="n">
        <f aca="false">VLOOKUP($B147,$C$6:$AB$17,T$22+3)-SUM(E147:T147)</f>
        <v>0</v>
      </c>
      <c r="W147" s="128" t="n">
        <f aca="false">$D147*E147</f>
        <v>0</v>
      </c>
      <c r="X147" s="128" t="n">
        <f aca="false">$D147*F147</f>
        <v>34.9139995560455</v>
      </c>
      <c r="Y147" s="128" t="n">
        <f aca="false">$D147*G147</f>
        <v>0</v>
      </c>
      <c r="Z147" s="128" t="n">
        <f aca="false">$D147*H147</f>
        <v>0</v>
      </c>
      <c r="AA147" s="128" t="n">
        <f aca="false">$D147*I147</f>
        <v>0</v>
      </c>
      <c r="AB147" s="128" t="n">
        <f aca="false">$D147*J147</f>
        <v>0</v>
      </c>
      <c r="AC147" s="128" t="n">
        <f aca="false">$D147*K147</f>
        <v>0</v>
      </c>
      <c r="AD147" s="128" t="n">
        <f aca="false">$D147*L147</f>
        <v>0</v>
      </c>
      <c r="AE147" s="128" t="n">
        <f aca="false">$D147*M147</f>
        <v>0</v>
      </c>
      <c r="AF147" s="128" t="n">
        <f aca="false">$D147*N147</f>
        <v>0</v>
      </c>
      <c r="AG147" s="128" t="n">
        <f aca="false">$D147*O147</f>
        <v>37.1897771130032</v>
      </c>
      <c r="AH147" s="128" t="n">
        <f aca="false">$D147*P147</f>
        <v>36.9419995302582</v>
      </c>
      <c r="AI147" s="128" t="n">
        <f aca="false">$D147*Q147</f>
        <v>35.6698887958698</v>
      </c>
      <c r="AJ147" s="128" t="n">
        <f aca="false">$D147*R147</f>
        <v>0</v>
      </c>
      <c r="AK147" s="128" t="n">
        <f aca="false">$D147*S147</f>
        <v>0</v>
      </c>
      <c r="AL147" s="128" t="n">
        <f aca="false">$D147*T147</f>
        <v>0</v>
      </c>
      <c r="AN147" s="129" t="n">
        <f aca="false">SUM(W147:AL147)/4</f>
        <v>36.1789162487942</v>
      </c>
      <c r="AO147" s="130" t="n">
        <f aca="false">D147</f>
        <v>29.9999996185303</v>
      </c>
    </row>
    <row r="148" customFormat="false" ht="16.5" hidden="false" customHeight="false" outlineLevel="0" collapsed="false">
      <c r="B148" s="116" t="n">
        <f aca="false">MONTH(C148)</f>
        <v>1</v>
      </c>
      <c r="C148" s="125" t="n">
        <f aca="false">PJM_01212000!A132</f>
        <v>39448</v>
      </c>
      <c r="D148" s="126" t="n">
        <f aca="false">PJM_01212000!C132</f>
        <v>38.8249984741211</v>
      </c>
      <c r="E148" s="127" t="n">
        <f aca="false">VLOOKUP($B148,$C$6:$Z$17,E$22+1)</f>
        <v>0</v>
      </c>
      <c r="F148" s="127" t="n">
        <f aca="false">VLOOKUP($B148,$C$6:$Z$17,F$22+1)</f>
        <v>1.19981175661928</v>
      </c>
      <c r="G148" s="127" t="n">
        <f aca="false">VLOOKUP($B148,$C$6:$Z$17,G$22+1)</f>
        <v>1.19616001156207</v>
      </c>
      <c r="H148" s="127" t="n">
        <f aca="false">VLOOKUP($B148,$C$6:$Z$17,H$22+1)</f>
        <v>0</v>
      </c>
      <c r="I148" s="127" t="n">
        <f aca="false">VLOOKUP($B148,$C$6:$Z$17,I$22+1)</f>
        <v>0</v>
      </c>
      <c r="J148" s="127" t="n">
        <f aca="false">VLOOKUP($B148,$C$6:$Z$17,J$22+1)</f>
        <v>0</v>
      </c>
      <c r="K148" s="127" t="n">
        <f aca="false">VLOOKUP($B148,$C$6:$Z$17,K$22+1)</f>
        <v>0</v>
      </c>
      <c r="L148" s="127" t="n">
        <f aca="false">VLOOKUP($B148,$C$6:$Z$17,L$22+1)</f>
        <v>0</v>
      </c>
      <c r="M148" s="127" t="n">
        <f aca="false">VLOOKUP($B148,$C$6:$Z$17,M$22+1)</f>
        <v>0</v>
      </c>
      <c r="N148" s="127" t="n">
        <f aca="false">VLOOKUP($B148,$C$6:$Z$17,N$22+1)</f>
        <v>0</v>
      </c>
      <c r="O148" s="127" t="n">
        <f aca="false">VLOOKUP($B148,$C$6:$Z$17,O$22+1)</f>
        <v>0</v>
      </c>
      <c r="P148" s="127" t="n">
        <f aca="false">VLOOKUP($B148,$C$6:$Z$17,P$22+1)</f>
        <v>1.28189922894351</v>
      </c>
      <c r="Q148" s="127" t="n">
        <f aca="false">VLOOKUP($B148,$C$6:$Z$17,Q$22+1)</f>
        <v>1.227</v>
      </c>
      <c r="R148" s="127" t="n">
        <f aca="false">VLOOKUP($B148,$C$6:$Z$17,R$22+1)</f>
        <v>0</v>
      </c>
      <c r="S148" s="127" t="n">
        <f aca="false">VLOOKUP($B148,$C$6:$Z$17,S$22+1)</f>
        <v>0</v>
      </c>
      <c r="T148" s="127" t="n">
        <f aca="false">VLOOKUP($B148,$C$6:$Z$17,T$22+1)</f>
        <v>0</v>
      </c>
      <c r="U148" s="127" t="n">
        <f aca="false">VLOOKUP($B148,$C$6:$AB$17,T$22+3)-SUM(E148:T148)</f>
        <v>0</v>
      </c>
      <c r="W148" s="128" t="n">
        <f aca="false">$D148*E148</f>
        <v>0</v>
      </c>
      <c r="X148" s="128" t="n">
        <f aca="false">$D148*F148</f>
        <v>46.5826896199762</v>
      </c>
      <c r="Y148" s="128" t="n">
        <f aca="false">$D148*G148</f>
        <v>46.4409106237021</v>
      </c>
      <c r="Z148" s="128" t="n">
        <f aca="false">$D148*H148</f>
        <v>0</v>
      </c>
      <c r="AA148" s="128" t="n">
        <f aca="false">$D148*I148</f>
        <v>0</v>
      </c>
      <c r="AB148" s="128" t="n">
        <f aca="false">$D148*J148</f>
        <v>0</v>
      </c>
      <c r="AC148" s="128" t="n">
        <f aca="false">$D148*K148</f>
        <v>0</v>
      </c>
      <c r="AD148" s="128" t="n">
        <f aca="false">$D148*L148</f>
        <v>0</v>
      </c>
      <c r="AE148" s="128" t="n">
        <f aca="false">$D148*M148</f>
        <v>0</v>
      </c>
      <c r="AF148" s="128" t="n">
        <f aca="false">$D148*N148</f>
        <v>0</v>
      </c>
      <c r="AG148" s="128" t="n">
        <f aca="false">$D148*O148</f>
        <v>0</v>
      </c>
      <c r="AH148" s="128" t="n">
        <f aca="false">$D148*P148</f>
        <v>49.7697356077088</v>
      </c>
      <c r="AI148" s="128" t="n">
        <f aca="false">$D148*Q148</f>
        <v>47.6382731277466</v>
      </c>
      <c r="AJ148" s="128" t="n">
        <f aca="false">$D148*R148</f>
        <v>0</v>
      </c>
      <c r="AK148" s="128" t="n">
        <f aca="false">$D148*S148</f>
        <v>0</v>
      </c>
      <c r="AL148" s="128" t="n">
        <f aca="false">$D148*T148</f>
        <v>0</v>
      </c>
      <c r="AN148" s="129" t="n">
        <f aca="false">SUM(W148:AL148)/4</f>
        <v>47.6079022447834</v>
      </c>
      <c r="AO148" s="130" t="n">
        <f aca="false">D148</f>
        <v>38.8249984741211</v>
      </c>
    </row>
    <row r="149" customFormat="false" ht="16.5" hidden="false" customHeight="false" outlineLevel="0" collapsed="false">
      <c r="B149" s="116" t="n">
        <f aca="false">MONTH(C149)</f>
        <v>2</v>
      </c>
      <c r="C149" s="125" t="n">
        <f aca="false">PJM_01212000!A133</f>
        <v>39479</v>
      </c>
      <c r="D149" s="126" t="n">
        <f aca="false">PJM_01212000!C133</f>
        <v>38.8249984741211</v>
      </c>
      <c r="E149" s="127" t="n">
        <f aca="false">VLOOKUP($B149,$C$6:$Z$17,E$22+1)</f>
        <v>0</v>
      </c>
      <c r="F149" s="127" t="n">
        <f aca="false">VLOOKUP($B149,$C$6:$Z$17,F$22+1)</f>
        <v>1.19981175661928</v>
      </c>
      <c r="G149" s="127" t="n">
        <f aca="false">VLOOKUP($B149,$C$6:$Z$17,G$22+1)</f>
        <v>1.19616001156207</v>
      </c>
      <c r="H149" s="127" t="n">
        <f aca="false">VLOOKUP($B149,$C$6:$Z$17,H$22+1)</f>
        <v>0</v>
      </c>
      <c r="I149" s="127" t="n">
        <f aca="false">VLOOKUP($B149,$C$6:$Z$17,I$22+1)</f>
        <v>0</v>
      </c>
      <c r="J149" s="127" t="n">
        <f aca="false">VLOOKUP($B149,$C$6:$Z$17,J$22+1)</f>
        <v>0</v>
      </c>
      <c r="K149" s="127" t="n">
        <f aca="false">VLOOKUP($B149,$C$6:$Z$17,K$22+1)</f>
        <v>0</v>
      </c>
      <c r="L149" s="127" t="n">
        <f aca="false">VLOOKUP($B149,$C$6:$Z$17,L$22+1)</f>
        <v>0</v>
      </c>
      <c r="M149" s="127" t="n">
        <f aca="false">VLOOKUP($B149,$C$6:$Z$17,M$22+1)</f>
        <v>0</v>
      </c>
      <c r="N149" s="127" t="n">
        <f aca="false">VLOOKUP($B149,$C$6:$Z$17,N$22+1)</f>
        <v>0</v>
      </c>
      <c r="O149" s="127" t="n">
        <f aca="false">VLOOKUP($B149,$C$6:$Z$17,O$22+1)</f>
        <v>0</v>
      </c>
      <c r="P149" s="127" t="n">
        <f aca="false">VLOOKUP($B149,$C$6:$Z$17,P$22+1)</f>
        <v>1.28189922894351</v>
      </c>
      <c r="Q149" s="127" t="n">
        <f aca="false">VLOOKUP($B149,$C$6:$Z$17,Q$22+1)</f>
        <v>1.227</v>
      </c>
      <c r="R149" s="127" t="n">
        <f aca="false">VLOOKUP($B149,$C$6:$Z$17,R$22+1)</f>
        <v>0</v>
      </c>
      <c r="S149" s="127" t="n">
        <f aca="false">VLOOKUP($B149,$C$6:$Z$17,S$22+1)</f>
        <v>0</v>
      </c>
      <c r="T149" s="127" t="n">
        <f aca="false">VLOOKUP($B149,$C$6:$Z$17,T$22+1)</f>
        <v>0</v>
      </c>
      <c r="U149" s="127" t="n">
        <f aca="false">VLOOKUP($B149,$C$6:$AB$17,T$22+3)-SUM(E149:T149)</f>
        <v>0</v>
      </c>
      <c r="W149" s="128" t="n">
        <f aca="false">$D149*E149</f>
        <v>0</v>
      </c>
      <c r="X149" s="128" t="n">
        <f aca="false">$D149*F149</f>
        <v>46.5826896199762</v>
      </c>
      <c r="Y149" s="128" t="n">
        <f aca="false">$D149*G149</f>
        <v>46.4409106237021</v>
      </c>
      <c r="Z149" s="128" t="n">
        <f aca="false">$D149*H149</f>
        <v>0</v>
      </c>
      <c r="AA149" s="128" t="n">
        <f aca="false">$D149*I149</f>
        <v>0</v>
      </c>
      <c r="AB149" s="128" t="n">
        <f aca="false">$D149*J149</f>
        <v>0</v>
      </c>
      <c r="AC149" s="128" t="n">
        <f aca="false">$D149*K149</f>
        <v>0</v>
      </c>
      <c r="AD149" s="128" t="n">
        <f aca="false">$D149*L149</f>
        <v>0</v>
      </c>
      <c r="AE149" s="128" t="n">
        <f aca="false">$D149*M149</f>
        <v>0</v>
      </c>
      <c r="AF149" s="128" t="n">
        <f aca="false">$D149*N149</f>
        <v>0</v>
      </c>
      <c r="AG149" s="128" t="n">
        <f aca="false">$D149*O149</f>
        <v>0</v>
      </c>
      <c r="AH149" s="128" t="n">
        <f aca="false">$D149*P149</f>
        <v>49.7697356077088</v>
      </c>
      <c r="AI149" s="128" t="n">
        <f aca="false">$D149*Q149</f>
        <v>47.6382731277466</v>
      </c>
      <c r="AJ149" s="128" t="n">
        <f aca="false">$D149*R149</f>
        <v>0</v>
      </c>
      <c r="AK149" s="128" t="n">
        <f aca="false">$D149*S149</f>
        <v>0</v>
      </c>
      <c r="AL149" s="128" t="n">
        <f aca="false">$D149*T149</f>
        <v>0</v>
      </c>
      <c r="AN149" s="129" t="n">
        <f aca="false">SUM(W149:AL149)/4</f>
        <v>47.6079022447834</v>
      </c>
      <c r="AO149" s="130" t="n">
        <f aca="false">D149</f>
        <v>38.8249984741211</v>
      </c>
    </row>
    <row r="150" customFormat="false" ht="16.5" hidden="false" customHeight="false" outlineLevel="0" collapsed="false">
      <c r="B150" s="116" t="n">
        <f aca="false">MONTH(C150)</f>
        <v>3</v>
      </c>
      <c r="C150" s="125" t="n">
        <f aca="false">PJM_01212000!A134</f>
        <v>39508</v>
      </c>
      <c r="D150" s="126" t="n">
        <f aca="false">PJM_01212000!C134</f>
        <v>28.5500007629395</v>
      </c>
      <c r="E150" s="127" t="n">
        <f aca="false">VLOOKUP($B150,$C$6:$Z$17,E$22+1)</f>
        <v>0</v>
      </c>
      <c r="F150" s="127" t="n">
        <f aca="false">VLOOKUP($B150,$C$6:$Z$17,F$22+1)</f>
        <v>1.1898</v>
      </c>
      <c r="G150" s="127" t="n">
        <f aca="false">VLOOKUP($B150,$C$6:$Z$17,G$22+1)</f>
        <v>1.1862</v>
      </c>
      <c r="H150" s="127" t="n">
        <f aca="false">VLOOKUP($B150,$C$6:$Z$17,H$22+1)</f>
        <v>0</v>
      </c>
      <c r="I150" s="127" t="n">
        <f aca="false">VLOOKUP($B150,$C$6:$Z$17,I$22+1)</f>
        <v>0</v>
      </c>
      <c r="J150" s="127" t="n">
        <f aca="false">VLOOKUP($B150,$C$6:$Z$17,J$22+1)</f>
        <v>0</v>
      </c>
      <c r="K150" s="127" t="n">
        <f aca="false">VLOOKUP($B150,$C$6:$Z$17,K$22+1)</f>
        <v>0</v>
      </c>
      <c r="L150" s="127" t="n">
        <f aca="false">VLOOKUP($B150,$C$6:$Z$17,L$22+1)</f>
        <v>0</v>
      </c>
      <c r="M150" s="127" t="n">
        <f aca="false">VLOOKUP($B150,$C$6:$Z$17,M$22+1)</f>
        <v>0</v>
      </c>
      <c r="N150" s="127" t="n">
        <f aca="false">VLOOKUP($B150,$C$6:$Z$17,N$22+1)</f>
        <v>0</v>
      </c>
      <c r="O150" s="127" t="n">
        <f aca="false">VLOOKUP($B150,$C$6:$Z$17,O$22+1)</f>
        <v>0</v>
      </c>
      <c r="P150" s="127" t="n">
        <f aca="false">VLOOKUP($B150,$C$6:$Z$17,P$22+1)</f>
        <v>1.2719</v>
      </c>
      <c r="Q150" s="127" t="n">
        <f aca="false">VLOOKUP($B150,$C$6:$Z$17,Q$22+1)</f>
        <v>1.217</v>
      </c>
      <c r="R150" s="127" t="n">
        <f aca="false">VLOOKUP($B150,$C$6:$Z$17,R$22+1)</f>
        <v>0</v>
      </c>
      <c r="S150" s="127" t="n">
        <f aca="false">VLOOKUP($B150,$C$6:$Z$17,S$22+1)</f>
        <v>0</v>
      </c>
      <c r="T150" s="127" t="n">
        <f aca="false">VLOOKUP($B150,$C$6:$Z$17,T$22+1)</f>
        <v>0</v>
      </c>
      <c r="U150" s="127" t="n">
        <f aca="false">VLOOKUP($B150,$C$6:$AB$17,T$22+3)-SUM(E150:T150)</f>
        <v>0</v>
      </c>
      <c r="W150" s="128" t="n">
        <f aca="false">$D150*E150</f>
        <v>0</v>
      </c>
      <c r="X150" s="128" t="n">
        <f aca="false">$D150*F150</f>
        <v>33.9687909077454</v>
      </c>
      <c r="Y150" s="128" t="n">
        <f aca="false">$D150*G150</f>
        <v>33.8660109049988</v>
      </c>
      <c r="Z150" s="128" t="n">
        <f aca="false">$D150*H150</f>
        <v>0</v>
      </c>
      <c r="AA150" s="128" t="n">
        <f aca="false">$D150*I150</f>
        <v>0</v>
      </c>
      <c r="AB150" s="128" t="n">
        <f aca="false">$D150*J150</f>
        <v>0</v>
      </c>
      <c r="AC150" s="128" t="n">
        <f aca="false">$D150*K150</f>
        <v>0</v>
      </c>
      <c r="AD150" s="128" t="n">
        <f aca="false">$D150*L150</f>
        <v>0</v>
      </c>
      <c r="AE150" s="128" t="n">
        <f aca="false">$D150*M150</f>
        <v>0</v>
      </c>
      <c r="AF150" s="128" t="n">
        <f aca="false">$D150*N150</f>
        <v>0</v>
      </c>
      <c r="AG150" s="128" t="n">
        <f aca="false">$D150*O150</f>
        <v>0</v>
      </c>
      <c r="AH150" s="128" t="n">
        <f aca="false">$D150*P150</f>
        <v>36.3127459703827</v>
      </c>
      <c r="AI150" s="128" t="n">
        <f aca="false">$D150*Q150</f>
        <v>34.7453509284973</v>
      </c>
      <c r="AJ150" s="128" t="n">
        <f aca="false">$D150*R150</f>
        <v>0</v>
      </c>
      <c r="AK150" s="128" t="n">
        <f aca="false">$D150*S150</f>
        <v>0</v>
      </c>
      <c r="AL150" s="128" t="n">
        <f aca="false">$D150*T150</f>
        <v>0</v>
      </c>
      <c r="AN150" s="129" t="n">
        <f aca="false">SUM(W150:AL150)/4</f>
        <v>34.723224677906</v>
      </c>
      <c r="AO150" s="130" t="n">
        <f aca="false">D150</f>
        <v>28.5500007629395</v>
      </c>
    </row>
    <row r="151" customFormat="false" ht="16.5" hidden="false" customHeight="false" outlineLevel="0" collapsed="false">
      <c r="B151" s="116" t="n">
        <f aca="false">MONTH(C151)</f>
        <v>4</v>
      </c>
      <c r="C151" s="125" t="n">
        <f aca="false">PJM_01212000!A135</f>
        <v>39539</v>
      </c>
      <c r="D151" s="126" t="n">
        <f aca="false">PJM_01212000!C135</f>
        <v>28.3250007629395</v>
      </c>
      <c r="E151" s="127" t="n">
        <f aca="false">VLOOKUP($B151,$C$6:$Z$17,E$22+1)</f>
        <v>1.1232726508202</v>
      </c>
      <c r="F151" s="127" t="n">
        <f aca="false">VLOOKUP($B151,$C$6:$Z$17,F$22+1)</f>
        <v>1.14131544612562</v>
      </c>
      <c r="G151" s="127" t="n">
        <f aca="false">VLOOKUP($B151,$C$6:$Z$17,G$22+1)</f>
        <v>0</v>
      </c>
      <c r="H151" s="127" t="n">
        <f aca="false">VLOOKUP($B151,$C$6:$Z$17,H$22+1)</f>
        <v>0</v>
      </c>
      <c r="I151" s="127" t="n">
        <f aca="false">VLOOKUP($B151,$C$6:$Z$17,I$22+1)</f>
        <v>1.11852454679246</v>
      </c>
      <c r="J151" s="127" t="n">
        <f aca="false">VLOOKUP($B151,$C$6:$Z$17,J$22+1)</f>
        <v>0</v>
      </c>
      <c r="K151" s="127" t="n">
        <f aca="false">VLOOKUP($B151,$C$6:$Z$17,K$22+1)</f>
        <v>0</v>
      </c>
      <c r="L151" s="127" t="n">
        <f aca="false">VLOOKUP($B151,$C$6:$Z$17,L$22+1)</f>
        <v>0</v>
      </c>
      <c r="M151" s="127" t="n">
        <f aca="false">VLOOKUP($B151,$C$6:$Z$17,M$22+1)</f>
        <v>0</v>
      </c>
      <c r="N151" s="127" t="n">
        <f aca="false">VLOOKUP($B151,$C$6:$Z$17,N$22+1)</f>
        <v>0</v>
      </c>
      <c r="O151" s="127" t="n">
        <f aca="false">VLOOKUP($B151,$C$6:$Z$17,O$22+1)</f>
        <v>0</v>
      </c>
      <c r="P151" s="127" t="n">
        <f aca="false">VLOOKUP($B151,$C$6:$Z$17,P$22+1)</f>
        <v>0</v>
      </c>
      <c r="Q151" s="127" t="n">
        <f aca="false">VLOOKUP($B151,$C$6:$Z$17,Q$22+1)</f>
        <v>0</v>
      </c>
      <c r="R151" s="127" t="n">
        <f aca="false">VLOOKUP($B151,$C$6:$Z$17,R$22+1)</f>
        <v>1.15433651784915</v>
      </c>
      <c r="S151" s="127" t="n">
        <f aca="false">VLOOKUP($B151,$C$6:$Z$17,S$22+1)</f>
        <v>0</v>
      </c>
      <c r="T151" s="127" t="n">
        <f aca="false">VLOOKUP($B151,$C$6:$Z$17,T$22+1)</f>
        <v>0</v>
      </c>
      <c r="U151" s="127" t="n">
        <f aca="false">VLOOKUP($B151,$C$6:$AB$17,T$22+3)-SUM(E151:T151)</f>
        <v>0</v>
      </c>
      <c r="W151" s="128" t="n">
        <f aca="false">$D151*E151</f>
        <v>31.8166986914713</v>
      </c>
      <c r="X151" s="128" t="n">
        <f aca="false">$D151*F151</f>
        <v>32.3277608822627</v>
      </c>
      <c r="Y151" s="128" t="n">
        <f aca="false">$D151*G151</f>
        <v>0</v>
      </c>
      <c r="Z151" s="128" t="n">
        <f aca="false">$D151*H151</f>
        <v>0</v>
      </c>
      <c r="AA151" s="128" t="n">
        <f aca="false">$D151*I151</f>
        <v>31.6822086412631</v>
      </c>
      <c r="AB151" s="128" t="n">
        <f aca="false">$D151*J151</f>
        <v>0</v>
      </c>
      <c r="AC151" s="128" t="n">
        <f aca="false">$D151*K151</f>
        <v>0</v>
      </c>
      <c r="AD151" s="128" t="n">
        <f aca="false">$D151*L151</f>
        <v>0</v>
      </c>
      <c r="AE151" s="128" t="n">
        <f aca="false">$D151*M151</f>
        <v>0</v>
      </c>
      <c r="AF151" s="128" t="n">
        <f aca="false">$D151*N151</f>
        <v>0</v>
      </c>
      <c r="AG151" s="128" t="n">
        <f aca="false">$D151*O151</f>
        <v>0</v>
      </c>
      <c r="AH151" s="128" t="n">
        <f aca="false">$D151*P151</f>
        <v>0</v>
      </c>
      <c r="AI151" s="128" t="n">
        <f aca="false">$D151*Q151</f>
        <v>0</v>
      </c>
      <c r="AJ151" s="128" t="n">
        <f aca="false">$D151*R151</f>
        <v>32.696582748766</v>
      </c>
      <c r="AK151" s="128" t="n">
        <f aca="false">$D151*S151</f>
        <v>0</v>
      </c>
      <c r="AL151" s="128" t="n">
        <f aca="false">$D151*T151</f>
        <v>0</v>
      </c>
      <c r="AN151" s="129" t="n">
        <f aca="false">SUM(W151:AL151)/4</f>
        <v>32.1308127409408</v>
      </c>
      <c r="AO151" s="130" t="n">
        <f aca="false">D151</f>
        <v>28.3250007629395</v>
      </c>
    </row>
    <row r="152" customFormat="false" ht="16.5" hidden="false" customHeight="false" outlineLevel="0" collapsed="false">
      <c r="B152" s="116" t="n">
        <f aca="false">MONTH(C152)</f>
        <v>5</v>
      </c>
      <c r="C152" s="125" t="n">
        <f aca="false">PJM_01212000!A136</f>
        <v>39569</v>
      </c>
      <c r="D152" s="126" t="n">
        <f aca="false">PJM_01212000!C136</f>
        <v>34.825</v>
      </c>
      <c r="E152" s="127" t="n">
        <f aca="false">VLOOKUP($B152,$C$6:$Z$17,E$22+1)</f>
        <v>0</v>
      </c>
      <c r="F152" s="127" t="n">
        <f aca="false">VLOOKUP($B152,$C$6:$Z$17,F$22+1)</f>
        <v>0</v>
      </c>
      <c r="G152" s="127" t="n">
        <f aca="false">VLOOKUP($B152,$C$6:$Z$17,G$22+1)</f>
        <v>1.06102662180267</v>
      </c>
      <c r="H152" s="127" t="n">
        <f aca="false">VLOOKUP($B152,$C$6:$Z$17,H$22+1)</f>
        <v>1.12549986193072</v>
      </c>
      <c r="I152" s="127" t="n">
        <f aca="false">VLOOKUP($B152,$C$6:$Z$17,I$22+1)</f>
        <v>1.11699070333514</v>
      </c>
      <c r="J152" s="127" t="n">
        <f aca="false">VLOOKUP($B152,$C$6:$Z$17,J$22+1)</f>
        <v>0</v>
      </c>
      <c r="K152" s="127" t="n">
        <f aca="false">VLOOKUP($B152,$C$6:$Z$17,K$22+1)</f>
        <v>0</v>
      </c>
      <c r="L152" s="127" t="n">
        <f aca="false">VLOOKUP($B152,$C$6:$Z$17,L$22+1)</f>
        <v>0</v>
      </c>
      <c r="M152" s="127" t="n">
        <f aca="false">VLOOKUP($B152,$C$6:$Z$17,M$22+1)</f>
        <v>0</v>
      </c>
      <c r="N152" s="127" t="n">
        <f aca="false">VLOOKUP($B152,$C$6:$Z$17,N$22+1)</f>
        <v>0</v>
      </c>
      <c r="O152" s="127" t="n">
        <f aca="false">VLOOKUP($B152,$C$6:$Z$17,O$22+1)</f>
        <v>0</v>
      </c>
      <c r="P152" s="127" t="n">
        <f aca="false">VLOOKUP($B152,$C$6:$Z$17,P$22+1)</f>
        <v>0</v>
      </c>
      <c r="Q152" s="127" t="n">
        <f aca="false">VLOOKUP($B152,$C$6:$Z$17,Q$22+1)</f>
        <v>0</v>
      </c>
      <c r="R152" s="127" t="n">
        <f aca="false">VLOOKUP($B152,$C$6:$Z$17,R$22+1)</f>
        <v>1.08769956124651</v>
      </c>
      <c r="S152" s="127" t="n">
        <f aca="false">VLOOKUP($B152,$C$6:$Z$17,S$22+1)</f>
        <v>0</v>
      </c>
      <c r="T152" s="127" t="n">
        <f aca="false">VLOOKUP($B152,$C$6:$Z$17,T$22+1)</f>
        <v>0</v>
      </c>
      <c r="U152" s="127" t="n">
        <f aca="false">VLOOKUP($B152,$C$6:$AB$17,T$22+3)-SUM(E152:T152)</f>
        <v>0</v>
      </c>
      <c r="W152" s="128" t="n">
        <f aca="false">$D152*E152</f>
        <v>0</v>
      </c>
      <c r="X152" s="128" t="n">
        <f aca="false">$D152*F152</f>
        <v>0</v>
      </c>
      <c r="Y152" s="128" t="n">
        <f aca="false">$D152*G152</f>
        <v>36.9502521042781</v>
      </c>
      <c r="Z152" s="128" t="n">
        <f aca="false">$D152*H152</f>
        <v>39.1955326917373</v>
      </c>
      <c r="AA152" s="128" t="n">
        <f aca="false">$D152*I152</f>
        <v>38.8992012436462</v>
      </c>
      <c r="AB152" s="128" t="n">
        <f aca="false">$D152*J152</f>
        <v>0</v>
      </c>
      <c r="AC152" s="128" t="n">
        <f aca="false">$D152*K152</f>
        <v>0</v>
      </c>
      <c r="AD152" s="128" t="n">
        <f aca="false">$D152*L152</f>
        <v>0</v>
      </c>
      <c r="AE152" s="128" t="n">
        <f aca="false">$D152*M152</f>
        <v>0</v>
      </c>
      <c r="AF152" s="128" t="n">
        <f aca="false">$D152*N152</f>
        <v>0</v>
      </c>
      <c r="AG152" s="128" t="n">
        <f aca="false">$D152*O152</f>
        <v>0</v>
      </c>
      <c r="AH152" s="128" t="n">
        <f aca="false">$D152*P152</f>
        <v>0</v>
      </c>
      <c r="AI152" s="128" t="n">
        <f aca="false">$D152*Q152</f>
        <v>0</v>
      </c>
      <c r="AJ152" s="128" t="n">
        <f aca="false">$D152*R152</f>
        <v>37.8791372204097</v>
      </c>
      <c r="AK152" s="128" t="n">
        <f aca="false">$D152*S152</f>
        <v>0</v>
      </c>
      <c r="AL152" s="128" t="n">
        <f aca="false">$D152*T152</f>
        <v>0</v>
      </c>
      <c r="AN152" s="129" t="n">
        <f aca="false">SUM(W152:AL152)/4</f>
        <v>38.2310308150178</v>
      </c>
      <c r="AO152" s="130" t="n">
        <f aca="false">D152</f>
        <v>34.825</v>
      </c>
    </row>
    <row r="153" customFormat="false" ht="16.5" hidden="false" customHeight="false" outlineLevel="0" collapsed="false">
      <c r="B153" s="116" t="n">
        <f aca="false">MONTH(C153)</f>
        <v>6</v>
      </c>
      <c r="C153" s="125" t="n">
        <f aca="false">PJM_01212000!A137</f>
        <v>39600</v>
      </c>
      <c r="D153" s="126" t="n">
        <f aca="false">PJM_01212000!C137</f>
        <v>59.8499984741211</v>
      </c>
      <c r="E153" s="127" t="n">
        <f aca="false">VLOOKUP($B153,$C$6:$Z$17,E$22+1)</f>
        <v>0</v>
      </c>
      <c r="F153" s="127" t="n">
        <f aca="false">VLOOKUP($B153,$C$6:$Z$17,F$22+1)</f>
        <v>0</v>
      </c>
      <c r="G153" s="127" t="n">
        <f aca="false">VLOOKUP($B153,$C$6:$Z$17,G$22+1)</f>
        <v>0</v>
      </c>
      <c r="H153" s="127" t="n">
        <f aca="false">VLOOKUP($B153,$C$6:$Z$17,H$22+1)</f>
        <v>0</v>
      </c>
      <c r="I153" s="127" t="n">
        <f aca="false">VLOOKUP($B153,$C$6:$Z$17,I$22+1)</f>
        <v>0</v>
      </c>
      <c r="J153" s="127" t="n">
        <f aca="false">VLOOKUP($B153,$C$6:$Z$17,J$22+1)</f>
        <v>0</v>
      </c>
      <c r="K153" s="127" t="n">
        <f aca="false">VLOOKUP($B153,$C$6:$Z$17,K$22+1)</f>
        <v>1.22092018621818</v>
      </c>
      <c r="L153" s="127" t="n">
        <f aca="false">VLOOKUP($B153,$C$6:$Z$17,L$22+1)</f>
        <v>1.23031497714214</v>
      </c>
      <c r="M153" s="127" t="n">
        <f aca="false">VLOOKUP($B153,$C$6:$Z$17,M$22+1)</f>
        <v>1.23232814662584</v>
      </c>
      <c r="N153" s="127" t="n">
        <f aca="false">VLOOKUP($B153,$C$6:$Z$17,N$22+1)</f>
        <v>1.25232563016399</v>
      </c>
      <c r="O153" s="127" t="n">
        <f aca="false">VLOOKUP($B153,$C$6:$Z$17,O$22+1)</f>
        <v>0</v>
      </c>
      <c r="P153" s="127" t="n">
        <f aca="false">VLOOKUP($B153,$C$6:$Z$17,P$22+1)</f>
        <v>0</v>
      </c>
      <c r="Q153" s="127" t="n">
        <f aca="false">VLOOKUP($B153,$C$6:$Z$17,Q$22+1)</f>
        <v>0</v>
      </c>
      <c r="R153" s="127" t="n">
        <f aca="false">VLOOKUP($B153,$C$6:$Z$17,R$22+1)</f>
        <v>0</v>
      </c>
      <c r="S153" s="127" t="n">
        <f aca="false">VLOOKUP($B153,$C$6:$Z$17,S$22+1)</f>
        <v>0</v>
      </c>
      <c r="T153" s="127" t="n">
        <f aca="false">VLOOKUP($B153,$C$6:$Z$17,T$22+1)</f>
        <v>0</v>
      </c>
      <c r="U153" s="127" t="n">
        <f aca="false">VLOOKUP($B153,$C$6:$AB$17,T$22+3)-SUM(E153:T153)</f>
        <v>0</v>
      </c>
      <c r="W153" s="128" t="n">
        <f aca="false">$D153*E153</f>
        <v>0</v>
      </c>
      <c r="X153" s="128" t="n">
        <f aca="false">$D153*F153</f>
        <v>0</v>
      </c>
      <c r="Y153" s="128" t="n">
        <f aca="false">$D153*G153</f>
        <v>0</v>
      </c>
      <c r="Z153" s="128" t="n">
        <f aca="false">$D153*H153</f>
        <v>0</v>
      </c>
      <c r="AA153" s="128" t="n">
        <f aca="false">$D153*I153</f>
        <v>0</v>
      </c>
      <c r="AB153" s="128" t="n">
        <f aca="false">$D153*J153</f>
        <v>0</v>
      </c>
      <c r="AC153" s="128" t="n">
        <f aca="false">$D153*K153</f>
        <v>73.0720712821815</v>
      </c>
      <c r="AD153" s="128" t="n">
        <f aca="false">$D153*L153</f>
        <v>73.6343495046453</v>
      </c>
      <c r="AE153" s="128" t="n">
        <f aca="false">$D153*M153</f>
        <v>73.7548376951732</v>
      </c>
      <c r="AF153" s="128" t="n">
        <f aca="false">$D153*N153</f>
        <v>74.9516870544175</v>
      </c>
      <c r="AG153" s="128" t="n">
        <f aca="false">$D153*O153</f>
        <v>0</v>
      </c>
      <c r="AH153" s="128" t="n">
        <f aca="false">$D153*P153</f>
        <v>0</v>
      </c>
      <c r="AI153" s="128" t="n">
        <f aca="false">$D153*Q153</f>
        <v>0</v>
      </c>
      <c r="AJ153" s="128" t="n">
        <f aca="false">$D153*R153</f>
        <v>0</v>
      </c>
      <c r="AK153" s="128" t="n">
        <f aca="false">$D153*S153</f>
        <v>0</v>
      </c>
      <c r="AL153" s="128" t="n">
        <f aca="false">$D153*T153</f>
        <v>0</v>
      </c>
      <c r="AN153" s="129" t="n">
        <f aca="false">SUM(W153:AL153)/4</f>
        <v>73.8532363841044</v>
      </c>
      <c r="AO153" s="130" t="n">
        <f aca="false">D153</f>
        <v>59.8499984741211</v>
      </c>
    </row>
    <row r="154" customFormat="false" ht="16.5" hidden="false" customHeight="false" outlineLevel="0" collapsed="false">
      <c r="B154" s="116" t="n">
        <f aca="false">MONTH(C154)</f>
        <v>7</v>
      </c>
      <c r="C154" s="125" t="n">
        <f aca="false">PJM_01212000!A138</f>
        <v>39630</v>
      </c>
      <c r="D154" s="126" t="n">
        <f aca="false">PJM_01212000!C138</f>
        <v>102.449996948242</v>
      </c>
      <c r="E154" s="127" t="n">
        <f aca="false">VLOOKUP($B154,$C$6:$Z$17,E$22+1)</f>
        <v>0</v>
      </c>
      <c r="F154" s="127" t="n">
        <f aca="false">VLOOKUP($B154,$C$6:$Z$17,F$22+1)</f>
        <v>0</v>
      </c>
      <c r="G154" s="127" t="n">
        <f aca="false">VLOOKUP($B154,$C$6:$Z$17,G$22+1)</f>
        <v>0</v>
      </c>
      <c r="H154" s="127" t="n">
        <f aca="false">VLOOKUP($B154,$C$6:$Z$17,H$22+1)</f>
        <v>0</v>
      </c>
      <c r="I154" s="127" t="n">
        <f aca="false">VLOOKUP($B154,$C$6:$Z$17,I$22+1)</f>
        <v>0</v>
      </c>
      <c r="J154" s="127" t="n">
        <f aca="false">VLOOKUP($B154,$C$6:$Z$17,J$22+1)</f>
        <v>0</v>
      </c>
      <c r="K154" s="127" t="n">
        <f aca="false">VLOOKUP($B154,$C$6:$Z$17,K$22+1)</f>
        <v>0</v>
      </c>
      <c r="L154" s="127" t="n">
        <f aca="false">VLOOKUP($B154,$C$6:$Z$17,L$22+1)</f>
        <v>1.2506946851613</v>
      </c>
      <c r="M154" s="127" t="n">
        <f aca="false">VLOOKUP($B154,$C$6:$Z$17,M$22+1)</f>
        <v>1.32734019400042</v>
      </c>
      <c r="N154" s="127" t="n">
        <f aca="false">VLOOKUP($B154,$C$6:$Z$17,N$22+1)</f>
        <v>1.35388881627921</v>
      </c>
      <c r="O154" s="127" t="n">
        <f aca="false">VLOOKUP($B154,$C$6:$Z$17,O$22+1)</f>
        <v>1.32033935867348</v>
      </c>
      <c r="P154" s="127" t="n">
        <f aca="false">VLOOKUP($B154,$C$6:$Z$17,P$22+1)</f>
        <v>0</v>
      </c>
      <c r="Q154" s="127" t="n">
        <f aca="false">VLOOKUP($B154,$C$6:$Z$17,Q$22+1)</f>
        <v>0</v>
      </c>
      <c r="R154" s="127" t="n">
        <f aca="false">VLOOKUP($B154,$C$6:$Z$17,R$22+1)</f>
        <v>0</v>
      </c>
      <c r="S154" s="127" t="n">
        <f aca="false">VLOOKUP($B154,$C$6:$Z$17,S$22+1)</f>
        <v>0</v>
      </c>
      <c r="T154" s="127" t="n">
        <f aca="false">VLOOKUP($B154,$C$6:$Z$17,T$22+1)</f>
        <v>0</v>
      </c>
      <c r="U154" s="127" t="n">
        <f aca="false">VLOOKUP($B154,$C$6:$AB$17,T$22+3)-SUM(E154:T154)</f>
        <v>0</v>
      </c>
      <c r="W154" s="128" t="n">
        <f aca="false">$D154*E154</f>
        <v>0</v>
      </c>
      <c r="X154" s="128" t="n">
        <f aca="false">$D154*F154</f>
        <v>0</v>
      </c>
      <c r="Y154" s="128" t="n">
        <f aca="false">$D154*G154</f>
        <v>0</v>
      </c>
      <c r="Z154" s="128" t="n">
        <f aca="false">$D154*H154</f>
        <v>0</v>
      </c>
      <c r="AA154" s="128" t="n">
        <f aca="false">$D154*I154</f>
        <v>0</v>
      </c>
      <c r="AB154" s="128" t="n">
        <f aca="false">$D154*J154</f>
        <v>0</v>
      </c>
      <c r="AC154" s="128" t="n">
        <f aca="false">$D154*K154</f>
        <v>0</v>
      </c>
      <c r="AD154" s="128" t="n">
        <f aca="false">$D154*L154</f>
        <v>128.133666677958</v>
      </c>
      <c r="AE154" s="128" t="n">
        <f aca="false">$D154*M154</f>
        <v>135.985998824622</v>
      </c>
      <c r="AF154" s="128" t="n">
        <f aca="false">$D154*N154</f>
        <v>138.705905096065</v>
      </c>
      <c r="AG154" s="128" t="n">
        <f aca="false">$D154*O154</f>
        <v>135.268763266742</v>
      </c>
      <c r="AH154" s="128" t="n">
        <f aca="false">$D154*P154</f>
        <v>0</v>
      </c>
      <c r="AI154" s="128" t="n">
        <f aca="false">$D154*Q154</f>
        <v>0</v>
      </c>
      <c r="AJ154" s="128" t="n">
        <f aca="false">$D154*R154</f>
        <v>0</v>
      </c>
      <c r="AK154" s="128" t="n">
        <f aca="false">$D154*S154</f>
        <v>0</v>
      </c>
      <c r="AL154" s="128" t="n">
        <f aca="false">$D154*T154</f>
        <v>0</v>
      </c>
      <c r="AN154" s="129" t="n">
        <f aca="false">SUM(W154:AL154)/4</f>
        <v>134.523583466347</v>
      </c>
      <c r="AO154" s="130" t="n">
        <f aca="false">D154</f>
        <v>102.449996948242</v>
      </c>
    </row>
    <row r="155" customFormat="false" ht="16.5" hidden="false" customHeight="false" outlineLevel="0" collapsed="false">
      <c r="B155" s="116" t="n">
        <f aca="false">MONTH(C155)</f>
        <v>8</v>
      </c>
      <c r="C155" s="125" t="n">
        <f aca="false">PJM_01212000!A139</f>
        <v>39661</v>
      </c>
      <c r="D155" s="126" t="n">
        <f aca="false">PJM_01212000!C139</f>
        <v>89.4499969482422</v>
      </c>
      <c r="E155" s="127" t="n">
        <f aca="false">VLOOKUP($B155,$C$6:$Z$17,E$22+1)</f>
        <v>0</v>
      </c>
      <c r="F155" s="127" t="n">
        <f aca="false">VLOOKUP($B155,$C$6:$Z$17,F$22+1)</f>
        <v>0</v>
      </c>
      <c r="G155" s="127" t="n">
        <f aca="false">VLOOKUP($B155,$C$6:$Z$17,G$22+1)</f>
        <v>0</v>
      </c>
      <c r="H155" s="127" t="n">
        <f aca="false">VLOOKUP($B155,$C$6:$Z$17,H$22+1)</f>
        <v>0</v>
      </c>
      <c r="I155" s="127" t="n">
        <f aca="false">VLOOKUP($B155,$C$6:$Z$17,I$22+1)</f>
        <v>0</v>
      </c>
      <c r="J155" s="127" t="n">
        <f aca="false">VLOOKUP($B155,$C$6:$Z$17,J$22+1)</f>
        <v>0</v>
      </c>
      <c r="K155" s="127" t="n">
        <f aca="false">VLOOKUP($B155,$C$6:$Z$17,K$22+1)</f>
        <v>1.19072909190695</v>
      </c>
      <c r="L155" s="127" t="n">
        <f aca="false">VLOOKUP($B155,$C$6:$Z$17,L$22+1)</f>
        <v>1.26057331025457</v>
      </c>
      <c r="M155" s="127" t="n">
        <f aca="false">VLOOKUP($B155,$C$6:$Z$17,M$22+1)</f>
        <v>1.24301093426774</v>
      </c>
      <c r="N155" s="127" t="n">
        <f aca="false">VLOOKUP($B155,$C$6:$Z$17,N$22+1)</f>
        <v>1.21504622788872</v>
      </c>
      <c r="O155" s="127" t="n">
        <f aca="false">VLOOKUP($B155,$C$6:$Z$17,O$22+1)</f>
        <v>0</v>
      </c>
      <c r="P155" s="127" t="n">
        <f aca="false">VLOOKUP($B155,$C$6:$Z$17,P$22+1)</f>
        <v>0</v>
      </c>
      <c r="Q155" s="127" t="n">
        <f aca="false">VLOOKUP($B155,$C$6:$Z$17,Q$22+1)</f>
        <v>0</v>
      </c>
      <c r="R155" s="127" t="n">
        <f aca="false">VLOOKUP($B155,$C$6:$Z$17,R$22+1)</f>
        <v>0</v>
      </c>
      <c r="S155" s="127" t="n">
        <f aca="false">VLOOKUP($B155,$C$6:$Z$17,S$22+1)</f>
        <v>0</v>
      </c>
      <c r="T155" s="127" t="n">
        <f aca="false">VLOOKUP($B155,$C$6:$Z$17,T$22+1)</f>
        <v>0</v>
      </c>
      <c r="U155" s="127" t="n">
        <f aca="false">VLOOKUP($B155,$C$6:$AB$17,T$22+3)-SUM(E155:T155)</f>
        <v>0</v>
      </c>
      <c r="W155" s="128" t="n">
        <f aca="false">$D155*E155</f>
        <v>0</v>
      </c>
      <c r="X155" s="128" t="n">
        <f aca="false">$D155*F155</f>
        <v>0</v>
      </c>
      <c r="Y155" s="128" t="n">
        <f aca="false">$D155*G155</f>
        <v>0</v>
      </c>
      <c r="Z155" s="128" t="n">
        <f aca="false">$D155*H155</f>
        <v>0</v>
      </c>
      <c r="AA155" s="128" t="n">
        <f aca="false">$D155*I155</f>
        <v>0</v>
      </c>
      <c r="AB155" s="128" t="n">
        <f aca="false">$D155*J155</f>
        <v>0</v>
      </c>
      <c r="AC155" s="128" t="n">
        <f aca="false">$D155*K155</f>
        <v>106.51071363726</v>
      </c>
      <c r="AD155" s="128" t="n">
        <f aca="false">$D155*L155</f>
        <v>112.758278755307</v>
      </c>
      <c r="AE155" s="128" t="n">
        <f aca="false">$D155*M155</f>
        <v>111.187324276881</v>
      </c>
      <c r="AF155" s="128" t="n">
        <f aca="false">$D155*N155</f>
        <v>108.685881376619</v>
      </c>
      <c r="AG155" s="128" t="n">
        <f aca="false">$D155*O155</f>
        <v>0</v>
      </c>
      <c r="AH155" s="128" t="n">
        <f aca="false">$D155*P155</f>
        <v>0</v>
      </c>
      <c r="AI155" s="128" t="n">
        <f aca="false">$D155*Q155</f>
        <v>0</v>
      </c>
      <c r="AJ155" s="128" t="n">
        <f aca="false">$D155*R155</f>
        <v>0</v>
      </c>
      <c r="AK155" s="128" t="n">
        <f aca="false">$D155*S155</f>
        <v>0</v>
      </c>
      <c r="AL155" s="128" t="n">
        <f aca="false">$D155*T155</f>
        <v>0</v>
      </c>
      <c r="AN155" s="129" t="n">
        <f aca="false">SUM(W155:AL155)/4</f>
        <v>109.785549511517</v>
      </c>
      <c r="AO155" s="130" t="n">
        <f aca="false">D155</f>
        <v>89.4499969482422</v>
      </c>
    </row>
    <row r="156" customFormat="false" ht="16.5" hidden="false" customHeight="false" outlineLevel="0" collapsed="false">
      <c r="B156" s="116" t="n">
        <f aca="false">MONTH(C156)</f>
        <v>9</v>
      </c>
      <c r="C156" s="125" t="n">
        <f aca="false">PJM_01212000!A140</f>
        <v>39692</v>
      </c>
      <c r="D156" s="126" t="n">
        <f aca="false">PJM_01212000!C140</f>
        <v>35.4249984741211</v>
      </c>
      <c r="E156" s="127" t="n">
        <f aca="false">VLOOKUP($B156,$C$6:$Z$17,E$22+1)</f>
        <v>0</v>
      </c>
      <c r="F156" s="127" t="n">
        <f aca="false">VLOOKUP($B156,$C$6:$Z$17,F$22+1)</f>
        <v>0</v>
      </c>
      <c r="G156" s="127" t="n">
        <f aca="false">VLOOKUP($B156,$C$6:$Z$17,G$22+1)</f>
        <v>0</v>
      </c>
      <c r="H156" s="127" t="n">
        <f aca="false">VLOOKUP($B156,$C$6:$Z$17,H$22+1)</f>
        <v>0</v>
      </c>
      <c r="I156" s="127" t="n">
        <f aca="false">VLOOKUP($B156,$C$6:$Z$17,I$22+1)</f>
        <v>0</v>
      </c>
      <c r="J156" s="127" t="n">
        <f aca="false">VLOOKUP($B156,$C$6:$Z$17,J$22+1)</f>
        <v>0</v>
      </c>
      <c r="K156" s="127" t="n">
        <f aca="false">VLOOKUP($B156,$C$6:$Z$17,K$22+1)</f>
        <v>0</v>
      </c>
      <c r="L156" s="127" t="n">
        <f aca="false">VLOOKUP($B156,$C$6:$Z$17,L$22+1)</f>
        <v>0</v>
      </c>
      <c r="M156" s="127" t="n">
        <f aca="false">VLOOKUP($B156,$C$6:$Z$17,M$22+1)</f>
        <v>0</v>
      </c>
      <c r="N156" s="127" t="n">
        <f aca="false">VLOOKUP($B156,$C$6:$Z$17,N$22+1)</f>
        <v>1.13452840898687</v>
      </c>
      <c r="O156" s="127" t="n">
        <f aca="false">VLOOKUP($B156,$C$6:$Z$17,O$22+1)</f>
        <v>1.1066962078626</v>
      </c>
      <c r="P156" s="127" t="n">
        <f aca="false">VLOOKUP($B156,$C$6:$Z$17,P$22+1)</f>
        <v>0</v>
      </c>
      <c r="Q156" s="127" t="n">
        <f aca="false">VLOOKUP($B156,$C$6:$Z$17,Q$22+1)</f>
        <v>1.18462637101057</v>
      </c>
      <c r="R156" s="127" t="n">
        <f aca="false">VLOOKUP($B156,$C$6:$Z$17,R$22+1)</f>
        <v>1.1944408840386</v>
      </c>
      <c r="S156" s="127" t="n">
        <f aca="false">VLOOKUP($B156,$C$6:$Z$17,S$22+1)</f>
        <v>0</v>
      </c>
      <c r="T156" s="127" t="n">
        <f aca="false">VLOOKUP($B156,$C$6:$Z$17,T$22+1)</f>
        <v>0</v>
      </c>
      <c r="U156" s="127" t="n">
        <f aca="false">VLOOKUP($B156,$C$6:$AB$17,T$22+3)-SUM(E156:T156)</f>
        <v>0</v>
      </c>
      <c r="W156" s="128" t="n">
        <f aca="false">$D156*E156</f>
        <v>0</v>
      </c>
      <c r="X156" s="128" t="n">
        <f aca="false">$D156*F156</f>
        <v>0</v>
      </c>
      <c r="Y156" s="128" t="n">
        <f aca="false">$D156*G156</f>
        <v>0</v>
      </c>
      <c r="Z156" s="128" t="n">
        <f aca="false">$D156*H156</f>
        <v>0</v>
      </c>
      <c r="AA156" s="128" t="n">
        <f aca="false">$D156*I156</f>
        <v>0</v>
      </c>
      <c r="AB156" s="128" t="n">
        <f aca="false">$D156*J156</f>
        <v>0</v>
      </c>
      <c r="AC156" s="128" t="n">
        <f aca="false">$D156*K156</f>
        <v>0</v>
      </c>
      <c r="AD156" s="128" t="n">
        <f aca="false">$D156*L156</f>
        <v>0</v>
      </c>
      <c r="AE156" s="128" t="n">
        <f aca="false">$D156*M156</f>
        <v>0</v>
      </c>
      <c r="AF156" s="128" t="n">
        <f aca="false">$D156*N156</f>
        <v>40.190667157207</v>
      </c>
      <c r="AG156" s="128" t="n">
        <f aca="false">$D156*O156</f>
        <v>39.2047114748481</v>
      </c>
      <c r="AH156" s="128" t="n">
        <f aca="false">$D156*P156</f>
        <v>0</v>
      </c>
      <c r="AI156" s="128" t="n">
        <f aca="false">$D156*Q156</f>
        <v>41.9653873854529</v>
      </c>
      <c r="AJ156" s="128" t="n">
        <f aca="false">$D156*R156</f>
        <v>42.3130664944952</v>
      </c>
      <c r="AK156" s="128" t="n">
        <f aca="false">$D156*S156</f>
        <v>0</v>
      </c>
      <c r="AL156" s="128" t="n">
        <f aca="false">$D156*T156</f>
        <v>0</v>
      </c>
      <c r="AN156" s="129" t="n">
        <f aca="false">SUM(W156:AL156)/4</f>
        <v>40.9184581280008</v>
      </c>
      <c r="AO156" s="130" t="n">
        <f aca="false">D156</f>
        <v>35.4249984741211</v>
      </c>
    </row>
    <row r="157" customFormat="false" ht="16.5" hidden="false" customHeight="false" outlineLevel="0" collapsed="false">
      <c r="B157" s="116" t="n">
        <f aca="false">MONTH(C157)</f>
        <v>10</v>
      </c>
      <c r="C157" s="125" t="n">
        <f aca="false">PJM_01212000!A141</f>
        <v>39722</v>
      </c>
      <c r="D157" s="126" t="n">
        <f aca="false">PJM_01212000!C141</f>
        <v>29.0750003814697</v>
      </c>
      <c r="E157" s="127" t="n">
        <f aca="false">VLOOKUP($B157,$C$6:$Z$17,E$22+1)</f>
        <v>0</v>
      </c>
      <c r="F157" s="127" t="n">
        <f aca="false">VLOOKUP($B157,$C$6:$Z$17,F$22+1)</f>
        <v>1.1326</v>
      </c>
      <c r="G157" s="127" t="n">
        <f aca="false">VLOOKUP($B157,$C$6:$Z$17,G$22+1)</f>
        <v>0</v>
      </c>
      <c r="H157" s="127" t="n">
        <f aca="false">VLOOKUP($B157,$C$6:$Z$17,H$22+1)</f>
        <v>0</v>
      </c>
      <c r="I157" s="127" t="n">
        <f aca="false">VLOOKUP($B157,$C$6:$Z$17,I$22+1)</f>
        <v>0</v>
      </c>
      <c r="J157" s="127" t="n">
        <f aca="false">VLOOKUP($B157,$C$6:$Z$17,J$22+1)</f>
        <v>0</v>
      </c>
      <c r="K157" s="127" t="n">
        <f aca="false">VLOOKUP($B157,$C$6:$Z$17,K$22+1)</f>
        <v>0</v>
      </c>
      <c r="L157" s="127" t="n">
        <f aca="false">VLOOKUP($B157,$C$6:$Z$17,L$22+1)</f>
        <v>0</v>
      </c>
      <c r="M157" s="127" t="n">
        <f aca="false">VLOOKUP($B157,$C$6:$Z$17,M$22+1)</f>
        <v>0</v>
      </c>
      <c r="N157" s="127" t="n">
        <f aca="false">VLOOKUP($B157,$C$6:$Z$17,N$22+1)</f>
        <v>0</v>
      </c>
      <c r="O157" s="127" t="n">
        <f aca="false">VLOOKUP($B157,$C$6:$Z$17,O$22+1)</f>
        <v>1.2001</v>
      </c>
      <c r="P157" s="127" t="n">
        <f aca="false">VLOOKUP($B157,$C$6:$Z$17,P$22+1)</f>
        <v>1.2095</v>
      </c>
      <c r="Q157" s="127" t="n">
        <f aca="false">VLOOKUP($B157,$C$6:$Z$17,Q$22+1)</f>
        <v>1.1567</v>
      </c>
      <c r="R157" s="127" t="n">
        <f aca="false">VLOOKUP($B157,$C$6:$Z$17,R$22+1)</f>
        <v>0</v>
      </c>
      <c r="S157" s="127" t="n">
        <f aca="false">VLOOKUP($B157,$C$6:$Z$17,S$22+1)</f>
        <v>0</v>
      </c>
      <c r="T157" s="127" t="n">
        <f aca="false">VLOOKUP($B157,$C$6:$Z$17,T$22+1)</f>
        <v>0</v>
      </c>
      <c r="U157" s="127" t="n">
        <f aca="false">VLOOKUP($B157,$C$6:$AB$17,T$22+3)-SUM(E157:T157)</f>
        <v>0</v>
      </c>
      <c r="W157" s="128" t="n">
        <f aca="false">$D157*E157</f>
        <v>0</v>
      </c>
      <c r="X157" s="128" t="n">
        <f aca="false">$D157*F157</f>
        <v>32.9303454320526</v>
      </c>
      <c r="Y157" s="128" t="n">
        <f aca="false">$D157*G157</f>
        <v>0</v>
      </c>
      <c r="Z157" s="128" t="n">
        <f aca="false">$D157*H157</f>
        <v>0</v>
      </c>
      <c r="AA157" s="128" t="n">
        <f aca="false">$D157*I157</f>
        <v>0</v>
      </c>
      <c r="AB157" s="128" t="n">
        <f aca="false">$D157*J157</f>
        <v>0</v>
      </c>
      <c r="AC157" s="128" t="n">
        <f aca="false">$D157*K157</f>
        <v>0</v>
      </c>
      <c r="AD157" s="128" t="n">
        <f aca="false">$D157*L157</f>
        <v>0</v>
      </c>
      <c r="AE157" s="128" t="n">
        <f aca="false">$D157*M157</f>
        <v>0</v>
      </c>
      <c r="AF157" s="128" t="n">
        <f aca="false">$D157*N157</f>
        <v>0</v>
      </c>
      <c r="AG157" s="128" t="n">
        <f aca="false">$D157*O157</f>
        <v>34.8929079578018</v>
      </c>
      <c r="AH157" s="128" t="n">
        <f aca="false">$D157*P157</f>
        <v>35.1662129613876</v>
      </c>
      <c r="AI157" s="128" t="n">
        <f aca="false">$D157*Q157</f>
        <v>33.631052941246</v>
      </c>
      <c r="AJ157" s="128" t="n">
        <f aca="false">$D157*R157</f>
        <v>0</v>
      </c>
      <c r="AK157" s="128" t="n">
        <f aca="false">$D157*S157</f>
        <v>0</v>
      </c>
      <c r="AL157" s="128" t="n">
        <f aca="false">$D157*T157</f>
        <v>0</v>
      </c>
      <c r="AN157" s="129" t="n">
        <f aca="false">SUM(W157:AL157)/4</f>
        <v>34.155129823122</v>
      </c>
      <c r="AO157" s="130" t="n">
        <f aca="false">D157</f>
        <v>29.0750003814697</v>
      </c>
    </row>
    <row r="158" customFormat="false" ht="16.5" hidden="false" customHeight="false" outlineLevel="0" collapsed="false">
      <c r="B158" s="116" t="n">
        <f aca="false">MONTH(C158)</f>
        <v>11</v>
      </c>
      <c r="C158" s="125" t="n">
        <f aca="false">PJM_01212000!A142</f>
        <v>39753</v>
      </c>
      <c r="D158" s="126" t="n">
        <f aca="false">PJM_01212000!C142</f>
        <v>28.7474990844727</v>
      </c>
      <c r="E158" s="127" t="n">
        <f aca="false">VLOOKUP($B158,$C$6:$Z$17,E$22+1)</f>
        <v>0</v>
      </c>
      <c r="F158" s="127" t="n">
        <f aca="false">VLOOKUP($B158,$C$6:$Z$17,F$22+1)</f>
        <v>1.1426</v>
      </c>
      <c r="G158" s="127" t="n">
        <f aca="false">VLOOKUP($B158,$C$6:$Z$17,G$22+1)</f>
        <v>0</v>
      </c>
      <c r="H158" s="127" t="n">
        <f aca="false">VLOOKUP($B158,$C$6:$Z$17,H$22+1)</f>
        <v>0</v>
      </c>
      <c r="I158" s="127" t="n">
        <f aca="false">VLOOKUP($B158,$C$6:$Z$17,I$22+1)</f>
        <v>0</v>
      </c>
      <c r="J158" s="127" t="n">
        <f aca="false">VLOOKUP($B158,$C$6:$Z$17,J$22+1)</f>
        <v>0</v>
      </c>
      <c r="K158" s="127" t="n">
        <f aca="false">VLOOKUP($B158,$C$6:$Z$17,K$22+1)</f>
        <v>0</v>
      </c>
      <c r="L158" s="127" t="n">
        <f aca="false">VLOOKUP($B158,$C$6:$Z$17,L$22+1)</f>
        <v>0</v>
      </c>
      <c r="M158" s="127" t="n">
        <f aca="false">VLOOKUP($B158,$C$6:$Z$17,M$22+1)</f>
        <v>0</v>
      </c>
      <c r="N158" s="127" t="n">
        <f aca="false">VLOOKUP($B158,$C$6:$Z$17,N$22+1)</f>
        <v>0</v>
      </c>
      <c r="O158" s="127" t="n">
        <f aca="false">VLOOKUP($B158,$C$6:$Z$17,O$22+1)</f>
        <v>1.2171</v>
      </c>
      <c r="P158" s="127" t="n">
        <f aca="false">VLOOKUP($B158,$C$6:$Z$17,P$22+1)</f>
        <v>1.2269</v>
      </c>
      <c r="Q158" s="127" t="n">
        <f aca="false">VLOOKUP($B158,$C$6:$Z$17,Q$22+1)</f>
        <v>1.1767</v>
      </c>
      <c r="R158" s="127" t="n">
        <f aca="false">VLOOKUP($B158,$C$6:$Z$17,R$22+1)</f>
        <v>0</v>
      </c>
      <c r="S158" s="127" t="n">
        <f aca="false">VLOOKUP($B158,$C$6:$Z$17,S$22+1)</f>
        <v>0</v>
      </c>
      <c r="T158" s="127" t="n">
        <f aca="false">VLOOKUP($B158,$C$6:$Z$17,T$22+1)</f>
        <v>0</v>
      </c>
      <c r="U158" s="127" t="n">
        <f aca="false">VLOOKUP($B158,$C$6:$AB$17,T$22+3)-SUM(E158:T158)</f>
        <v>0</v>
      </c>
      <c r="W158" s="128" t="n">
        <f aca="false">$D158*E158</f>
        <v>0</v>
      </c>
      <c r="X158" s="128" t="n">
        <f aca="false">$D158*F158</f>
        <v>32.8468924539185</v>
      </c>
      <c r="Y158" s="128" t="n">
        <f aca="false">$D158*G158</f>
        <v>0</v>
      </c>
      <c r="Z158" s="128" t="n">
        <f aca="false">$D158*H158</f>
        <v>0</v>
      </c>
      <c r="AA158" s="128" t="n">
        <f aca="false">$D158*I158</f>
        <v>0</v>
      </c>
      <c r="AB158" s="128" t="n">
        <f aca="false">$D158*J158</f>
        <v>0</v>
      </c>
      <c r="AC158" s="128" t="n">
        <f aca="false">$D158*K158</f>
        <v>0</v>
      </c>
      <c r="AD158" s="128" t="n">
        <f aca="false">$D158*L158</f>
        <v>0</v>
      </c>
      <c r="AE158" s="128" t="n">
        <f aca="false">$D158*M158</f>
        <v>0</v>
      </c>
      <c r="AF158" s="128" t="n">
        <f aca="false">$D158*N158</f>
        <v>0</v>
      </c>
      <c r="AG158" s="128" t="n">
        <f aca="false">$D158*O158</f>
        <v>34.9885811357117</v>
      </c>
      <c r="AH158" s="128" t="n">
        <f aca="false">$D158*P158</f>
        <v>35.2703066267395</v>
      </c>
      <c r="AI158" s="128" t="n">
        <f aca="false">$D158*Q158</f>
        <v>33.827182172699</v>
      </c>
      <c r="AJ158" s="128" t="n">
        <f aca="false">$D158*R158</f>
        <v>0</v>
      </c>
      <c r="AK158" s="128" t="n">
        <f aca="false">$D158*S158</f>
        <v>0</v>
      </c>
      <c r="AL158" s="128" t="n">
        <f aca="false">$D158*T158</f>
        <v>0</v>
      </c>
      <c r="AN158" s="129" t="n">
        <f aca="false">SUM(W158:AL158)/4</f>
        <v>34.2332405972672</v>
      </c>
      <c r="AO158" s="130" t="n">
        <f aca="false">D158</f>
        <v>28.7474990844727</v>
      </c>
    </row>
    <row r="159" customFormat="false" ht="16.5" hidden="false" customHeight="false" outlineLevel="0" collapsed="false">
      <c r="B159" s="116" t="n">
        <f aca="false">MONTH(C159)</f>
        <v>12</v>
      </c>
      <c r="C159" s="125" t="n">
        <f aca="false">PJM_01212000!A143</f>
        <v>39783</v>
      </c>
      <c r="D159" s="126" t="n">
        <f aca="false">PJM_01212000!C143</f>
        <v>30.4999996185303</v>
      </c>
      <c r="E159" s="127" t="n">
        <f aca="false">VLOOKUP($B159,$C$6:$Z$17,E$22+1)</f>
        <v>0</v>
      </c>
      <c r="F159" s="127" t="n">
        <f aca="false">VLOOKUP($B159,$C$6:$Z$17,F$22+1)</f>
        <v>1.1638</v>
      </c>
      <c r="G159" s="127" t="n">
        <f aca="false">VLOOKUP($B159,$C$6:$Z$17,G$22+1)</f>
        <v>0</v>
      </c>
      <c r="H159" s="127" t="n">
        <f aca="false">VLOOKUP($B159,$C$6:$Z$17,H$22+1)</f>
        <v>0</v>
      </c>
      <c r="I159" s="127" t="n">
        <f aca="false">VLOOKUP($B159,$C$6:$Z$17,I$22+1)</f>
        <v>0</v>
      </c>
      <c r="J159" s="127" t="n">
        <f aca="false">VLOOKUP($B159,$C$6:$Z$17,J$22+1)</f>
        <v>0</v>
      </c>
      <c r="K159" s="127" t="n">
        <f aca="false">VLOOKUP($B159,$C$6:$Z$17,K$22+1)</f>
        <v>0</v>
      </c>
      <c r="L159" s="127" t="n">
        <f aca="false">VLOOKUP($B159,$C$6:$Z$17,L$22+1)</f>
        <v>0</v>
      </c>
      <c r="M159" s="127" t="n">
        <f aca="false">VLOOKUP($B159,$C$6:$Z$17,M$22+1)</f>
        <v>0</v>
      </c>
      <c r="N159" s="127" t="n">
        <f aca="false">VLOOKUP($B159,$C$6:$Z$17,N$22+1)</f>
        <v>0</v>
      </c>
      <c r="O159" s="127" t="n">
        <f aca="false">VLOOKUP($B159,$C$6:$Z$17,O$22+1)</f>
        <v>1.23965925286319</v>
      </c>
      <c r="P159" s="127" t="n">
        <f aca="false">VLOOKUP($B159,$C$6:$Z$17,P$22+1)</f>
        <v>1.2314</v>
      </c>
      <c r="Q159" s="127" t="n">
        <f aca="false">VLOOKUP($B159,$C$6:$Z$17,Q$22+1)</f>
        <v>1.18899630831453</v>
      </c>
      <c r="R159" s="127" t="n">
        <f aca="false">VLOOKUP($B159,$C$6:$Z$17,R$22+1)</f>
        <v>0</v>
      </c>
      <c r="S159" s="127" t="n">
        <f aca="false">VLOOKUP($B159,$C$6:$Z$17,S$22+1)</f>
        <v>0</v>
      </c>
      <c r="T159" s="127" t="n">
        <f aca="false">VLOOKUP($B159,$C$6:$Z$17,T$22+1)</f>
        <v>0</v>
      </c>
      <c r="U159" s="127" t="n">
        <f aca="false">VLOOKUP($B159,$C$6:$AB$17,T$22+3)-SUM(E159:T159)</f>
        <v>0</v>
      </c>
      <c r="W159" s="128" t="n">
        <f aca="false">$D159*E159</f>
        <v>0</v>
      </c>
      <c r="X159" s="128" t="n">
        <f aca="false">$D159*F159</f>
        <v>35.4958995560455</v>
      </c>
      <c r="Y159" s="128" t="n">
        <f aca="false">$D159*G159</f>
        <v>0</v>
      </c>
      <c r="Z159" s="128" t="n">
        <f aca="false">$D159*H159</f>
        <v>0</v>
      </c>
      <c r="AA159" s="128" t="n">
        <f aca="false">$D159*I159</f>
        <v>0</v>
      </c>
      <c r="AB159" s="128" t="n">
        <f aca="false">$D159*J159</f>
        <v>0</v>
      </c>
      <c r="AC159" s="128" t="n">
        <f aca="false">$D159*K159</f>
        <v>0</v>
      </c>
      <c r="AD159" s="128" t="n">
        <f aca="false">$D159*L159</f>
        <v>0</v>
      </c>
      <c r="AE159" s="128" t="n">
        <f aca="false">$D159*M159</f>
        <v>0</v>
      </c>
      <c r="AF159" s="128" t="n">
        <f aca="false">$D159*N159</f>
        <v>0</v>
      </c>
      <c r="AG159" s="128" t="n">
        <f aca="false">$D159*O159</f>
        <v>37.8096067394348</v>
      </c>
      <c r="AH159" s="128" t="n">
        <f aca="false">$D159*P159</f>
        <v>37.5576995302582</v>
      </c>
      <c r="AI159" s="128" t="n">
        <f aca="false">$D159*Q159</f>
        <v>36.2643869500271</v>
      </c>
      <c r="AJ159" s="128" t="n">
        <f aca="false">$D159*R159</f>
        <v>0</v>
      </c>
      <c r="AK159" s="128" t="n">
        <f aca="false">$D159*S159</f>
        <v>0</v>
      </c>
      <c r="AL159" s="128" t="n">
        <f aca="false">$D159*T159</f>
        <v>0</v>
      </c>
      <c r="AN159" s="129" t="n">
        <f aca="false">SUM(W159:AL159)/4</f>
        <v>36.7818981939414</v>
      </c>
      <c r="AO159" s="130" t="n">
        <f aca="false">D159</f>
        <v>30.4999996185303</v>
      </c>
    </row>
    <row r="160" customFormat="false" ht="16.5" hidden="false" customHeight="false" outlineLevel="0" collapsed="false">
      <c r="B160" s="116" t="n">
        <f aca="false">MONTH(C160)</f>
        <v>1</v>
      </c>
      <c r="C160" s="125" t="n">
        <f aca="false">PJM_01212000!A144</f>
        <v>39814</v>
      </c>
      <c r="D160" s="126" t="n">
        <f aca="false">PJM_01212000!C144</f>
        <v>39.3249984741211</v>
      </c>
      <c r="E160" s="127" t="n">
        <f aca="false">VLOOKUP($B160,$C$6:$Z$17,E$22+1)</f>
        <v>0</v>
      </c>
      <c r="F160" s="127" t="n">
        <f aca="false">VLOOKUP($B160,$C$6:$Z$17,F$22+1)</f>
        <v>1.19981175661928</v>
      </c>
      <c r="G160" s="127" t="n">
        <f aca="false">VLOOKUP($B160,$C$6:$Z$17,G$22+1)</f>
        <v>1.19616001156207</v>
      </c>
      <c r="H160" s="127" t="n">
        <f aca="false">VLOOKUP($B160,$C$6:$Z$17,H$22+1)</f>
        <v>0</v>
      </c>
      <c r="I160" s="127" t="n">
        <f aca="false">VLOOKUP($B160,$C$6:$Z$17,I$22+1)</f>
        <v>0</v>
      </c>
      <c r="J160" s="127" t="n">
        <f aca="false">VLOOKUP($B160,$C$6:$Z$17,J$22+1)</f>
        <v>0</v>
      </c>
      <c r="K160" s="127" t="n">
        <f aca="false">VLOOKUP($B160,$C$6:$Z$17,K$22+1)</f>
        <v>0</v>
      </c>
      <c r="L160" s="127" t="n">
        <f aca="false">VLOOKUP($B160,$C$6:$Z$17,L$22+1)</f>
        <v>0</v>
      </c>
      <c r="M160" s="127" t="n">
        <f aca="false">VLOOKUP($B160,$C$6:$Z$17,M$22+1)</f>
        <v>0</v>
      </c>
      <c r="N160" s="127" t="n">
        <f aca="false">VLOOKUP($B160,$C$6:$Z$17,N$22+1)</f>
        <v>0</v>
      </c>
      <c r="O160" s="127" t="n">
        <f aca="false">VLOOKUP($B160,$C$6:$Z$17,O$22+1)</f>
        <v>0</v>
      </c>
      <c r="P160" s="127" t="n">
        <f aca="false">VLOOKUP($B160,$C$6:$Z$17,P$22+1)</f>
        <v>1.28189922894351</v>
      </c>
      <c r="Q160" s="127" t="n">
        <f aca="false">VLOOKUP($B160,$C$6:$Z$17,Q$22+1)</f>
        <v>1.227</v>
      </c>
      <c r="R160" s="127" t="n">
        <f aca="false">VLOOKUP($B160,$C$6:$Z$17,R$22+1)</f>
        <v>0</v>
      </c>
      <c r="S160" s="127" t="n">
        <f aca="false">VLOOKUP($B160,$C$6:$Z$17,S$22+1)</f>
        <v>0</v>
      </c>
      <c r="T160" s="127" t="n">
        <f aca="false">VLOOKUP($B160,$C$6:$Z$17,T$22+1)</f>
        <v>0</v>
      </c>
      <c r="U160" s="127" t="n">
        <f aca="false">VLOOKUP($B160,$C$6:$AB$17,T$22+3)-SUM(E160:T160)</f>
        <v>0</v>
      </c>
      <c r="W160" s="128" t="n">
        <f aca="false">$D160*E160</f>
        <v>0</v>
      </c>
      <c r="X160" s="128" t="n">
        <f aca="false">$D160*F160</f>
        <v>47.1825954982858</v>
      </c>
      <c r="Y160" s="128" t="n">
        <f aca="false">$D160*G160</f>
        <v>47.0389906294831</v>
      </c>
      <c r="Z160" s="128" t="n">
        <f aca="false">$D160*H160</f>
        <v>0</v>
      </c>
      <c r="AA160" s="128" t="n">
        <f aca="false">$D160*I160</f>
        <v>0</v>
      </c>
      <c r="AB160" s="128" t="n">
        <f aca="false">$D160*J160</f>
        <v>0</v>
      </c>
      <c r="AC160" s="128" t="n">
        <f aca="false">$D160*K160</f>
        <v>0</v>
      </c>
      <c r="AD160" s="128" t="n">
        <f aca="false">$D160*L160</f>
        <v>0</v>
      </c>
      <c r="AE160" s="128" t="n">
        <f aca="false">$D160*M160</f>
        <v>0</v>
      </c>
      <c r="AF160" s="128" t="n">
        <f aca="false">$D160*N160</f>
        <v>0</v>
      </c>
      <c r="AG160" s="128" t="n">
        <f aca="false">$D160*O160</f>
        <v>0</v>
      </c>
      <c r="AH160" s="128" t="n">
        <f aca="false">$D160*P160</f>
        <v>50.4106852221806</v>
      </c>
      <c r="AI160" s="128" t="n">
        <f aca="false">$D160*Q160</f>
        <v>48.2517731277466</v>
      </c>
      <c r="AJ160" s="128" t="n">
        <f aca="false">$D160*R160</f>
        <v>0</v>
      </c>
      <c r="AK160" s="128" t="n">
        <f aca="false">$D160*S160</f>
        <v>0</v>
      </c>
      <c r="AL160" s="128" t="n">
        <f aca="false">$D160*T160</f>
        <v>0</v>
      </c>
      <c r="AN160" s="129" t="n">
        <f aca="false">SUM(W160:AL160)/4</f>
        <v>48.221011119424</v>
      </c>
      <c r="AO160" s="130" t="n">
        <f aca="false">D160</f>
        <v>39.3249984741211</v>
      </c>
    </row>
    <row r="161" customFormat="false" ht="16.5" hidden="false" customHeight="false" outlineLevel="0" collapsed="false">
      <c r="B161" s="116" t="n">
        <f aca="false">MONTH(C161)</f>
        <v>2</v>
      </c>
      <c r="C161" s="125" t="n">
        <f aca="false">PJM_01212000!A145</f>
        <v>39845</v>
      </c>
      <c r="D161" s="126" t="n">
        <f aca="false">PJM_01212000!C145</f>
        <v>39.3249984741211</v>
      </c>
      <c r="E161" s="127" t="n">
        <f aca="false">VLOOKUP($B161,$C$6:$Z$17,E$22+1)</f>
        <v>0</v>
      </c>
      <c r="F161" s="127" t="n">
        <f aca="false">VLOOKUP($B161,$C$6:$Z$17,F$22+1)</f>
        <v>1.19981175661928</v>
      </c>
      <c r="G161" s="127" t="n">
        <f aca="false">VLOOKUP($B161,$C$6:$Z$17,G$22+1)</f>
        <v>1.19616001156207</v>
      </c>
      <c r="H161" s="127" t="n">
        <f aca="false">VLOOKUP($B161,$C$6:$Z$17,H$22+1)</f>
        <v>0</v>
      </c>
      <c r="I161" s="127" t="n">
        <f aca="false">VLOOKUP($B161,$C$6:$Z$17,I$22+1)</f>
        <v>0</v>
      </c>
      <c r="J161" s="127" t="n">
        <f aca="false">VLOOKUP($B161,$C$6:$Z$17,J$22+1)</f>
        <v>0</v>
      </c>
      <c r="K161" s="127" t="n">
        <f aca="false">VLOOKUP($B161,$C$6:$Z$17,K$22+1)</f>
        <v>0</v>
      </c>
      <c r="L161" s="127" t="n">
        <f aca="false">VLOOKUP($B161,$C$6:$Z$17,L$22+1)</f>
        <v>0</v>
      </c>
      <c r="M161" s="127" t="n">
        <f aca="false">VLOOKUP($B161,$C$6:$Z$17,M$22+1)</f>
        <v>0</v>
      </c>
      <c r="N161" s="127" t="n">
        <f aca="false">VLOOKUP($B161,$C$6:$Z$17,N$22+1)</f>
        <v>0</v>
      </c>
      <c r="O161" s="127" t="n">
        <f aca="false">VLOOKUP($B161,$C$6:$Z$17,O$22+1)</f>
        <v>0</v>
      </c>
      <c r="P161" s="127" t="n">
        <f aca="false">VLOOKUP($B161,$C$6:$Z$17,P$22+1)</f>
        <v>1.28189922894351</v>
      </c>
      <c r="Q161" s="127" t="n">
        <f aca="false">VLOOKUP($B161,$C$6:$Z$17,Q$22+1)</f>
        <v>1.227</v>
      </c>
      <c r="R161" s="127" t="n">
        <f aca="false">VLOOKUP($B161,$C$6:$Z$17,R$22+1)</f>
        <v>0</v>
      </c>
      <c r="S161" s="127" t="n">
        <f aca="false">VLOOKUP($B161,$C$6:$Z$17,S$22+1)</f>
        <v>0</v>
      </c>
      <c r="T161" s="127" t="n">
        <f aca="false">VLOOKUP($B161,$C$6:$Z$17,T$22+1)</f>
        <v>0</v>
      </c>
      <c r="U161" s="127" t="n">
        <f aca="false">VLOOKUP($B161,$C$6:$AB$17,T$22+3)-SUM(E161:T161)</f>
        <v>0</v>
      </c>
      <c r="W161" s="128" t="n">
        <f aca="false">$D161*E161</f>
        <v>0</v>
      </c>
      <c r="X161" s="128" t="n">
        <f aca="false">$D161*F161</f>
        <v>47.1825954982858</v>
      </c>
      <c r="Y161" s="128" t="n">
        <f aca="false">$D161*G161</f>
        <v>47.0389906294831</v>
      </c>
      <c r="Z161" s="128" t="n">
        <f aca="false">$D161*H161</f>
        <v>0</v>
      </c>
      <c r="AA161" s="128" t="n">
        <f aca="false">$D161*I161</f>
        <v>0</v>
      </c>
      <c r="AB161" s="128" t="n">
        <f aca="false">$D161*J161</f>
        <v>0</v>
      </c>
      <c r="AC161" s="128" t="n">
        <f aca="false">$D161*K161</f>
        <v>0</v>
      </c>
      <c r="AD161" s="128" t="n">
        <f aca="false">$D161*L161</f>
        <v>0</v>
      </c>
      <c r="AE161" s="128" t="n">
        <f aca="false">$D161*M161</f>
        <v>0</v>
      </c>
      <c r="AF161" s="128" t="n">
        <f aca="false">$D161*N161</f>
        <v>0</v>
      </c>
      <c r="AG161" s="128" t="n">
        <f aca="false">$D161*O161</f>
        <v>0</v>
      </c>
      <c r="AH161" s="128" t="n">
        <f aca="false">$D161*P161</f>
        <v>50.4106852221806</v>
      </c>
      <c r="AI161" s="128" t="n">
        <f aca="false">$D161*Q161</f>
        <v>48.2517731277466</v>
      </c>
      <c r="AJ161" s="128" t="n">
        <f aca="false">$D161*R161</f>
        <v>0</v>
      </c>
      <c r="AK161" s="128" t="n">
        <f aca="false">$D161*S161</f>
        <v>0</v>
      </c>
      <c r="AL161" s="128" t="n">
        <f aca="false">$D161*T161</f>
        <v>0</v>
      </c>
      <c r="AN161" s="129" t="n">
        <f aca="false">SUM(W161:AL161)/4</f>
        <v>48.221011119424</v>
      </c>
      <c r="AO161" s="130" t="n">
        <f aca="false">D161</f>
        <v>39.3249984741211</v>
      </c>
    </row>
    <row r="162" customFormat="false" ht="16.5" hidden="false" customHeight="false" outlineLevel="0" collapsed="false">
      <c r="B162" s="116" t="n">
        <f aca="false">MONTH(C162)</f>
        <v>3</v>
      </c>
      <c r="C162" s="125" t="n">
        <f aca="false">PJM_01212000!A146</f>
        <v>39873</v>
      </c>
      <c r="D162" s="126" t="n">
        <f aca="false">PJM_01212000!C146</f>
        <v>29.0500007629395</v>
      </c>
      <c r="E162" s="127" t="n">
        <f aca="false">VLOOKUP($B162,$C$6:$Z$17,E$22+1)</f>
        <v>0</v>
      </c>
      <c r="F162" s="127" t="n">
        <f aca="false">VLOOKUP($B162,$C$6:$Z$17,F$22+1)</f>
        <v>1.1898</v>
      </c>
      <c r="G162" s="127" t="n">
        <f aca="false">VLOOKUP($B162,$C$6:$Z$17,G$22+1)</f>
        <v>1.1862</v>
      </c>
      <c r="H162" s="127" t="n">
        <f aca="false">VLOOKUP($B162,$C$6:$Z$17,H$22+1)</f>
        <v>0</v>
      </c>
      <c r="I162" s="127" t="n">
        <f aca="false">VLOOKUP($B162,$C$6:$Z$17,I$22+1)</f>
        <v>0</v>
      </c>
      <c r="J162" s="127" t="n">
        <f aca="false">VLOOKUP($B162,$C$6:$Z$17,J$22+1)</f>
        <v>0</v>
      </c>
      <c r="K162" s="127" t="n">
        <f aca="false">VLOOKUP($B162,$C$6:$Z$17,K$22+1)</f>
        <v>0</v>
      </c>
      <c r="L162" s="127" t="n">
        <f aca="false">VLOOKUP($B162,$C$6:$Z$17,L$22+1)</f>
        <v>0</v>
      </c>
      <c r="M162" s="127" t="n">
        <f aca="false">VLOOKUP($B162,$C$6:$Z$17,M$22+1)</f>
        <v>0</v>
      </c>
      <c r="N162" s="127" t="n">
        <f aca="false">VLOOKUP($B162,$C$6:$Z$17,N$22+1)</f>
        <v>0</v>
      </c>
      <c r="O162" s="127" t="n">
        <f aca="false">VLOOKUP($B162,$C$6:$Z$17,O$22+1)</f>
        <v>0</v>
      </c>
      <c r="P162" s="127" t="n">
        <f aca="false">VLOOKUP($B162,$C$6:$Z$17,P$22+1)</f>
        <v>1.2719</v>
      </c>
      <c r="Q162" s="127" t="n">
        <f aca="false">VLOOKUP($B162,$C$6:$Z$17,Q$22+1)</f>
        <v>1.217</v>
      </c>
      <c r="R162" s="127" t="n">
        <f aca="false">VLOOKUP($B162,$C$6:$Z$17,R$22+1)</f>
        <v>0</v>
      </c>
      <c r="S162" s="127" t="n">
        <f aca="false">VLOOKUP($B162,$C$6:$Z$17,S$22+1)</f>
        <v>0</v>
      </c>
      <c r="T162" s="127" t="n">
        <f aca="false">VLOOKUP($B162,$C$6:$Z$17,T$22+1)</f>
        <v>0</v>
      </c>
      <c r="U162" s="127" t="n">
        <f aca="false">VLOOKUP($B162,$C$6:$AB$17,T$22+3)-SUM(E162:T162)</f>
        <v>0</v>
      </c>
      <c r="W162" s="128" t="n">
        <f aca="false">$D162*E162</f>
        <v>0</v>
      </c>
      <c r="X162" s="128" t="n">
        <f aca="false">$D162*F162</f>
        <v>34.5636909077454</v>
      </c>
      <c r="Y162" s="128" t="n">
        <f aca="false">$D162*G162</f>
        <v>34.4591109049988</v>
      </c>
      <c r="Z162" s="128" t="n">
        <f aca="false">$D162*H162</f>
        <v>0</v>
      </c>
      <c r="AA162" s="128" t="n">
        <f aca="false">$D162*I162</f>
        <v>0</v>
      </c>
      <c r="AB162" s="128" t="n">
        <f aca="false">$D162*J162</f>
        <v>0</v>
      </c>
      <c r="AC162" s="128" t="n">
        <f aca="false">$D162*K162</f>
        <v>0</v>
      </c>
      <c r="AD162" s="128" t="n">
        <f aca="false">$D162*L162</f>
        <v>0</v>
      </c>
      <c r="AE162" s="128" t="n">
        <f aca="false">$D162*M162</f>
        <v>0</v>
      </c>
      <c r="AF162" s="128" t="n">
        <f aca="false">$D162*N162</f>
        <v>0</v>
      </c>
      <c r="AG162" s="128" t="n">
        <f aca="false">$D162*O162</f>
        <v>0</v>
      </c>
      <c r="AH162" s="128" t="n">
        <f aca="false">$D162*P162</f>
        <v>36.9486959703827</v>
      </c>
      <c r="AI162" s="128" t="n">
        <f aca="false">$D162*Q162</f>
        <v>35.3538509284973</v>
      </c>
      <c r="AJ162" s="128" t="n">
        <f aca="false">$D162*R162</f>
        <v>0</v>
      </c>
      <c r="AK162" s="128" t="n">
        <f aca="false">$D162*S162</f>
        <v>0</v>
      </c>
      <c r="AL162" s="128" t="n">
        <f aca="false">$D162*T162</f>
        <v>0</v>
      </c>
      <c r="AN162" s="129" t="n">
        <f aca="false">SUM(W162:AL162)/4</f>
        <v>35.331337177906</v>
      </c>
      <c r="AO162" s="130" t="n">
        <f aca="false">D162</f>
        <v>29.0500007629395</v>
      </c>
    </row>
    <row r="163" customFormat="false" ht="16.5" hidden="false" customHeight="false" outlineLevel="0" collapsed="false">
      <c r="B163" s="116" t="n">
        <f aca="false">MONTH(C163)</f>
        <v>4</v>
      </c>
      <c r="C163" s="125" t="n">
        <f aca="false">PJM_01212000!A147</f>
        <v>39904</v>
      </c>
      <c r="D163" s="126" t="n">
        <f aca="false">PJM_01212000!C147</f>
        <v>28.8250007629395</v>
      </c>
      <c r="E163" s="127" t="n">
        <f aca="false">VLOOKUP($B163,$C$6:$Z$17,E$22+1)</f>
        <v>1.1232726508202</v>
      </c>
      <c r="F163" s="127" t="n">
        <f aca="false">VLOOKUP($B163,$C$6:$Z$17,F$22+1)</f>
        <v>1.14131544612562</v>
      </c>
      <c r="G163" s="127" t="n">
        <f aca="false">VLOOKUP($B163,$C$6:$Z$17,G$22+1)</f>
        <v>0</v>
      </c>
      <c r="H163" s="127" t="n">
        <f aca="false">VLOOKUP($B163,$C$6:$Z$17,H$22+1)</f>
        <v>0</v>
      </c>
      <c r="I163" s="127" t="n">
        <f aca="false">VLOOKUP($B163,$C$6:$Z$17,I$22+1)</f>
        <v>1.11852454679246</v>
      </c>
      <c r="J163" s="127" t="n">
        <f aca="false">VLOOKUP($B163,$C$6:$Z$17,J$22+1)</f>
        <v>0</v>
      </c>
      <c r="K163" s="127" t="n">
        <f aca="false">VLOOKUP($B163,$C$6:$Z$17,K$22+1)</f>
        <v>0</v>
      </c>
      <c r="L163" s="127" t="n">
        <f aca="false">VLOOKUP($B163,$C$6:$Z$17,L$22+1)</f>
        <v>0</v>
      </c>
      <c r="M163" s="127" t="n">
        <f aca="false">VLOOKUP($B163,$C$6:$Z$17,M$22+1)</f>
        <v>0</v>
      </c>
      <c r="N163" s="127" t="n">
        <f aca="false">VLOOKUP($B163,$C$6:$Z$17,N$22+1)</f>
        <v>0</v>
      </c>
      <c r="O163" s="127" t="n">
        <f aca="false">VLOOKUP($B163,$C$6:$Z$17,O$22+1)</f>
        <v>0</v>
      </c>
      <c r="P163" s="127" t="n">
        <f aca="false">VLOOKUP($B163,$C$6:$Z$17,P$22+1)</f>
        <v>0</v>
      </c>
      <c r="Q163" s="127" t="n">
        <f aca="false">VLOOKUP($B163,$C$6:$Z$17,Q$22+1)</f>
        <v>0</v>
      </c>
      <c r="R163" s="127" t="n">
        <f aca="false">VLOOKUP($B163,$C$6:$Z$17,R$22+1)</f>
        <v>1.15433651784915</v>
      </c>
      <c r="S163" s="127" t="n">
        <f aca="false">VLOOKUP($B163,$C$6:$Z$17,S$22+1)</f>
        <v>0</v>
      </c>
      <c r="T163" s="127" t="n">
        <f aca="false">VLOOKUP($B163,$C$6:$Z$17,T$22+1)</f>
        <v>0</v>
      </c>
      <c r="U163" s="127" t="n">
        <f aca="false">VLOOKUP($B163,$C$6:$AB$17,T$22+3)-SUM(E163:T163)</f>
        <v>0</v>
      </c>
      <c r="W163" s="128" t="n">
        <f aca="false">$D163*E163</f>
        <v>32.3783350168814</v>
      </c>
      <c r="X163" s="128" t="n">
        <f aca="false">$D163*F163</f>
        <v>32.8984186053255</v>
      </c>
      <c r="Y163" s="128" t="n">
        <f aca="false">$D163*G163</f>
        <v>0</v>
      </c>
      <c r="Z163" s="128" t="n">
        <f aca="false">$D163*H163</f>
        <v>0</v>
      </c>
      <c r="AA163" s="128" t="n">
        <f aca="false">$D163*I163</f>
        <v>32.2414709146593</v>
      </c>
      <c r="AB163" s="128" t="n">
        <f aca="false">$D163*J163</f>
        <v>0</v>
      </c>
      <c r="AC163" s="128" t="n">
        <f aca="false">$D163*K163</f>
        <v>0</v>
      </c>
      <c r="AD163" s="128" t="n">
        <f aca="false">$D163*L163</f>
        <v>0</v>
      </c>
      <c r="AE163" s="128" t="n">
        <f aca="false">$D163*M163</f>
        <v>0</v>
      </c>
      <c r="AF163" s="128" t="n">
        <f aca="false">$D163*N163</f>
        <v>0</v>
      </c>
      <c r="AG163" s="128" t="n">
        <f aca="false">$D163*O163</f>
        <v>0</v>
      </c>
      <c r="AH163" s="128" t="n">
        <f aca="false">$D163*P163</f>
        <v>0</v>
      </c>
      <c r="AI163" s="128" t="n">
        <f aca="false">$D163*Q163</f>
        <v>0</v>
      </c>
      <c r="AJ163" s="128" t="n">
        <f aca="false">$D163*R163</f>
        <v>33.2737510076906</v>
      </c>
      <c r="AK163" s="128" t="n">
        <f aca="false">$D163*S163</f>
        <v>0</v>
      </c>
      <c r="AL163" s="128" t="n">
        <f aca="false">$D163*T163</f>
        <v>0</v>
      </c>
      <c r="AN163" s="129" t="n">
        <f aca="false">SUM(W163:AL163)/4</f>
        <v>32.6979938861392</v>
      </c>
      <c r="AO163" s="130" t="n">
        <f aca="false">D163</f>
        <v>28.8250007629395</v>
      </c>
    </row>
    <row r="164" customFormat="false" ht="16.5" hidden="false" customHeight="false" outlineLevel="0" collapsed="false">
      <c r="B164" s="116" t="n">
        <f aca="false">MONTH(C164)</f>
        <v>5</v>
      </c>
      <c r="C164" s="125" t="n">
        <f aca="false">PJM_01212000!A148</f>
        <v>39934</v>
      </c>
      <c r="D164" s="126" t="n">
        <f aca="false">PJM_01212000!C148</f>
        <v>36.075</v>
      </c>
      <c r="E164" s="127" t="n">
        <f aca="false">VLOOKUP($B164,$C$6:$Z$17,E$22+1)</f>
        <v>0</v>
      </c>
      <c r="F164" s="127" t="n">
        <f aca="false">VLOOKUP($B164,$C$6:$Z$17,F$22+1)</f>
        <v>0</v>
      </c>
      <c r="G164" s="127" t="n">
        <f aca="false">VLOOKUP($B164,$C$6:$Z$17,G$22+1)</f>
        <v>1.06102662180267</v>
      </c>
      <c r="H164" s="127" t="n">
        <f aca="false">VLOOKUP($B164,$C$6:$Z$17,H$22+1)</f>
        <v>1.12549986193072</v>
      </c>
      <c r="I164" s="127" t="n">
        <f aca="false">VLOOKUP($B164,$C$6:$Z$17,I$22+1)</f>
        <v>1.11699070333514</v>
      </c>
      <c r="J164" s="127" t="n">
        <f aca="false">VLOOKUP($B164,$C$6:$Z$17,J$22+1)</f>
        <v>0</v>
      </c>
      <c r="K164" s="127" t="n">
        <f aca="false">VLOOKUP($B164,$C$6:$Z$17,K$22+1)</f>
        <v>0</v>
      </c>
      <c r="L164" s="127" t="n">
        <f aca="false">VLOOKUP($B164,$C$6:$Z$17,L$22+1)</f>
        <v>0</v>
      </c>
      <c r="M164" s="127" t="n">
        <f aca="false">VLOOKUP($B164,$C$6:$Z$17,M$22+1)</f>
        <v>0</v>
      </c>
      <c r="N164" s="127" t="n">
        <f aca="false">VLOOKUP($B164,$C$6:$Z$17,N$22+1)</f>
        <v>0</v>
      </c>
      <c r="O164" s="127" t="n">
        <f aca="false">VLOOKUP($B164,$C$6:$Z$17,O$22+1)</f>
        <v>0</v>
      </c>
      <c r="P164" s="127" t="n">
        <f aca="false">VLOOKUP($B164,$C$6:$Z$17,P$22+1)</f>
        <v>0</v>
      </c>
      <c r="Q164" s="127" t="n">
        <f aca="false">VLOOKUP($B164,$C$6:$Z$17,Q$22+1)</f>
        <v>0</v>
      </c>
      <c r="R164" s="127" t="n">
        <f aca="false">VLOOKUP($B164,$C$6:$Z$17,R$22+1)</f>
        <v>1.08769956124651</v>
      </c>
      <c r="S164" s="127" t="n">
        <f aca="false">VLOOKUP($B164,$C$6:$Z$17,S$22+1)</f>
        <v>0</v>
      </c>
      <c r="T164" s="127" t="n">
        <f aca="false">VLOOKUP($B164,$C$6:$Z$17,T$22+1)</f>
        <v>0</v>
      </c>
      <c r="U164" s="127" t="n">
        <f aca="false">VLOOKUP($B164,$C$6:$AB$17,T$22+3)-SUM(E164:T164)</f>
        <v>0</v>
      </c>
      <c r="W164" s="128" t="n">
        <f aca="false">$D164*E164</f>
        <v>0</v>
      </c>
      <c r="X164" s="128" t="n">
        <f aca="false">$D164*F164</f>
        <v>0</v>
      </c>
      <c r="Y164" s="128" t="n">
        <f aca="false">$D164*G164</f>
        <v>38.2765353815314</v>
      </c>
      <c r="Z164" s="128" t="n">
        <f aca="false">$D164*H164</f>
        <v>40.6024075191507</v>
      </c>
      <c r="AA164" s="128" t="n">
        <f aca="false">$D164*I164</f>
        <v>40.2954396228152</v>
      </c>
      <c r="AB164" s="128" t="n">
        <f aca="false">$D164*J164</f>
        <v>0</v>
      </c>
      <c r="AC164" s="128" t="n">
        <f aca="false">$D164*K164</f>
        <v>0</v>
      </c>
      <c r="AD164" s="128" t="n">
        <f aca="false">$D164*L164</f>
        <v>0</v>
      </c>
      <c r="AE164" s="128" t="n">
        <f aca="false">$D164*M164</f>
        <v>0</v>
      </c>
      <c r="AF164" s="128" t="n">
        <f aca="false">$D164*N164</f>
        <v>0</v>
      </c>
      <c r="AG164" s="128" t="n">
        <f aca="false">$D164*O164</f>
        <v>0</v>
      </c>
      <c r="AH164" s="128" t="n">
        <f aca="false">$D164*P164</f>
        <v>0</v>
      </c>
      <c r="AI164" s="128" t="n">
        <f aca="false">$D164*Q164</f>
        <v>0</v>
      </c>
      <c r="AJ164" s="128" t="n">
        <f aca="false">$D164*R164</f>
        <v>39.2387616719678</v>
      </c>
      <c r="AK164" s="128" t="n">
        <f aca="false">$D164*S164</f>
        <v>0</v>
      </c>
      <c r="AL164" s="128" t="n">
        <f aca="false">$D164*T164</f>
        <v>0</v>
      </c>
      <c r="AN164" s="129" t="n">
        <f aca="false">SUM(W164:AL164)/4</f>
        <v>39.6032860488663</v>
      </c>
      <c r="AO164" s="130" t="n">
        <f aca="false">D164</f>
        <v>36.075</v>
      </c>
    </row>
    <row r="165" customFormat="false" ht="16.5" hidden="false" customHeight="false" outlineLevel="0" collapsed="false">
      <c r="B165" s="116" t="n">
        <f aca="false">MONTH(C165)</f>
        <v>6</v>
      </c>
      <c r="C165" s="125" t="n">
        <f aca="false">PJM_01212000!A149</f>
        <v>39965</v>
      </c>
      <c r="D165" s="126" t="n">
        <f aca="false">PJM_01212000!C149</f>
        <v>61.0999984741211</v>
      </c>
      <c r="E165" s="127" t="n">
        <f aca="false">VLOOKUP($B165,$C$6:$Z$17,E$22+1)</f>
        <v>0</v>
      </c>
      <c r="F165" s="127" t="n">
        <f aca="false">VLOOKUP($B165,$C$6:$Z$17,F$22+1)</f>
        <v>0</v>
      </c>
      <c r="G165" s="127" t="n">
        <f aca="false">VLOOKUP($B165,$C$6:$Z$17,G$22+1)</f>
        <v>0</v>
      </c>
      <c r="H165" s="127" t="n">
        <f aca="false">VLOOKUP($B165,$C$6:$Z$17,H$22+1)</f>
        <v>0</v>
      </c>
      <c r="I165" s="127" t="n">
        <f aca="false">VLOOKUP($B165,$C$6:$Z$17,I$22+1)</f>
        <v>0</v>
      </c>
      <c r="J165" s="127" t="n">
        <f aca="false">VLOOKUP($B165,$C$6:$Z$17,J$22+1)</f>
        <v>0</v>
      </c>
      <c r="K165" s="127" t="n">
        <f aca="false">VLOOKUP($B165,$C$6:$Z$17,K$22+1)</f>
        <v>1.22092018621818</v>
      </c>
      <c r="L165" s="127" t="n">
        <f aca="false">VLOOKUP($B165,$C$6:$Z$17,L$22+1)</f>
        <v>1.23031497714214</v>
      </c>
      <c r="M165" s="127" t="n">
        <f aca="false">VLOOKUP($B165,$C$6:$Z$17,M$22+1)</f>
        <v>1.23232814662584</v>
      </c>
      <c r="N165" s="127" t="n">
        <f aca="false">VLOOKUP($B165,$C$6:$Z$17,N$22+1)</f>
        <v>1.25232563016399</v>
      </c>
      <c r="O165" s="127" t="n">
        <f aca="false">VLOOKUP($B165,$C$6:$Z$17,O$22+1)</f>
        <v>0</v>
      </c>
      <c r="P165" s="127" t="n">
        <f aca="false">VLOOKUP($B165,$C$6:$Z$17,P$22+1)</f>
        <v>0</v>
      </c>
      <c r="Q165" s="127" t="n">
        <f aca="false">VLOOKUP($B165,$C$6:$Z$17,Q$22+1)</f>
        <v>0</v>
      </c>
      <c r="R165" s="127" t="n">
        <f aca="false">VLOOKUP($B165,$C$6:$Z$17,R$22+1)</f>
        <v>0</v>
      </c>
      <c r="S165" s="127" t="n">
        <f aca="false">VLOOKUP($B165,$C$6:$Z$17,S$22+1)</f>
        <v>0</v>
      </c>
      <c r="T165" s="127" t="n">
        <f aca="false">VLOOKUP($B165,$C$6:$Z$17,T$22+1)</f>
        <v>0</v>
      </c>
      <c r="U165" s="127" t="n">
        <f aca="false">VLOOKUP($B165,$C$6:$AB$17,T$22+3)-SUM(E165:T165)</f>
        <v>0</v>
      </c>
      <c r="W165" s="128" t="n">
        <f aca="false">$D165*E165</f>
        <v>0</v>
      </c>
      <c r="X165" s="128" t="n">
        <f aca="false">$D165*F165</f>
        <v>0</v>
      </c>
      <c r="Y165" s="128" t="n">
        <f aca="false">$D165*G165</f>
        <v>0</v>
      </c>
      <c r="Z165" s="128" t="n">
        <f aca="false">$D165*H165</f>
        <v>0</v>
      </c>
      <c r="AA165" s="128" t="n">
        <f aca="false">$D165*I165</f>
        <v>0</v>
      </c>
      <c r="AB165" s="128" t="n">
        <f aca="false">$D165*J165</f>
        <v>0</v>
      </c>
      <c r="AC165" s="128" t="n">
        <f aca="false">$D165*K165</f>
        <v>74.5982215149543</v>
      </c>
      <c r="AD165" s="128" t="n">
        <f aca="false">$D165*L165</f>
        <v>75.172243226073</v>
      </c>
      <c r="AE165" s="128" t="n">
        <f aca="false">$D165*M165</f>
        <v>75.2952478784555</v>
      </c>
      <c r="AF165" s="128" t="n">
        <f aca="false">$D165*N165</f>
        <v>76.5170940921225</v>
      </c>
      <c r="AG165" s="128" t="n">
        <f aca="false">$D165*O165</f>
        <v>0</v>
      </c>
      <c r="AH165" s="128" t="n">
        <f aca="false">$D165*P165</f>
        <v>0</v>
      </c>
      <c r="AI165" s="128" t="n">
        <f aca="false">$D165*Q165</f>
        <v>0</v>
      </c>
      <c r="AJ165" s="128" t="n">
        <f aca="false">$D165*R165</f>
        <v>0</v>
      </c>
      <c r="AK165" s="128" t="n">
        <f aca="false">$D165*S165</f>
        <v>0</v>
      </c>
      <c r="AL165" s="128" t="n">
        <f aca="false">$D165*T165</f>
        <v>0</v>
      </c>
      <c r="AN165" s="129" t="n">
        <f aca="false">SUM(W165:AL165)/4</f>
        <v>75.3957016779013</v>
      </c>
      <c r="AO165" s="130" t="n">
        <f aca="false">D165</f>
        <v>61.0999984741211</v>
      </c>
    </row>
    <row r="166" customFormat="false" ht="16.5" hidden="false" customHeight="false" outlineLevel="0" collapsed="false">
      <c r="B166" s="116" t="n">
        <f aca="false">MONTH(C166)</f>
        <v>7</v>
      </c>
      <c r="C166" s="125" t="n">
        <f aca="false">PJM_01212000!A150</f>
        <v>39995</v>
      </c>
      <c r="D166" s="126" t="n">
        <f aca="false">PJM_01212000!C150</f>
        <v>104.699996948242</v>
      </c>
      <c r="E166" s="127" t="n">
        <f aca="false">VLOOKUP($B166,$C$6:$Z$17,E$22+1)</f>
        <v>0</v>
      </c>
      <c r="F166" s="127" t="n">
        <f aca="false">VLOOKUP($B166,$C$6:$Z$17,F$22+1)</f>
        <v>0</v>
      </c>
      <c r="G166" s="127" t="n">
        <f aca="false">VLOOKUP($B166,$C$6:$Z$17,G$22+1)</f>
        <v>0</v>
      </c>
      <c r="H166" s="127" t="n">
        <f aca="false">VLOOKUP($B166,$C$6:$Z$17,H$22+1)</f>
        <v>0</v>
      </c>
      <c r="I166" s="127" t="n">
        <f aca="false">VLOOKUP($B166,$C$6:$Z$17,I$22+1)</f>
        <v>0</v>
      </c>
      <c r="J166" s="127" t="n">
        <f aca="false">VLOOKUP($B166,$C$6:$Z$17,J$22+1)</f>
        <v>0</v>
      </c>
      <c r="K166" s="127" t="n">
        <f aca="false">VLOOKUP($B166,$C$6:$Z$17,K$22+1)</f>
        <v>0</v>
      </c>
      <c r="L166" s="127" t="n">
        <f aca="false">VLOOKUP($B166,$C$6:$Z$17,L$22+1)</f>
        <v>1.2506946851613</v>
      </c>
      <c r="M166" s="127" t="n">
        <f aca="false">VLOOKUP($B166,$C$6:$Z$17,M$22+1)</f>
        <v>1.32734019400042</v>
      </c>
      <c r="N166" s="127" t="n">
        <f aca="false">VLOOKUP($B166,$C$6:$Z$17,N$22+1)</f>
        <v>1.35388881627921</v>
      </c>
      <c r="O166" s="127" t="n">
        <f aca="false">VLOOKUP($B166,$C$6:$Z$17,O$22+1)</f>
        <v>1.32033935867348</v>
      </c>
      <c r="P166" s="127" t="n">
        <f aca="false">VLOOKUP($B166,$C$6:$Z$17,P$22+1)</f>
        <v>0</v>
      </c>
      <c r="Q166" s="127" t="n">
        <f aca="false">VLOOKUP($B166,$C$6:$Z$17,Q$22+1)</f>
        <v>0</v>
      </c>
      <c r="R166" s="127" t="n">
        <f aca="false">VLOOKUP($B166,$C$6:$Z$17,R$22+1)</f>
        <v>0</v>
      </c>
      <c r="S166" s="127" t="n">
        <f aca="false">VLOOKUP($B166,$C$6:$Z$17,S$22+1)</f>
        <v>0</v>
      </c>
      <c r="T166" s="127" t="n">
        <f aca="false">VLOOKUP($B166,$C$6:$Z$17,T$22+1)</f>
        <v>0</v>
      </c>
      <c r="U166" s="127" t="n">
        <f aca="false">VLOOKUP($B166,$C$6:$AB$17,T$22+3)-SUM(E166:T166)</f>
        <v>0</v>
      </c>
      <c r="W166" s="128" t="n">
        <f aca="false">$D166*E166</f>
        <v>0</v>
      </c>
      <c r="X166" s="128" t="n">
        <f aca="false">$D166*F166</f>
        <v>0</v>
      </c>
      <c r="Y166" s="128" t="n">
        <f aca="false">$D166*G166</f>
        <v>0</v>
      </c>
      <c r="Z166" s="128" t="n">
        <f aca="false">$D166*H166</f>
        <v>0</v>
      </c>
      <c r="AA166" s="128" t="n">
        <f aca="false">$D166*I166</f>
        <v>0</v>
      </c>
      <c r="AB166" s="128" t="n">
        <f aca="false">$D166*J166</f>
        <v>0</v>
      </c>
      <c r="AC166" s="128" t="n">
        <f aca="false">$D166*K166</f>
        <v>0</v>
      </c>
      <c r="AD166" s="128" t="n">
        <f aca="false">$D166*L166</f>
        <v>130.947729719571</v>
      </c>
      <c r="AE166" s="128" t="n">
        <f aca="false">$D166*M166</f>
        <v>138.972514261123</v>
      </c>
      <c r="AF166" s="128" t="n">
        <f aca="false">$D166*N166</f>
        <v>141.752154932693</v>
      </c>
      <c r="AG166" s="128" t="n">
        <f aca="false">$D166*O166</f>
        <v>138.239526823757</v>
      </c>
      <c r="AH166" s="128" t="n">
        <f aca="false">$D166*P166</f>
        <v>0</v>
      </c>
      <c r="AI166" s="128" t="n">
        <f aca="false">$D166*Q166</f>
        <v>0</v>
      </c>
      <c r="AJ166" s="128" t="n">
        <f aca="false">$D166*R166</f>
        <v>0</v>
      </c>
      <c r="AK166" s="128" t="n">
        <f aca="false">$D166*S166</f>
        <v>0</v>
      </c>
      <c r="AL166" s="128" t="n">
        <f aca="false">$D166*T166</f>
        <v>0</v>
      </c>
      <c r="AN166" s="129" t="n">
        <f aca="false">SUM(W166:AL166)/4</f>
        <v>137.477981434286</v>
      </c>
      <c r="AO166" s="130" t="n">
        <f aca="false">D166</f>
        <v>104.699996948242</v>
      </c>
    </row>
    <row r="167" customFormat="false" ht="16.5" hidden="false" customHeight="false" outlineLevel="0" collapsed="false">
      <c r="B167" s="116" t="n">
        <f aca="false">MONTH(C167)</f>
        <v>8</v>
      </c>
      <c r="C167" s="125" t="n">
        <f aca="false">PJM_01212000!A151</f>
        <v>40026</v>
      </c>
      <c r="D167" s="126" t="n">
        <f aca="false">PJM_01212000!C151</f>
        <v>91.6999969482422</v>
      </c>
      <c r="E167" s="127" t="n">
        <f aca="false">VLOOKUP($B167,$C$6:$Z$17,E$22+1)</f>
        <v>0</v>
      </c>
      <c r="F167" s="127" t="n">
        <f aca="false">VLOOKUP($B167,$C$6:$Z$17,F$22+1)</f>
        <v>0</v>
      </c>
      <c r="G167" s="127" t="n">
        <f aca="false">VLOOKUP($B167,$C$6:$Z$17,G$22+1)</f>
        <v>0</v>
      </c>
      <c r="H167" s="127" t="n">
        <f aca="false">VLOOKUP($B167,$C$6:$Z$17,H$22+1)</f>
        <v>0</v>
      </c>
      <c r="I167" s="127" t="n">
        <f aca="false">VLOOKUP($B167,$C$6:$Z$17,I$22+1)</f>
        <v>0</v>
      </c>
      <c r="J167" s="127" t="n">
        <f aca="false">VLOOKUP($B167,$C$6:$Z$17,J$22+1)</f>
        <v>0</v>
      </c>
      <c r="K167" s="127" t="n">
        <f aca="false">VLOOKUP($B167,$C$6:$Z$17,K$22+1)</f>
        <v>1.19072909190695</v>
      </c>
      <c r="L167" s="127" t="n">
        <f aca="false">VLOOKUP($B167,$C$6:$Z$17,L$22+1)</f>
        <v>1.26057331025457</v>
      </c>
      <c r="M167" s="127" t="n">
        <f aca="false">VLOOKUP($B167,$C$6:$Z$17,M$22+1)</f>
        <v>1.24301093426774</v>
      </c>
      <c r="N167" s="127" t="n">
        <f aca="false">VLOOKUP($B167,$C$6:$Z$17,N$22+1)</f>
        <v>1.21504622788872</v>
      </c>
      <c r="O167" s="127" t="n">
        <f aca="false">VLOOKUP($B167,$C$6:$Z$17,O$22+1)</f>
        <v>0</v>
      </c>
      <c r="P167" s="127" t="n">
        <f aca="false">VLOOKUP($B167,$C$6:$Z$17,P$22+1)</f>
        <v>0</v>
      </c>
      <c r="Q167" s="127" t="n">
        <f aca="false">VLOOKUP($B167,$C$6:$Z$17,Q$22+1)</f>
        <v>0</v>
      </c>
      <c r="R167" s="127" t="n">
        <f aca="false">VLOOKUP($B167,$C$6:$Z$17,R$22+1)</f>
        <v>0</v>
      </c>
      <c r="S167" s="127" t="n">
        <f aca="false">VLOOKUP($B167,$C$6:$Z$17,S$22+1)</f>
        <v>0</v>
      </c>
      <c r="T167" s="127" t="n">
        <f aca="false">VLOOKUP($B167,$C$6:$Z$17,T$22+1)</f>
        <v>0</v>
      </c>
      <c r="U167" s="127" t="n">
        <f aca="false">VLOOKUP($B167,$C$6:$AB$17,T$22+3)-SUM(E167:T167)</f>
        <v>0</v>
      </c>
      <c r="W167" s="128" t="n">
        <f aca="false">$D167*E167</f>
        <v>0</v>
      </c>
      <c r="X167" s="128" t="n">
        <f aca="false">$D167*F167</f>
        <v>0</v>
      </c>
      <c r="Y167" s="128" t="n">
        <f aca="false">$D167*G167</f>
        <v>0</v>
      </c>
      <c r="Z167" s="128" t="n">
        <f aca="false">$D167*H167</f>
        <v>0</v>
      </c>
      <c r="AA167" s="128" t="n">
        <f aca="false">$D167*I167</f>
        <v>0</v>
      </c>
      <c r="AB167" s="128" t="n">
        <f aca="false">$D167*J167</f>
        <v>0</v>
      </c>
      <c r="AC167" s="128" t="n">
        <f aca="false">$D167*K167</f>
        <v>109.189854094051</v>
      </c>
      <c r="AD167" s="128" t="n">
        <f aca="false">$D167*L167</f>
        <v>115.59456870338</v>
      </c>
      <c r="AE167" s="128" t="n">
        <f aca="false">$D167*M167</f>
        <v>113.984098878984</v>
      </c>
      <c r="AF167" s="128" t="n">
        <f aca="false">$D167*N167</f>
        <v>111.419735389368</v>
      </c>
      <c r="AG167" s="128" t="n">
        <f aca="false">$D167*O167</f>
        <v>0</v>
      </c>
      <c r="AH167" s="128" t="n">
        <f aca="false">$D167*P167</f>
        <v>0</v>
      </c>
      <c r="AI167" s="128" t="n">
        <f aca="false">$D167*Q167</f>
        <v>0</v>
      </c>
      <c r="AJ167" s="128" t="n">
        <f aca="false">$D167*R167</f>
        <v>0</v>
      </c>
      <c r="AK167" s="128" t="n">
        <f aca="false">$D167*S167</f>
        <v>0</v>
      </c>
      <c r="AL167" s="128" t="n">
        <f aca="false">$D167*T167</f>
        <v>0</v>
      </c>
      <c r="AN167" s="129" t="n">
        <f aca="false">SUM(W167:AL167)/4</f>
        <v>112.547064266446</v>
      </c>
      <c r="AO167" s="130" t="n">
        <f aca="false">D167</f>
        <v>91.6999969482422</v>
      </c>
    </row>
    <row r="168" customFormat="false" ht="16.5" hidden="false" customHeight="false" outlineLevel="0" collapsed="false">
      <c r="B168" s="116" t="n">
        <f aca="false">MONTH(C168)</f>
        <v>9</v>
      </c>
      <c r="C168" s="125" t="n">
        <f aca="false">PJM_01212000!A152</f>
        <v>40057</v>
      </c>
      <c r="D168" s="126" t="n">
        <f aca="false">PJM_01212000!C152</f>
        <v>35.9249984741211</v>
      </c>
      <c r="E168" s="127" t="n">
        <f aca="false">VLOOKUP($B168,$C$6:$Z$17,E$22+1)</f>
        <v>0</v>
      </c>
      <c r="F168" s="127" t="n">
        <f aca="false">VLOOKUP($B168,$C$6:$Z$17,F$22+1)</f>
        <v>0</v>
      </c>
      <c r="G168" s="127" t="n">
        <f aca="false">VLOOKUP($B168,$C$6:$Z$17,G$22+1)</f>
        <v>0</v>
      </c>
      <c r="H168" s="127" t="n">
        <f aca="false">VLOOKUP($B168,$C$6:$Z$17,H$22+1)</f>
        <v>0</v>
      </c>
      <c r="I168" s="127" t="n">
        <f aca="false">VLOOKUP($B168,$C$6:$Z$17,I$22+1)</f>
        <v>0</v>
      </c>
      <c r="J168" s="127" t="n">
        <f aca="false">VLOOKUP($B168,$C$6:$Z$17,J$22+1)</f>
        <v>0</v>
      </c>
      <c r="K168" s="127" t="n">
        <f aca="false">VLOOKUP($B168,$C$6:$Z$17,K$22+1)</f>
        <v>0</v>
      </c>
      <c r="L168" s="127" t="n">
        <f aca="false">VLOOKUP($B168,$C$6:$Z$17,L$22+1)</f>
        <v>0</v>
      </c>
      <c r="M168" s="127" t="n">
        <f aca="false">VLOOKUP($B168,$C$6:$Z$17,M$22+1)</f>
        <v>0</v>
      </c>
      <c r="N168" s="127" t="n">
        <f aca="false">VLOOKUP($B168,$C$6:$Z$17,N$22+1)</f>
        <v>1.13452840898687</v>
      </c>
      <c r="O168" s="127" t="n">
        <f aca="false">VLOOKUP($B168,$C$6:$Z$17,O$22+1)</f>
        <v>1.1066962078626</v>
      </c>
      <c r="P168" s="127" t="n">
        <f aca="false">VLOOKUP($B168,$C$6:$Z$17,P$22+1)</f>
        <v>0</v>
      </c>
      <c r="Q168" s="127" t="n">
        <f aca="false">VLOOKUP($B168,$C$6:$Z$17,Q$22+1)</f>
        <v>1.18462637101057</v>
      </c>
      <c r="R168" s="127" t="n">
        <f aca="false">VLOOKUP($B168,$C$6:$Z$17,R$22+1)</f>
        <v>1.1944408840386</v>
      </c>
      <c r="S168" s="127" t="n">
        <f aca="false">VLOOKUP($B168,$C$6:$Z$17,S$22+1)</f>
        <v>0</v>
      </c>
      <c r="T168" s="127" t="n">
        <f aca="false">VLOOKUP($B168,$C$6:$Z$17,T$22+1)</f>
        <v>0</v>
      </c>
      <c r="U168" s="127" t="n">
        <f aca="false">VLOOKUP($B168,$C$6:$AB$17,T$22+3)-SUM(E168:T168)</f>
        <v>0</v>
      </c>
      <c r="W168" s="128" t="n">
        <f aca="false">$D168*E168</f>
        <v>0</v>
      </c>
      <c r="X168" s="128" t="n">
        <f aca="false">$D168*F168</f>
        <v>0</v>
      </c>
      <c r="Y168" s="128" t="n">
        <f aca="false">$D168*G168</f>
        <v>0</v>
      </c>
      <c r="Z168" s="128" t="n">
        <f aca="false">$D168*H168</f>
        <v>0</v>
      </c>
      <c r="AA168" s="128" t="n">
        <f aca="false">$D168*I168</f>
        <v>0</v>
      </c>
      <c r="AB168" s="128" t="n">
        <f aca="false">$D168*J168</f>
        <v>0</v>
      </c>
      <c r="AC168" s="128" t="n">
        <f aca="false">$D168*K168</f>
        <v>0</v>
      </c>
      <c r="AD168" s="128" t="n">
        <f aca="false">$D168*L168</f>
        <v>0</v>
      </c>
      <c r="AE168" s="128" t="n">
        <f aca="false">$D168*M168</f>
        <v>0</v>
      </c>
      <c r="AF168" s="128" t="n">
        <f aca="false">$D168*N168</f>
        <v>40.7579313617004</v>
      </c>
      <c r="AG168" s="128" t="n">
        <f aca="false">$D168*O168</f>
        <v>39.7580595787794</v>
      </c>
      <c r="AH168" s="128" t="n">
        <f aca="false">$D168*P168</f>
        <v>0</v>
      </c>
      <c r="AI168" s="128" t="n">
        <f aca="false">$D168*Q168</f>
        <v>42.5577005709582</v>
      </c>
      <c r="AJ168" s="128" t="n">
        <f aca="false">$D168*R168</f>
        <v>42.9102869365145</v>
      </c>
      <c r="AK168" s="128" t="n">
        <f aca="false">$D168*S168</f>
        <v>0</v>
      </c>
      <c r="AL168" s="128" t="n">
        <f aca="false">$D168*T168</f>
        <v>0</v>
      </c>
      <c r="AN168" s="129" t="n">
        <f aca="false">SUM(W168:AL168)/4</f>
        <v>41.4959946119881</v>
      </c>
      <c r="AO168" s="130" t="n">
        <f aca="false">D168</f>
        <v>35.9249984741211</v>
      </c>
    </row>
    <row r="169" customFormat="false" ht="16.5" hidden="false" customHeight="false" outlineLevel="0" collapsed="false">
      <c r="B169" s="116" t="n">
        <f aca="false">MONTH(C169)</f>
        <v>10</v>
      </c>
      <c r="C169" s="125" t="n">
        <f aca="false">PJM_01212000!A153</f>
        <v>40087</v>
      </c>
      <c r="D169" s="126" t="n">
        <f aca="false">PJM_01212000!C153</f>
        <v>29.5750003814697</v>
      </c>
      <c r="E169" s="127" t="n">
        <f aca="false">VLOOKUP($B169,$C$6:$Z$17,E$22+1)</f>
        <v>0</v>
      </c>
      <c r="F169" s="127" t="n">
        <f aca="false">VLOOKUP($B169,$C$6:$Z$17,F$22+1)</f>
        <v>1.1326</v>
      </c>
      <c r="G169" s="127" t="n">
        <f aca="false">VLOOKUP($B169,$C$6:$Z$17,G$22+1)</f>
        <v>0</v>
      </c>
      <c r="H169" s="127" t="n">
        <f aca="false">VLOOKUP($B169,$C$6:$Z$17,H$22+1)</f>
        <v>0</v>
      </c>
      <c r="I169" s="127" t="n">
        <f aca="false">VLOOKUP($B169,$C$6:$Z$17,I$22+1)</f>
        <v>0</v>
      </c>
      <c r="J169" s="127" t="n">
        <f aca="false">VLOOKUP($B169,$C$6:$Z$17,J$22+1)</f>
        <v>0</v>
      </c>
      <c r="K169" s="127" t="n">
        <f aca="false">VLOOKUP($B169,$C$6:$Z$17,K$22+1)</f>
        <v>0</v>
      </c>
      <c r="L169" s="127" t="n">
        <f aca="false">VLOOKUP($B169,$C$6:$Z$17,L$22+1)</f>
        <v>0</v>
      </c>
      <c r="M169" s="127" t="n">
        <f aca="false">VLOOKUP($B169,$C$6:$Z$17,M$22+1)</f>
        <v>0</v>
      </c>
      <c r="N169" s="127" t="n">
        <f aca="false">VLOOKUP($B169,$C$6:$Z$17,N$22+1)</f>
        <v>0</v>
      </c>
      <c r="O169" s="127" t="n">
        <f aca="false">VLOOKUP($B169,$C$6:$Z$17,O$22+1)</f>
        <v>1.2001</v>
      </c>
      <c r="P169" s="127" t="n">
        <f aca="false">VLOOKUP($B169,$C$6:$Z$17,P$22+1)</f>
        <v>1.2095</v>
      </c>
      <c r="Q169" s="127" t="n">
        <f aca="false">VLOOKUP($B169,$C$6:$Z$17,Q$22+1)</f>
        <v>1.1567</v>
      </c>
      <c r="R169" s="127" t="n">
        <f aca="false">VLOOKUP($B169,$C$6:$Z$17,R$22+1)</f>
        <v>0</v>
      </c>
      <c r="S169" s="127" t="n">
        <f aca="false">VLOOKUP($B169,$C$6:$Z$17,S$22+1)</f>
        <v>0</v>
      </c>
      <c r="T169" s="127" t="n">
        <f aca="false">VLOOKUP($B169,$C$6:$Z$17,T$22+1)</f>
        <v>0</v>
      </c>
      <c r="U169" s="127" t="n">
        <f aca="false">VLOOKUP($B169,$C$6:$AB$17,T$22+3)-SUM(E169:T169)</f>
        <v>0</v>
      </c>
      <c r="W169" s="128" t="n">
        <f aca="false">$D169*E169</f>
        <v>0</v>
      </c>
      <c r="X169" s="128" t="n">
        <f aca="false">$D169*F169</f>
        <v>33.4966454320526</v>
      </c>
      <c r="Y169" s="128" t="n">
        <f aca="false">$D169*G169</f>
        <v>0</v>
      </c>
      <c r="Z169" s="128" t="n">
        <f aca="false">$D169*H169</f>
        <v>0</v>
      </c>
      <c r="AA169" s="128" t="n">
        <f aca="false">$D169*I169</f>
        <v>0</v>
      </c>
      <c r="AB169" s="128" t="n">
        <f aca="false">$D169*J169</f>
        <v>0</v>
      </c>
      <c r="AC169" s="128" t="n">
        <f aca="false">$D169*K169</f>
        <v>0</v>
      </c>
      <c r="AD169" s="128" t="n">
        <f aca="false">$D169*L169</f>
        <v>0</v>
      </c>
      <c r="AE169" s="128" t="n">
        <f aca="false">$D169*M169</f>
        <v>0</v>
      </c>
      <c r="AF169" s="128" t="n">
        <f aca="false">$D169*N169</f>
        <v>0</v>
      </c>
      <c r="AG169" s="128" t="n">
        <f aca="false">$D169*O169</f>
        <v>35.4929579578018</v>
      </c>
      <c r="AH169" s="128" t="n">
        <f aca="false">$D169*P169</f>
        <v>35.7709629613876</v>
      </c>
      <c r="AI169" s="128" t="n">
        <f aca="false">$D169*Q169</f>
        <v>34.209402941246</v>
      </c>
      <c r="AJ169" s="128" t="n">
        <f aca="false">$D169*R169</f>
        <v>0</v>
      </c>
      <c r="AK169" s="128" t="n">
        <f aca="false">$D169*S169</f>
        <v>0</v>
      </c>
      <c r="AL169" s="128" t="n">
        <f aca="false">$D169*T169</f>
        <v>0</v>
      </c>
      <c r="AN169" s="129" t="n">
        <f aca="false">SUM(W169:AL169)/4</f>
        <v>34.742492323122</v>
      </c>
      <c r="AO169" s="130" t="n">
        <f aca="false">D169</f>
        <v>29.5750003814697</v>
      </c>
    </row>
    <row r="170" customFormat="false" ht="16.5" hidden="false" customHeight="false" outlineLevel="0" collapsed="false">
      <c r="B170" s="116" t="n">
        <f aca="false">MONTH(C170)</f>
        <v>11</v>
      </c>
      <c r="C170" s="125" t="n">
        <f aca="false">PJM_01212000!A154</f>
        <v>40118</v>
      </c>
      <c r="D170" s="126" t="n">
        <f aca="false">PJM_01212000!C154</f>
        <v>29.2474990844727</v>
      </c>
      <c r="E170" s="127" t="n">
        <f aca="false">VLOOKUP($B170,$C$6:$Z$17,E$22+1)</f>
        <v>0</v>
      </c>
      <c r="F170" s="127" t="n">
        <f aca="false">VLOOKUP($B170,$C$6:$Z$17,F$22+1)</f>
        <v>1.1426</v>
      </c>
      <c r="G170" s="127" t="n">
        <f aca="false">VLOOKUP($B170,$C$6:$Z$17,G$22+1)</f>
        <v>0</v>
      </c>
      <c r="H170" s="127" t="n">
        <f aca="false">VLOOKUP($B170,$C$6:$Z$17,H$22+1)</f>
        <v>0</v>
      </c>
      <c r="I170" s="127" t="n">
        <f aca="false">VLOOKUP($B170,$C$6:$Z$17,I$22+1)</f>
        <v>0</v>
      </c>
      <c r="J170" s="127" t="n">
        <f aca="false">VLOOKUP($B170,$C$6:$Z$17,J$22+1)</f>
        <v>0</v>
      </c>
      <c r="K170" s="127" t="n">
        <f aca="false">VLOOKUP($B170,$C$6:$Z$17,K$22+1)</f>
        <v>0</v>
      </c>
      <c r="L170" s="127" t="n">
        <f aca="false">VLOOKUP($B170,$C$6:$Z$17,L$22+1)</f>
        <v>0</v>
      </c>
      <c r="M170" s="127" t="n">
        <f aca="false">VLOOKUP($B170,$C$6:$Z$17,M$22+1)</f>
        <v>0</v>
      </c>
      <c r="N170" s="127" t="n">
        <f aca="false">VLOOKUP($B170,$C$6:$Z$17,N$22+1)</f>
        <v>0</v>
      </c>
      <c r="O170" s="127" t="n">
        <f aca="false">VLOOKUP($B170,$C$6:$Z$17,O$22+1)</f>
        <v>1.2171</v>
      </c>
      <c r="P170" s="127" t="n">
        <f aca="false">VLOOKUP($B170,$C$6:$Z$17,P$22+1)</f>
        <v>1.2269</v>
      </c>
      <c r="Q170" s="127" t="n">
        <f aca="false">VLOOKUP($B170,$C$6:$Z$17,Q$22+1)</f>
        <v>1.1767</v>
      </c>
      <c r="R170" s="127" t="n">
        <f aca="false">VLOOKUP($B170,$C$6:$Z$17,R$22+1)</f>
        <v>0</v>
      </c>
      <c r="S170" s="127" t="n">
        <f aca="false">VLOOKUP($B170,$C$6:$Z$17,S$22+1)</f>
        <v>0</v>
      </c>
      <c r="T170" s="127" t="n">
        <f aca="false">VLOOKUP($B170,$C$6:$Z$17,T$22+1)</f>
        <v>0</v>
      </c>
      <c r="U170" s="127" t="n">
        <f aca="false">VLOOKUP($B170,$C$6:$AB$17,T$22+3)-SUM(E170:T170)</f>
        <v>0</v>
      </c>
      <c r="W170" s="128" t="n">
        <f aca="false">$D170*E170</f>
        <v>0</v>
      </c>
      <c r="X170" s="128" t="n">
        <f aca="false">$D170*F170</f>
        <v>33.4181924539185</v>
      </c>
      <c r="Y170" s="128" t="n">
        <f aca="false">$D170*G170</f>
        <v>0</v>
      </c>
      <c r="Z170" s="128" t="n">
        <f aca="false">$D170*H170</f>
        <v>0</v>
      </c>
      <c r="AA170" s="128" t="n">
        <f aca="false">$D170*I170</f>
        <v>0</v>
      </c>
      <c r="AB170" s="128" t="n">
        <f aca="false">$D170*J170</f>
        <v>0</v>
      </c>
      <c r="AC170" s="128" t="n">
        <f aca="false">$D170*K170</f>
        <v>0</v>
      </c>
      <c r="AD170" s="128" t="n">
        <f aca="false">$D170*L170</f>
        <v>0</v>
      </c>
      <c r="AE170" s="128" t="n">
        <f aca="false">$D170*M170</f>
        <v>0</v>
      </c>
      <c r="AF170" s="128" t="n">
        <f aca="false">$D170*N170</f>
        <v>0</v>
      </c>
      <c r="AG170" s="128" t="n">
        <f aca="false">$D170*O170</f>
        <v>35.5971311357117</v>
      </c>
      <c r="AH170" s="128" t="n">
        <f aca="false">$D170*P170</f>
        <v>35.8837566267395</v>
      </c>
      <c r="AI170" s="128" t="n">
        <f aca="false">$D170*Q170</f>
        <v>34.415532172699</v>
      </c>
      <c r="AJ170" s="128" t="n">
        <f aca="false">$D170*R170</f>
        <v>0</v>
      </c>
      <c r="AK170" s="128" t="n">
        <f aca="false">$D170*S170</f>
        <v>0</v>
      </c>
      <c r="AL170" s="128" t="n">
        <f aca="false">$D170*T170</f>
        <v>0</v>
      </c>
      <c r="AN170" s="129" t="n">
        <f aca="false">SUM(W170:AL170)/4</f>
        <v>34.8286530972672</v>
      </c>
      <c r="AO170" s="130" t="n">
        <f aca="false">D170</f>
        <v>29.2474990844727</v>
      </c>
    </row>
    <row r="171" customFormat="false" ht="16.5" hidden="false" customHeight="false" outlineLevel="0" collapsed="false">
      <c r="B171" s="116" t="n">
        <f aca="false">MONTH(C171)</f>
        <v>12</v>
      </c>
      <c r="C171" s="125" t="n">
        <f aca="false">PJM_01212000!A155</f>
        <v>40148</v>
      </c>
      <c r="D171" s="126" t="n">
        <f aca="false">PJM_01212000!C155</f>
        <v>30.9999996185303</v>
      </c>
      <c r="E171" s="127" t="n">
        <f aca="false">VLOOKUP($B171,$C$6:$Z$17,E$22+1)</f>
        <v>0</v>
      </c>
      <c r="F171" s="127" t="n">
        <f aca="false">VLOOKUP($B171,$C$6:$Z$17,F$22+1)</f>
        <v>1.1638</v>
      </c>
      <c r="G171" s="127" t="n">
        <f aca="false">VLOOKUP($B171,$C$6:$Z$17,G$22+1)</f>
        <v>0</v>
      </c>
      <c r="H171" s="127" t="n">
        <f aca="false">VLOOKUP($B171,$C$6:$Z$17,H$22+1)</f>
        <v>0</v>
      </c>
      <c r="I171" s="127" t="n">
        <f aca="false">VLOOKUP($B171,$C$6:$Z$17,I$22+1)</f>
        <v>0</v>
      </c>
      <c r="J171" s="127" t="n">
        <f aca="false">VLOOKUP($B171,$C$6:$Z$17,J$22+1)</f>
        <v>0</v>
      </c>
      <c r="K171" s="127" t="n">
        <f aca="false">VLOOKUP($B171,$C$6:$Z$17,K$22+1)</f>
        <v>0</v>
      </c>
      <c r="L171" s="127" t="n">
        <f aca="false">VLOOKUP($B171,$C$6:$Z$17,L$22+1)</f>
        <v>0</v>
      </c>
      <c r="M171" s="127" t="n">
        <f aca="false">VLOOKUP($B171,$C$6:$Z$17,M$22+1)</f>
        <v>0</v>
      </c>
      <c r="N171" s="127" t="n">
        <f aca="false">VLOOKUP($B171,$C$6:$Z$17,N$22+1)</f>
        <v>0</v>
      </c>
      <c r="O171" s="127" t="n">
        <f aca="false">VLOOKUP($B171,$C$6:$Z$17,O$22+1)</f>
        <v>1.23965925286319</v>
      </c>
      <c r="P171" s="127" t="n">
        <f aca="false">VLOOKUP($B171,$C$6:$Z$17,P$22+1)</f>
        <v>1.2314</v>
      </c>
      <c r="Q171" s="127" t="n">
        <f aca="false">VLOOKUP($B171,$C$6:$Z$17,Q$22+1)</f>
        <v>1.18899630831453</v>
      </c>
      <c r="R171" s="127" t="n">
        <f aca="false">VLOOKUP($B171,$C$6:$Z$17,R$22+1)</f>
        <v>0</v>
      </c>
      <c r="S171" s="127" t="n">
        <f aca="false">VLOOKUP($B171,$C$6:$Z$17,S$22+1)</f>
        <v>0</v>
      </c>
      <c r="T171" s="127" t="n">
        <f aca="false">VLOOKUP($B171,$C$6:$Z$17,T$22+1)</f>
        <v>0</v>
      </c>
      <c r="U171" s="127" t="n">
        <f aca="false">VLOOKUP($B171,$C$6:$AB$17,T$22+3)-SUM(E171:T171)</f>
        <v>0</v>
      </c>
      <c r="W171" s="128" t="n">
        <f aca="false">$D171*E171</f>
        <v>0</v>
      </c>
      <c r="X171" s="128" t="n">
        <f aca="false">$D171*F171</f>
        <v>36.0777995560455</v>
      </c>
      <c r="Y171" s="128" t="n">
        <f aca="false">$D171*G171</f>
        <v>0</v>
      </c>
      <c r="Z171" s="128" t="n">
        <f aca="false">$D171*H171</f>
        <v>0</v>
      </c>
      <c r="AA171" s="128" t="n">
        <f aca="false">$D171*I171</f>
        <v>0</v>
      </c>
      <c r="AB171" s="128" t="n">
        <f aca="false">$D171*J171</f>
        <v>0</v>
      </c>
      <c r="AC171" s="128" t="n">
        <f aca="false">$D171*K171</f>
        <v>0</v>
      </c>
      <c r="AD171" s="128" t="n">
        <f aca="false">$D171*L171</f>
        <v>0</v>
      </c>
      <c r="AE171" s="128" t="n">
        <f aca="false">$D171*M171</f>
        <v>0</v>
      </c>
      <c r="AF171" s="128" t="n">
        <f aca="false">$D171*N171</f>
        <v>0</v>
      </c>
      <c r="AG171" s="128" t="n">
        <f aca="false">$D171*O171</f>
        <v>38.4294363658664</v>
      </c>
      <c r="AH171" s="128" t="n">
        <f aca="false">$D171*P171</f>
        <v>38.1733995302582</v>
      </c>
      <c r="AI171" s="128" t="n">
        <f aca="false">$D171*Q171</f>
        <v>36.8588851041843</v>
      </c>
      <c r="AJ171" s="128" t="n">
        <f aca="false">$D171*R171</f>
        <v>0</v>
      </c>
      <c r="AK171" s="128" t="n">
        <f aca="false">$D171*S171</f>
        <v>0</v>
      </c>
      <c r="AL171" s="128" t="n">
        <f aca="false">$D171*T171</f>
        <v>0</v>
      </c>
      <c r="AN171" s="129" t="n">
        <f aca="false">SUM(W171:AL171)/4</f>
        <v>37.3848801390886</v>
      </c>
      <c r="AO171" s="130" t="n">
        <f aca="false">D171</f>
        <v>30.9999996185303</v>
      </c>
    </row>
    <row r="172" customFormat="false" ht="16.5" hidden="false" customHeight="false" outlineLevel="0" collapsed="false">
      <c r="B172" s="116" t="n">
        <f aca="false">MONTH(C172)</f>
        <v>1</v>
      </c>
      <c r="C172" s="125" t="n">
        <f aca="false">PJM_01212000!A156</f>
        <v>40179</v>
      </c>
      <c r="D172" s="126" t="n">
        <f aca="false">PJM_01212000!C156</f>
        <v>39.8249984741211</v>
      </c>
      <c r="E172" s="127" t="n">
        <f aca="false">VLOOKUP($B172,$C$6:$Z$17,E$22+1)</f>
        <v>0</v>
      </c>
      <c r="F172" s="127" t="n">
        <f aca="false">VLOOKUP($B172,$C$6:$Z$17,F$22+1)</f>
        <v>1.19981175661928</v>
      </c>
      <c r="G172" s="127" t="n">
        <f aca="false">VLOOKUP($B172,$C$6:$Z$17,G$22+1)</f>
        <v>1.19616001156207</v>
      </c>
      <c r="H172" s="127" t="n">
        <f aca="false">VLOOKUP($B172,$C$6:$Z$17,H$22+1)</f>
        <v>0</v>
      </c>
      <c r="I172" s="127" t="n">
        <f aca="false">VLOOKUP($B172,$C$6:$Z$17,I$22+1)</f>
        <v>0</v>
      </c>
      <c r="J172" s="127" t="n">
        <f aca="false">VLOOKUP($B172,$C$6:$Z$17,J$22+1)</f>
        <v>0</v>
      </c>
      <c r="K172" s="127" t="n">
        <f aca="false">VLOOKUP($B172,$C$6:$Z$17,K$22+1)</f>
        <v>0</v>
      </c>
      <c r="L172" s="127" t="n">
        <f aca="false">VLOOKUP($B172,$C$6:$Z$17,L$22+1)</f>
        <v>0</v>
      </c>
      <c r="M172" s="127" t="n">
        <f aca="false">VLOOKUP($B172,$C$6:$Z$17,M$22+1)</f>
        <v>0</v>
      </c>
      <c r="N172" s="127" t="n">
        <f aca="false">VLOOKUP($B172,$C$6:$Z$17,N$22+1)</f>
        <v>0</v>
      </c>
      <c r="O172" s="127" t="n">
        <f aca="false">VLOOKUP($B172,$C$6:$Z$17,O$22+1)</f>
        <v>0</v>
      </c>
      <c r="P172" s="127" t="n">
        <f aca="false">VLOOKUP($B172,$C$6:$Z$17,P$22+1)</f>
        <v>1.28189922894351</v>
      </c>
      <c r="Q172" s="127" t="n">
        <f aca="false">VLOOKUP($B172,$C$6:$Z$17,Q$22+1)</f>
        <v>1.227</v>
      </c>
      <c r="R172" s="127" t="n">
        <f aca="false">VLOOKUP($B172,$C$6:$Z$17,R$22+1)</f>
        <v>0</v>
      </c>
      <c r="S172" s="127" t="n">
        <f aca="false">VLOOKUP($B172,$C$6:$Z$17,S$22+1)</f>
        <v>0</v>
      </c>
      <c r="T172" s="127" t="n">
        <f aca="false">VLOOKUP($B172,$C$6:$Z$17,T$22+1)</f>
        <v>0</v>
      </c>
      <c r="U172" s="127" t="n">
        <f aca="false">VLOOKUP($B172,$C$6:$AB$17,T$22+3)-SUM(E172:T172)</f>
        <v>0</v>
      </c>
      <c r="W172" s="128" t="n">
        <f aca="false">$D172*E172</f>
        <v>0</v>
      </c>
      <c r="X172" s="128" t="n">
        <f aca="false">$D172*F172</f>
        <v>47.7825013765955</v>
      </c>
      <c r="Y172" s="128" t="n">
        <f aca="false">$D172*G172</f>
        <v>47.6370706352642</v>
      </c>
      <c r="Z172" s="128" t="n">
        <f aca="false">$D172*H172</f>
        <v>0</v>
      </c>
      <c r="AA172" s="128" t="n">
        <f aca="false">$D172*I172</f>
        <v>0</v>
      </c>
      <c r="AB172" s="128" t="n">
        <f aca="false">$D172*J172</f>
        <v>0</v>
      </c>
      <c r="AC172" s="128" t="n">
        <f aca="false">$D172*K172</f>
        <v>0</v>
      </c>
      <c r="AD172" s="128" t="n">
        <f aca="false">$D172*L172</f>
        <v>0</v>
      </c>
      <c r="AE172" s="128" t="n">
        <f aca="false">$D172*M172</f>
        <v>0</v>
      </c>
      <c r="AF172" s="128" t="n">
        <f aca="false">$D172*N172</f>
        <v>0</v>
      </c>
      <c r="AG172" s="128" t="n">
        <f aca="false">$D172*O172</f>
        <v>0</v>
      </c>
      <c r="AH172" s="128" t="n">
        <f aca="false">$D172*P172</f>
        <v>51.0516348366524</v>
      </c>
      <c r="AI172" s="128" t="n">
        <f aca="false">$D172*Q172</f>
        <v>48.8652731277466</v>
      </c>
      <c r="AJ172" s="128" t="n">
        <f aca="false">$D172*R172</f>
        <v>0</v>
      </c>
      <c r="AK172" s="128" t="n">
        <f aca="false">$D172*S172</f>
        <v>0</v>
      </c>
      <c r="AL172" s="128" t="n">
        <f aca="false">$D172*T172</f>
        <v>0</v>
      </c>
      <c r="AN172" s="129" t="n">
        <f aca="false">SUM(W172:AL172)/4</f>
        <v>48.8341199940646</v>
      </c>
      <c r="AO172" s="130" t="n">
        <f aca="false">D172</f>
        <v>39.8249984741211</v>
      </c>
    </row>
    <row r="173" customFormat="false" ht="16.5" hidden="false" customHeight="false" outlineLevel="0" collapsed="false">
      <c r="B173" s="116" t="n">
        <f aca="false">MONTH(C173)</f>
        <v>2</v>
      </c>
      <c r="C173" s="125" t="n">
        <f aca="false">PJM_01212000!A157</f>
        <v>40210</v>
      </c>
      <c r="D173" s="126" t="n">
        <f aca="false">PJM_01212000!C157</f>
        <v>39.8249984741211</v>
      </c>
      <c r="E173" s="127" t="n">
        <f aca="false">VLOOKUP($B173,$C$6:$Z$17,E$22+1)</f>
        <v>0</v>
      </c>
      <c r="F173" s="127" t="n">
        <f aca="false">VLOOKUP($B173,$C$6:$Z$17,F$22+1)</f>
        <v>1.19981175661928</v>
      </c>
      <c r="G173" s="127" t="n">
        <f aca="false">VLOOKUP($B173,$C$6:$Z$17,G$22+1)</f>
        <v>1.19616001156207</v>
      </c>
      <c r="H173" s="127" t="n">
        <f aca="false">VLOOKUP($B173,$C$6:$Z$17,H$22+1)</f>
        <v>0</v>
      </c>
      <c r="I173" s="127" t="n">
        <f aca="false">VLOOKUP($B173,$C$6:$Z$17,I$22+1)</f>
        <v>0</v>
      </c>
      <c r="J173" s="127" t="n">
        <f aca="false">VLOOKUP($B173,$C$6:$Z$17,J$22+1)</f>
        <v>0</v>
      </c>
      <c r="K173" s="127" t="n">
        <f aca="false">VLOOKUP($B173,$C$6:$Z$17,K$22+1)</f>
        <v>0</v>
      </c>
      <c r="L173" s="127" t="n">
        <f aca="false">VLOOKUP($B173,$C$6:$Z$17,L$22+1)</f>
        <v>0</v>
      </c>
      <c r="M173" s="127" t="n">
        <f aca="false">VLOOKUP($B173,$C$6:$Z$17,M$22+1)</f>
        <v>0</v>
      </c>
      <c r="N173" s="127" t="n">
        <f aca="false">VLOOKUP($B173,$C$6:$Z$17,N$22+1)</f>
        <v>0</v>
      </c>
      <c r="O173" s="127" t="n">
        <f aca="false">VLOOKUP($B173,$C$6:$Z$17,O$22+1)</f>
        <v>0</v>
      </c>
      <c r="P173" s="127" t="n">
        <f aca="false">VLOOKUP($B173,$C$6:$Z$17,P$22+1)</f>
        <v>1.28189922894351</v>
      </c>
      <c r="Q173" s="127" t="n">
        <f aca="false">VLOOKUP($B173,$C$6:$Z$17,Q$22+1)</f>
        <v>1.227</v>
      </c>
      <c r="R173" s="127" t="n">
        <f aca="false">VLOOKUP($B173,$C$6:$Z$17,R$22+1)</f>
        <v>0</v>
      </c>
      <c r="S173" s="127" t="n">
        <f aca="false">VLOOKUP($B173,$C$6:$Z$17,S$22+1)</f>
        <v>0</v>
      </c>
      <c r="T173" s="127" t="n">
        <f aca="false">VLOOKUP($B173,$C$6:$Z$17,T$22+1)</f>
        <v>0</v>
      </c>
      <c r="U173" s="127" t="n">
        <f aca="false">VLOOKUP($B173,$C$6:$AB$17,T$22+3)-SUM(E173:T173)</f>
        <v>0</v>
      </c>
      <c r="W173" s="128" t="n">
        <f aca="false">$D173*E173</f>
        <v>0</v>
      </c>
      <c r="X173" s="128" t="n">
        <f aca="false">$D173*F173</f>
        <v>47.7825013765955</v>
      </c>
      <c r="Y173" s="128" t="n">
        <f aca="false">$D173*G173</f>
        <v>47.6370706352642</v>
      </c>
      <c r="Z173" s="128" t="n">
        <f aca="false">$D173*H173</f>
        <v>0</v>
      </c>
      <c r="AA173" s="128" t="n">
        <f aca="false">$D173*I173</f>
        <v>0</v>
      </c>
      <c r="AB173" s="128" t="n">
        <f aca="false">$D173*J173</f>
        <v>0</v>
      </c>
      <c r="AC173" s="128" t="n">
        <f aca="false">$D173*K173</f>
        <v>0</v>
      </c>
      <c r="AD173" s="128" t="n">
        <f aca="false">$D173*L173</f>
        <v>0</v>
      </c>
      <c r="AE173" s="128" t="n">
        <f aca="false">$D173*M173</f>
        <v>0</v>
      </c>
      <c r="AF173" s="128" t="n">
        <f aca="false">$D173*N173</f>
        <v>0</v>
      </c>
      <c r="AG173" s="128" t="n">
        <f aca="false">$D173*O173</f>
        <v>0</v>
      </c>
      <c r="AH173" s="128" t="n">
        <f aca="false">$D173*P173</f>
        <v>51.0516348366524</v>
      </c>
      <c r="AI173" s="128" t="n">
        <f aca="false">$D173*Q173</f>
        <v>48.8652731277466</v>
      </c>
      <c r="AJ173" s="128" t="n">
        <f aca="false">$D173*R173</f>
        <v>0</v>
      </c>
      <c r="AK173" s="128" t="n">
        <f aca="false">$D173*S173</f>
        <v>0</v>
      </c>
      <c r="AL173" s="128" t="n">
        <f aca="false">$D173*T173</f>
        <v>0</v>
      </c>
      <c r="AN173" s="129" t="n">
        <f aca="false">SUM(W173:AL173)/4</f>
        <v>48.8341199940646</v>
      </c>
      <c r="AO173" s="130" t="n">
        <f aca="false">D173</f>
        <v>39.8249984741211</v>
      </c>
    </row>
    <row r="174" customFormat="false" ht="16.5" hidden="false" customHeight="false" outlineLevel="0" collapsed="false">
      <c r="B174" s="116" t="n">
        <f aca="false">MONTH(C174)</f>
        <v>3</v>
      </c>
      <c r="C174" s="125" t="n">
        <f aca="false">PJM_01212000!A158</f>
        <v>40238</v>
      </c>
      <c r="D174" s="126" t="n">
        <f aca="false">PJM_01212000!C158</f>
        <v>29.5500007629395</v>
      </c>
      <c r="E174" s="127" t="n">
        <f aca="false">VLOOKUP($B174,$C$6:$Z$17,E$22+1)</f>
        <v>0</v>
      </c>
      <c r="F174" s="127" t="n">
        <f aca="false">VLOOKUP($B174,$C$6:$Z$17,F$22+1)</f>
        <v>1.1898</v>
      </c>
      <c r="G174" s="127" t="n">
        <f aca="false">VLOOKUP($B174,$C$6:$Z$17,G$22+1)</f>
        <v>1.1862</v>
      </c>
      <c r="H174" s="127" t="n">
        <f aca="false">VLOOKUP($B174,$C$6:$Z$17,H$22+1)</f>
        <v>0</v>
      </c>
      <c r="I174" s="127" t="n">
        <f aca="false">VLOOKUP($B174,$C$6:$Z$17,I$22+1)</f>
        <v>0</v>
      </c>
      <c r="J174" s="127" t="n">
        <f aca="false">VLOOKUP($B174,$C$6:$Z$17,J$22+1)</f>
        <v>0</v>
      </c>
      <c r="K174" s="127" t="n">
        <f aca="false">VLOOKUP($B174,$C$6:$Z$17,K$22+1)</f>
        <v>0</v>
      </c>
      <c r="L174" s="127" t="n">
        <f aca="false">VLOOKUP($B174,$C$6:$Z$17,L$22+1)</f>
        <v>0</v>
      </c>
      <c r="M174" s="127" t="n">
        <f aca="false">VLOOKUP($B174,$C$6:$Z$17,M$22+1)</f>
        <v>0</v>
      </c>
      <c r="N174" s="127" t="n">
        <f aca="false">VLOOKUP($B174,$C$6:$Z$17,N$22+1)</f>
        <v>0</v>
      </c>
      <c r="O174" s="127" t="n">
        <f aca="false">VLOOKUP($B174,$C$6:$Z$17,O$22+1)</f>
        <v>0</v>
      </c>
      <c r="P174" s="127" t="n">
        <f aca="false">VLOOKUP($B174,$C$6:$Z$17,P$22+1)</f>
        <v>1.2719</v>
      </c>
      <c r="Q174" s="127" t="n">
        <f aca="false">VLOOKUP($B174,$C$6:$Z$17,Q$22+1)</f>
        <v>1.217</v>
      </c>
      <c r="R174" s="127" t="n">
        <f aca="false">VLOOKUP($B174,$C$6:$Z$17,R$22+1)</f>
        <v>0</v>
      </c>
      <c r="S174" s="127" t="n">
        <f aca="false">VLOOKUP($B174,$C$6:$Z$17,S$22+1)</f>
        <v>0</v>
      </c>
      <c r="T174" s="127" t="n">
        <f aca="false">VLOOKUP($B174,$C$6:$Z$17,T$22+1)</f>
        <v>0</v>
      </c>
      <c r="U174" s="127" t="n">
        <f aca="false">VLOOKUP($B174,$C$6:$AB$17,T$22+3)-SUM(E174:T174)</f>
        <v>0</v>
      </c>
      <c r="W174" s="128" t="n">
        <f aca="false">$D174*E174</f>
        <v>0</v>
      </c>
      <c r="X174" s="128" t="n">
        <f aca="false">$D174*F174</f>
        <v>35.1585909077454</v>
      </c>
      <c r="Y174" s="128" t="n">
        <f aca="false">$D174*G174</f>
        <v>35.0522109049988</v>
      </c>
      <c r="Z174" s="128" t="n">
        <f aca="false">$D174*H174</f>
        <v>0</v>
      </c>
      <c r="AA174" s="128" t="n">
        <f aca="false">$D174*I174</f>
        <v>0</v>
      </c>
      <c r="AB174" s="128" t="n">
        <f aca="false">$D174*J174</f>
        <v>0</v>
      </c>
      <c r="AC174" s="128" t="n">
        <f aca="false">$D174*K174</f>
        <v>0</v>
      </c>
      <c r="AD174" s="128" t="n">
        <f aca="false">$D174*L174</f>
        <v>0</v>
      </c>
      <c r="AE174" s="128" t="n">
        <f aca="false">$D174*M174</f>
        <v>0</v>
      </c>
      <c r="AF174" s="128" t="n">
        <f aca="false">$D174*N174</f>
        <v>0</v>
      </c>
      <c r="AG174" s="128" t="n">
        <f aca="false">$D174*O174</f>
        <v>0</v>
      </c>
      <c r="AH174" s="128" t="n">
        <f aca="false">$D174*P174</f>
        <v>37.5846459703827</v>
      </c>
      <c r="AI174" s="128" t="n">
        <f aca="false">$D174*Q174</f>
        <v>35.9623509284973</v>
      </c>
      <c r="AJ174" s="128" t="n">
        <f aca="false">$D174*R174</f>
        <v>0</v>
      </c>
      <c r="AK174" s="128" t="n">
        <f aca="false">$D174*S174</f>
        <v>0</v>
      </c>
      <c r="AL174" s="128" t="n">
        <f aca="false">$D174*T174</f>
        <v>0</v>
      </c>
      <c r="AN174" s="129" t="n">
        <f aca="false">SUM(W174:AL174)/4</f>
        <v>35.939449677906</v>
      </c>
      <c r="AO174" s="130" t="n">
        <f aca="false">D174</f>
        <v>29.5500007629395</v>
      </c>
    </row>
    <row r="175" customFormat="false" ht="16.5" hidden="false" customHeight="false" outlineLevel="0" collapsed="false">
      <c r="B175" s="116" t="n">
        <f aca="false">MONTH(C175)</f>
        <v>4</v>
      </c>
      <c r="C175" s="125" t="n">
        <f aca="false">PJM_01212000!A159</f>
        <v>40269</v>
      </c>
      <c r="D175" s="126" t="n">
        <f aca="false">PJM_01212000!C159</f>
        <v>29.3250007629395</v>
      </c>
      <c r="E175" s="127" t="n">
        <f aca="false">VLOOKUP($B175,$C$6:$Z$17,E$22+1)</f>
        <v>1.1232726508202</v>
      </c>
      <c r="F175" s="127" t="n">
        <f aca="false">VLOOKUP($B175,$C$6:$Z$17,F$22+1)</f>
        <v>1.14131544612562</v>
      </c>
      <c r="G175" s="127" t="n">
        <f aca="false">VLOOKUP($B175,$C$6:$Z$17,G$22+1)</f>
        <v>0</v>
      </c>
      <c r="H175" s="127" t="n">
        <f aca="false">VLOOKUP($B175,$C$6:$Z$17,H$22+1)</f>
        <v>0</v>
      </c>
      <c r="I175" s="127" t="n">
        <f aca="false">VLOOKUP($B175,$C$6:$Z$17,I$22+1)</f>
        <v>1.11852454679246</v>
      </c>
      <c r="J175" s="127" t="n">
        <f aca="false">VLOOKUP($B175,$C$6:$Z$17,J$22+1)</f>
        <v>0</v>
      </c>
      <c r="K175" s="127" t="n">
        <f aca="false">VLOOKUP($B175,$C$6:$Z$17,K$22+1)</f>
        <v>0</v>
      </c>
      <c r="L175" s="127" t="n">
        <f aca="false">VLOOKUP($B175,$C$6:$Z$17,L$22+1)</f>
        <v>0</v>
      </c>
      <c r="M175" s="127" t="n">
        <f aca="false">VLOOKUP($B175,$C$6:$Z$17,M$22+1)</f>
        <v>0</v>
      </c>
      <c r="N175" s="127" t="n">
        <f aca="false">VLOOKUP($B175,$C$6:$Z$17,N$22+1)</f>
        <v>0</v>
      </c>
      <c r="O175" s="127" t="n">
        <f aca="false">VLOOKUP($B175,$C$6:$Z$17,O$22+1)</f>
        <v>0</v>
      </c>
      <c r="P175" s="127" t="n">
        <f aca="false">VLOOKUP($B175,$C$6:$Z$17,P$22+1)</f>
        <v>0</v>
      </c>
      <c r="Q175" s="127" t="n">
        <f aca="false">VLOOKUP($B175,$C$6:$Z$17,Q$22+1)</f>
        <v>0</v>
      </c>
      <c r="R175" s="127" t="n">
        <f aca="false">VLOOKUP($B175,$C$6:$Z$17,R$22+1)</f>
        <v>1.15433651784915</v>
      </c>
      <c r="S175" s="127" t="n">
        <f aca="false">VLOOKUP($B175,$C$6:$Z$17,S$22+1)</f>
        <v>0</v>
      </c>
      <c r="T175" s="127" t="n">
        <f aca="false">VLOOKUP($B175,$C$6:$Z$17,T$22+1)</f>
        <v>0</v>
      </c>
      <c r="U175" s="127" t="n">
        <f aca="false">VLOOKUP($B175,$C$6:$AB$17,T$22+3)-SUM(E175:T175)</f>
        <v>0</v>
      </c>
      <c r="W175" s="128" t="n">
        <f aca="false">$D175*E175</f>
        <v>32.9399713422915</v>
      </c>
      <c r="X175" s="128" t="n">
        <f aca="false">$D175*F175</f>
        <v>33.4690763283883</v>
      </c>
      <c r="Y175" s="128" t="n">
        <f aca="false">$D175*G175</f>
        <v>0</v>
      </c>
      <c r="Z175" s="128" t="n">
        <f aca="false">$D175*H175</f>
        <v>0</v>
      </c>
      <c r="AA175" s="128" t="n">
        <f aca="false">$D175*I175</f>
        <v>32.8007331880555</v>
      </c>
      <c r="AB175" s="128" t="n">
        <f aca="false">$D175*J175</f>
        <v>0</v>
      </c>
      <c r="AC175" s="128" t="n">
        <f aca="false">$D175*K175</f>
        <v>0</v>
      </c>
      <c r="AD175" s="128" t="n">
        <f aca="false">$D175*L175</f>
        <v>0</v>
      </c>
      <c r="AE175" s="128" t="n">
        <f aca="false">$D175*M175</f>
        <v>0</v>
      </c>
      <c r="AF175" s="128" t="n">
        <f aca="false">$D175*N175</f>
        <v>0</v>
      </c>
      <c r="AG175" s="128" t="n">
        <f aca="false">$D175*O175</f>
        <v>0</v>
      </c>
      <c r="AH175" s="128" t="n">
        <f aca="false">$D175*P175</f>
        <v>0</v>
      </c>
      <c r="AI175" s="128" t="n">
        <f aca="false">$D175*Q175</f>
        <v>0</v>
      </c>
      <c r="AJ175" s="128" t="n">
        <f aca="false">$D175*R175</f>
        <v>33.8509192666152</v>
      </c>
      <c r="AK175" s="128" t="n">
        <f aca="false">$D175*S175</f>
        <v>0</v>
      </c>
      <c r="AL175" s="128" t="n">
        <f aca="false">$D175*T175</f>
        <v>0</v>
      </c>
      <c r="AN175" s="129" t="n">
        <f aca="false">SUM(W175:AL175)/4</f>
        <v>33.2651750313376</v>
      </c>
      <c r="AO175" s="130" t="n">
        <f aca="false">D175</f>
        <v>29.3250007629395</v>
      </c>
    </row>
    <row r="176" customFormat="false" ht="16.5" hidden="false" customHeight="false" outlineLevel="0" collapsed="false">
      <c r="B176" s="116" t="n">
        <f aca="false">MONTH(C176)</f>
        <v>5</v>
      </c>
      <c r="C176" s="125" t="n">
        <f aca="false">PJM_01212000!A160</f>
        <v>40299</v>
      </c>
      <c r="D176" s="126" t="n">
        <f aca="false">PJM_01212000!C160</f>
        <v>37.325</v>
      </c>
      <c r="E176" s="127" t="n">
        <f aca="false">VLOOKUP($B176,$C$6:$Z$17,E$22+1)</f>
        <v>0</v>
      </c>
      <c r="F176" s="127" t="n">
        <f aca="false">VLOOKUP($B176,$C$6:$Z$17,F$22+1)</f>
        <v>0</v>
      </c>
      <c r="G176" s="127" t="n">
        <f aca="false">VLOOKUP($B176,$C$6:$Z$17,G$22+1)</f>
        <v>1.06102662180267</v>
      </c>
      <c r="H176" s="127" t="n">
        <f aca="false">VLOOKUP($B176,$C$6:$Z$17,H$22+1)</f>
        <v>1.12549986193072</v>
      </c>
      <c r="I176" s="127" t="n">
        <f aca="false">VLOOKUP($B176,$C$6:$Z$17,I$22+1)</f>
        <v>1.11699070333514</v>
      </c>
      <c r="J176" s="127" t="n">
        <f aca="false">VLOOKUP($B176,$C$6:$Z$17,J$22+1)</f>
        <v>0</v>
      </c>
      <c r="K176" s="127" t="n">
        <f aca="false">VLOOKUP($B176,$C$6:$Z$17,K$22+1)</f>
        <v>0</v>
      </c>
      <c r="L176" s="127" t="n">
        <f aca="false">VLOOKUP($B176,$C$6:$Z$17,L$22+1)</f>
        <v>0</v>
      </c>
      <c r="M176" s="127" t="n">
        <f aca="false">VLOOKUP($B176,$C$6:$Z$17,M$22+1)</f>
        <v>0</v>
      </c>
      <c r="N176" s="127" t="n">
        <f aca="false">VLOOKUP($B176,$C$6:$Z$17,N$22+1)</f>
        <v>0</v>
      </c>
      <c r="O176" s="127" t="n">
        <f aca="false">VLOOKUP($B176,$C$6:$Z$17,O$22+1)</f>
        <v>0</v>
      </c>
      <c r="P176" s="127" t="n">
        <f aca="false">VLOOKUP($B176,$C$6:$Z$17,P$22+1)</f>
        <v>0</v>
      </c>
      <c r="Q176" s="127" t="n">
        <f aca="false">VLOOKUP($B176,$C$6:$Z$17,Q$22+1)</f>
        <v>0</v>
      </c>
      <c r="R176" s="127" t="n">
        <f aca="false">VLOOKUP($B176,$C$6:$Z$17,R$22+1)</f>
        <v>1.08769956124651</v>
      </c>
      <c r="S176" s="127" t="n">
        <f aca="false">VLOOKUP($B176,$C$6:$Z$17,S$22+1)</f>
        <v>0</v>
      </c>
      <c r="T176" s="127" t="n">
        <f aca="false">VLOOKUP($B176,$C$6:$Z$17,T$22+1)</f>
        <v>0</v>
      </c>
      <c r="U176" s="127" t="n">
        <f aca="false">VLOOKUP($B176,$C$6:$AB$17,T$22+3)-SUM(E176:T176)</f>
        <v>0</v>
      </c>
      <c r="W176" s="128" t="n">
        <f aca="false">$D176*E176</f>
        <v>0</v>
      </c>
      <c r="X176" s="128" t="n">
        <f aca="false">$D176*F176</f>
        <v>0</v>
      </c>
      <c r="Y176" s="128" t="n">
        <f aca="false">$D176*G176</f>
        <v>39.6028186587848</v>
      </c>
      <c r="Z176" s="128" t="n">
        <f aca="false">$D176*H176</f>
        <v>42.0092823465641</v>
      </c>
      <c r="AA176" s="128" t="n">
        <f aca="false">$D176*I176</f>
        <v>41.6916780019841</v>
      </c>
      <c r="AB176" s="128" t="n">
        <f aca="false">$D176*J176</f>
        <v>0</v>
      </c>
      <c r="AC176" s="128" t="n">
        <f aca="false">$D176*K176</f>
        <v>0</v>
      </c>
      <c r="AD176" s="128" t="n">
        <f aca="false">$D176*L176</f>
        <v>0</v>
      </c>
      <c r="AE176" s="128" t="n">
        <f aca="false">$D176*M176</f>
        <v>0</v>
      </c>
      <c r="AF176" s="128" t="n">
        <f aca="false">$D176*N176</f>
        <v>0</v>
      </c>
      <c r="AG176" s="128" t="n">
        <f aca="false">$D176*O176</f>
        <v>0</v>
      </c>
      <c r="AH176" s="128" t="n">
        <f aca="false">$D176*P176</f>
        <v>0</v>
      </c>
      <c r="AI176" s="128" t="n">
        <f aca="false">$D176*Q176</f>
        <v>0</v>
      </c>
      <c r="AJ176" s="128" t="n">
        <f aca="false">$D176*R176</f>
        <v>40.598386123526</v>
      </c>
      <c r="AK176" s="128" t="n">
        <f aca="false">$D176*S176</f>
        <v>0</v>
      </c>
      <c r="AL176" s="128" t="n">
        <f aca="false">$D176*T176</f>
        <v>0</v>
      </c>
      <c r="AN176" s="129" t="n">
        <f aca="false">SUM(W176:AL176)/4</f>
        <v>40.9755412827147</v>
      </c>
      <c r="AO176" s="130" t="n">
        <f aca="false">D176</f>
        <v>37.325</v>
      </c>
    </row>
    <row r="177" customFormat="false" ht="16.5" hidden="false" customHeight="false" outlineLevel="0" collapsed="false">
      <c r="B177" s="116" t="n">
        <f aca="false">MONTH(C177)</f>
        <v>6</v>
      </c>
      <c r="C177" s="125" t="n">
        <f aca="false">PJM_01212000!A161</f>
        <v>40330</v>
      </c>
      <c r="D177" s="126" t="n">
        <f aca="false">PJM_01212000!C161</f>
        <v>62.3499984741211</v>
      </c>
      <c r="E177" s="127" t="n">
        <f aca="false">VLOOKUP($B177,$C$6:$Z$17,E$22+1)</f>
        <v>0</v>
      </c>
      <c r="F177" s="127" t="n">
        <f aca="false">VLOOKUP($B177,$C$6:$Z$17,F$22+1)</f>
        <v>0</v>
      </c>
      <c r="G177" s="127" t="n">
        <f aca="false">VLOOKUP($B177,$C$6:$Z$17,G$22+1)</f>
        <v>0</v>
      </c>
      <c r="H177" s="127" t="n">
        <f aca="false">VLOOKUP($B177,$C$6:$Z$17,H$22+1)</f>
        <v>0</v>
      </c>
      <c r="I177" s="127" t="n">
        <f aca="false">VLOOKUP($B177,$C$6:$Z$17,I$22+1)</f>
        <v>0</v>
      </c>
      <c r="J177" s="127" t="n">
        <f aca="false">VLOOKUP($B177,$C$6:$Z$17,J$22+1)</f>
        <v>0</v>
      </c>
      <c r="K177" s="127" t="n">
        <f aca="false">VLOOKUP($B177,$C$6:$Z$17,K$22+1)</f>
        <v>1.22092018621818</v>
      </c>
      <c r="L177" s="127" t="n">
        <f aca="false">VLOOKUP($B177,$C$6:$Z$17,L$22+1)</f>
        <v>1.23031497714214</v>
      </c>
      <c r="M177" s="127" t="n">
        <f aca="false">VLOOKUP($B177,$C$6:$Z$17,M$22+1)</f>
        <v>1.23232814662584</v>
      </c>
      <c r="N177" s="127" t="n">
        <f aca="false">VLOOKUP($B177,$C$6:$Z$17,N$22+1)</f>
        <v>1.25232563016399</v>
      </c>
      <c r="O177" s="127" t="n">
        <f aca="false">VLOOKUP($B177,$C$6:$Z$17,O$22+1)</f>
        <v>0</v>
      </c>
      <c r="P177" s="127" t="n">
        <f aca="false">VLOOKUP($B177,$C$6:$Z$17,P$22+1)</f>
        <v>0</v>
      </c>
      <c r="Q177" s="127" t="n">
        <f aca="false">VLOOKUP($B177,$C$6:$Z$17,Q$22+1)</f>
        <v>0</v>
      </c>
      <c r="R177" s="127" t="n">
        <f aca="false">VLOOKUP($B177,$C$6:$Z$17,R$22+1)</f>
        <v>0</v>
      </c>
      <c r="S177" s="127" t="n">
        <f aca="false">VLOOKUP($B177,$C$6:$Z$17,S$22+1)</f>
        <v>0</v>
      </c>
      <c r="T177" s="127" t="n">
        <f aca="false">VLOOKUP($B177,$C$6:$Z$17,T$22+1)</f>
        <v>0</v>
      </c>
      <c r="U177" s="127" t="n">
        <f aca="false">VLOOKUP($B177,$C$6:$AB$17,T$22+3)-SUM(E177:T177)</f>
        <v>0</v>
      </c>
      <c r="W177" s="128" t="n">
        <f aca="false">$D177*E177</f>
        <v>0</v>
      </c>
      <c r="X177" s="128" t="n">
        <f aca="false">$D177*F177</f>
        <v>0</v>
      </c>
      <c r="Y177" s="128" t="n">
        <f aca="false">$D177*G177</f>
        <v>0</v>
      </c>
      <c r="Z177" s="128" t="n">
        <f aca="false">$D177*H177</f>
        <v>0</v>
      </c>
      <c r="AA177" s="128" t="n">
        <f aca="false">$D177*I177</f>
        <v>0</v>
      </c>
      <c r="AB177" s="128" t="n">
        <f aca="false">$D177*J177</f>
        <v>0</v>
      </c>
      <c r="AC177" s="128" t="n">
        <f aca="false">$D177*K177</f>
        <v>76.124371747727</v>
      </c>
      <c r="AD177" s="128" t="n">
        <f aca="false">$D177*L177</f>
        <v>76.7101369475006</v>
      </c>
      <c r="AE177" s="128" t="n">
        <f aca="false">$D177*M177</f>
        <v>76.8356580617378</v>
      </c>
      <c r="AF177" s="128" t="n">
        <f aca="false">$D177*N177</f>
        <v>78.0825011298275</v>
      </c>
      <c r="AG177" s="128" t="n">
        <f aca="false">$D177*O177</f>
        <v>0</v>
      </c>
      <c r="AH177" s="128" t="n">
        <f aca="false">$D177*P177</f>
        <v>0</v>
      </c>
      <c r="AI177" s="128" t="n">
        <f aca="false">$D177*Q177</f>
        <v>0</v>
      </c>
      <c r="AJ177" s="128" t="n">
        <f aca="false">$D177*R177</f>
        <v>0</v>
      </c>
      <c r="AK177" s="128" t="n">
        <f aca="false">$D177*S177</f>
        <v>0</v>
      </c>
      <c r="AL177" s="128" t="n">
        <f aca="false">$D177*T177</f>
        <v>0</v>
      </c>
      <c r="AN177" s="129" t="n">
        <f aca="false">SUM(W177:AL177)/4</f>
        <v>76.9381669716982</v>
      </c>
      <c r="AO177" s="130" t="n">
        <f aca="false">D177</f>
        <v>62.3499984741211</v>
      </c>
    </row>
    <row r="178" customFormat="false" ht="16.5" hidden="false" customHeight="false" outlineLevel="0" collapsed="false">
      <c r="B178" s="116" t="n">
        <f aca="false">MONTH(C178)</f>
        <v>7</v>
      </c>
      <c r="C178" s="125" t="n">
        <f aca="false">PJM_01212000!A162</f>
        <v>40360</v>
      </c>
      <c r="D178" s="126" t="n">
        <f aca="false">PJM_01212000!C162</f>
        <v>106.949996948242</v>
      </c>
      <c r="E178" s="127" t="n">
        <f aca="false">VLOOKUP($B178,$C$6:$Z$17,E$22+1)</f>
        <v>0</v>
      </c>
      <c r="F178" s="127" t="n">
        <f aca="false">VLOOKUP($B178,$C$6:$Z$17,F$22+1)</f>
        <v>0</v>
      </c>
      <c r="G178" s="127" t="n">
        <f aca="false">VLOOKUP($B178,$C$6:$Z$17,G$22+1)</f>
        <v>0</v>
      </c>
      <c r="H178" s="127" t="n">
        <f aca="false">VLOOKUP($B178,$C$6:$Z$17,H$22+1)</f>
        <v>0</v>
      </c>
      <c r="I178" s="127" t="n">
        <f aca="false">VLOOKUP($B178,$C$6:$Z$17,I$22+1)</f>
        <v>0</v>
      </c>
      <c r="J178" s="127" t="n">
        <f aca="false">VLOOKUP($B178,$C$6:$Z$17,J$22+1)</f>
        <v>0</v>
      </c>
      <c r="K178" s="127" t="n">
        <f aca="false">VLOOKUP($B178,$C$6:$Z$17,K$22+1)</f>
        <v>0</v>
      </c>
      <c r="L178" s="127" t="n">
        <f aca="false">VLOOKUP($B178,$C$6:$Z$17,L$22+1)</f>
        <v>1.2506946851613</v>
      </c>
      <c r="M178" s="127" t="n">
        <f aca="false">VLOOKUP($B178,$C$6:$Z$17,M$22+1)</f>
        <v>1.32734019400042</v>
      </c>
      <c r="N178" s="127" t="n">
        <f aca="false">VLOOKUP($B178,$C$6:$Z$17,N$22+1)</f>
        <v>1.35388881627921</v>
      </c>
      <c r="O178" s="127" t="n">
        <f aca="false">VLOOKUP($B178,$C$6:$Z$17,O$22+1)</f>
        <v>1.32033935867348</v>
      </c>
      <c r="P178" s="127" t="n">
        <f aca="false">VLOOKUP($B178,$C$6:$Z$17,P$22+1)</f>
        <v>0</v>
      </c>
      <c r="Q178" s="127" t="n">
        <f aca="false">VLOOKUP($B178,$C$6:$Z$17,Q$22+1)</f>
        <v>0</v>
      </c>
      <c r="R178" s="127" t="n">
        <f aca="false">VLOOKUP($B178,$C$6:$Z$17,R$22+1)</f>
        <v>0</v>
      </c>
      <c r="S178" s="127" t="n">
        <f aca="false">VLOOKUP($B178,$C$6:$Z$17,S$22+1)</f>
        <v>0</v>
      </c>
      <c r="T178" s="127" t="n">
        <f aca="false">VLOOKUP($B178,$C$6:$Z$17,T$22+1)</f>
        <v>0</v>
      </c>
      <c r="U178" s="127" t="n">
        <f aca="false">VLOOKUP($B178,$C$6:$AB$17,T$22+3)-SUM(E178:T178)</f>
        <v>0</v>
      </c>
      <c r="W178" s="128" t="n">
        <f aca="false">$D178*E178</f>
        <v>0</v>
      </c>
      <c r="X178" s="128" t="n">
        <f aca="false">$D178*F178</f>
        <v>0</v>
      </c>
      <c r="Y178" s="128" t="n">
        <f aca="false">$D178*G178</f>
        <v>0</v>
      </c>
      <c r="Z178" s="128" t="n">
        <f aca="false">$D178*H178</f>
        <v>0</v>
      </c>
      <c r="AA178" s="128" t="n">
        <f aca="false">$D178*I178</f>
        <v>0</v>
      </c>
      <c r="AB178" s="128" t="n">
        <f aca="false">$D178*J178</f>
        <v>0</v>
      </c>
      <c r="AC178" s="128" t="n">
        <f aca="false">$D178*K178</f>
        <v>0</v>
      </c>
      <c r="AD178" s="128" t="n">
        <f aca="false">$D178*L178</f>
        <v>133.761792761183</v>
      </c>
      <c r="AE178" s="128" t="n">
        <f aca="false">$D178*M178</f>
        <v>141.959029697624</v>
      </c>
      <c r="AF178" s="128" t="n">
        <f aca="false">$D178*N178</f>
        <v>144.798404769321</v>
      </c>
      <c r="AG178" s="128" t="n">
        <f aca="false">$D178*O178</f>
        <v>141.210290380772</v>
      </c>
      <c r="AH178" s="128" t="n">
        <f aca="false">$D178*P178</f>
        <v>0</v>
      </c>
      <c r="AI178" s="128" t="n">
        <f aca="false">$D178*Q178</f>
        <v>0</v>
      </c>
      <c r="AJ178" s="128" t="n">
        <f aca="false">$D178*R178</f>
        <v>0</v>
      </c>
      <c r="AK178" s="128" t="n">
        <f aca="false">$D178*S178</f>
        <v>0</v>
      </c>
      <c r="AL178" s="128" t="n">
        <f aca="false">$D178*T178</f>
        <v>0</v>
      </c>
      <c r="AN178" s="129" t="n">
        <f aca="false">SUM(W178:AL178)/4</f>
        <v>140.432379402225</v>
      </c>
      <c r="AO178" s="130" t="n">
        <f aca="false">D178</f>
        <v>106.949996948242</v>
      </c>
    </row>
    <row r="179" customFormat="false" ht="16.5" hidden="false" customHeight="false" outlineLevel="0" collapsed="false">
      <c r="B179" s="116" t="n">
        <f aca="false">MONTH(C179)</f>
        <v>8</v>
      </c>
      <c r="C179" s="125" t="n">
        <f aca="false">PJM_01212000!A163</f>
        <v>40391</v>
      </c>
      <c r="D179" s="126" t="n">
        <f aca="false">PJM_01212000!C163</f>
        <v>93.9499969482422</v>
      </c>
      <c r="E179" s="127" t="n">
        <f aca="false">VLOOKUP($B179,$C$6:$Z$17,E$22+1)</f>
        <v>0</v>
      </c>
      <c r="F179" s="127" t="n">
        <f aca="false">VLOOKUP($B179,$C$6:$Z$17,F$22+1)</f>
        <v>0</v>
      </c>
      <c r="G179" s="127" t="n">
        <f aca="false">VLOOKUP($B179,$C$6:$Z$17,G$22+1)</f>
        <v>0</v>
      </c>
      <c r="H179" s="127" t="n">
        <f aca="false">VLOOKUP($B179,$C$6:$Z$17,H$22+1)</f>
        <v>0</v>
      </c>
      <c r="I179" s="127" t="n">
        <f aca="false">VLOOKUP($B179,$C$6:$Z$17,I$22+1)</f>
        <v>0</v>
      </c>
      <c r="J179" s="127" t="n">
        <f aca="false">VLOOKUP($B179,$C$6:$Z$17,J$22+1)</f>
        <v>0</v>
      </c>
      <c r="K179" s="127" t="n">
        <f aca="false">VLOOKUP($B179,$C$6:$Z$17,K$22+1)</f>
        <v>1.19072909190695</v>
      </c>
      <c r="L179" s="127" t="n">
        <f aca="false">VLOOKUP($B179,$C$6:$Z$17,L$22+1)</f>
        <v>1.26057331025457</v>
      </c>
      <c r="M179" s="127" t="n">
        <f aca="false">VLOOKUP($B179,$C$6:$Z$17,M$22+1)</f>
        <v>1.24301093426774</v>
      </c>
      <c r="N179" s="127" t="n">
        <f aca="false">VLOOKUP($B179,$C$6:$Z$17,N$22+1)</f>
        <v>1.21504622788872</v>
      </c>
      <c r="O179" s="127" t="n">
        <f aca="false">VLOOKUP($B179,$C$6:$Z$17,O$22+1)</f>
        <v>0</v>
      </c>
      <c r="P179" s="127" t="n">
        <f aca="false">VLOOKUP($B179,$C$6:$Z$17,P$22+1)</f>
        <v>0</v>
      </c>
      <c r="Q179" s="127" t="n">
        <f aca="false">VLOOKUP($B179,$C$6:$Z$17,Q$22+1)</f>
        <v>0</v>
      </c>
      <c r="R179" s="127" t="n">
        <f aca="false">VLOOKUP($B179,$C$6:$Z$17,R$22+1)</f>
        <v>0</v>
      </c>
      <c r="S179" s="127" t="n">
        <f aca="false">VLOOKUP($B179,$C$6:$Z$17,S$22+1)</f>
        <v>0</v>
      </c>
      <c r="T179" s="127" t="n">
        <f aca="false">VLOOKUP($B179,$C$6:$Z$17,T$22+1)</f>
        <v>0</v>
      </c>
      <c r="U179" s="127" t="n">
        <f aca="false">VLOOKUP($B179,$C$6:$AB$17,T$22+3)-SUM(E179:T179)</f>
        <v>0</v>
      </c>
      <c r="W179" s="128" t="n">
        <f aca="false">$D179*E179</f>
        <v>0</v>
      </c>
      <c r="X179" s="128" t="n">
        <f aca="false">$D179*F179</f>
        <v>0</v>
      </c>
      <c r="Y179" s="128" t="n">
        <f aca="false">$D179*G179</f>
        <v>0</v>
      </c>
      <c r="Z179" s="128" t="n">
        <f aca="false">$D179*H179</f>
        <v>0</v>
      </c>
      <c r="AA179" s="128" t="n">
        <f aca="false">$D179*I179</f>
        <v>0</v>
      </c>
      <c r="AB179" s="128" t="n">
        <f aca="false">$D179*J179</f>
        <v>0</v>
      </c>
      <c r="AC179" s="128" t="n">
        <f aca="false">$D179*K179</f>
        <v>111.868994550841</v>
      </c>
      <c r="AD179" s="128" t="n">
        <f aca="false">$D179*L179</f>
        <v>118.430858651452</v>
      </c>
      <c r="AE179" s="128" t="n">
        <f aca="false">$D179*M179</f>
        <v>116.780873481086</v>
      </c>
      <c r="AF179" s="128" t="n">
        <f aca="false">$D179*N179</f>
        <v>114.153589402118</v>
      </c>
      <c r="AG179" s="128" t="n">
        <f aca="false">$D179*O179</f>
        <v>0</v>
      </c>
      <c r="AH179" s="128" t="n">
        <f aca="false">$D179*P179</f>
        <v>0</v>
      </c>
      <c r="AI179" s="128" t="n">
        <f aca="false">$D179*Q179</f>
        <v>0</v>
      </c>
      <c r="AJ179" s="128" t="n">
        <f aca="false">$D179*R179</f>
        <v>0</v>
      </c>
      <c r="AK179" s="128" t="n">
        <f aca="false">$D179*S179</f>
        <v>0</v>
      </c>
      <c r="AL179" s="128" t="n">
        <f aca="false">$D179*T179</f>
        <v>0</v>
      </c>
      <c r="AN179" s="129" t="n">
        <f aca="false">SUM(W179:AL179)/4</f>
        <v>115.308579021374</v>
      </c>
      <c r="AO179" s="130" t="n">
        <f aca="false">D179</f>
        <v>93.9499969482422</v>
      </c>
    </row>
    <row r="180" customFormat="false" ht="16.5" hidden="false" customHeight="false" outlineLevel="0" collapsed="false">
      <c r="B180" s="116" t="n">
        <f aca="false">MONTH(C180)</f>
        <v>9</v>
      </c>
      <c r="C180" s="125" t="n">
        <f aca="false">PJM_01212000!A164</f>
        <v>40422</v>
      </c>
      <c r="D180" s="126" t="n">
        <f aca="false">PJM_01212000!C164</f>
        <v>36.4249984741211</v>
      </c>
      <c r="E180" s="127" t="n">
        <f aca="false">VLOOKUP($B180,$C$6:$Z$17,E$22+1)</f>
        <v>0</v>
      </c>
      <c r="F180" s="127" t="n">
        <f aca="false">VLOOKUP($B180,$C$6:$Z$17,F$22+1)</f>
        <v>0</v>
      </c>
      <c r="G180" s="127" t="n">
        <f aca="false">VLOOKUP($B180,$C$6:$Z$17,G$22+1)</f>
        <v>0</v>
      </c>
      <c r="H180" s="127" t="n">
        <f aca="false">VLOOKUP($B180,$C$6:$Z$17,H$22+1)</f>
        <v>0</v>
      </c>
      <c r="I180" s="127" t="n">
        <f aca="false">VLOOKUP($B180,$C$6:$Z$17,I$22+1)</f>
        <v>0</v>
      </c>
      <c r="J180" s="127" t="n">
        <f aca="false">VLOOKUP($B180,$C$6:$Z$17,J$22+1)</f>
        <v>0</v>
      </c>
      <c r="K180" s="127" t="n">
        <f aca="false">VLOOKUP($B180,$C$6:$Z$17,K$22+1)</f>
        <v>0</v>
      </c>
      <c r="L180" s="127" t="n">
        <f aca="false">VLOOKUP($B180,$C$6:$Z$17,L$22+1)</f>
        <v>0</v>
      </c>
      <c r="M180" s="127" t="n">
        <f aca="false">VLOOKUP($B180,$C$6:$Z$17,M$22+1)</f>
        <v>0</v>
      </c>
      <c r="N180" s="127" t="n">
        <f aca="false">VLOOKUP($B180,$C$6:$Z$17,N$22+1)</f>
        <v>1.13452840898687</v>
      </c>
      <c r="O180" s="127" t="n">
        <f aca="false">VLOOKUP($B180,$C$6:$Z$17,O$22+1)</f>
        <v>1.1066962078626</v>
      </c>
      <c r="P180" s="127" t="n">
        <f aca="false">VLOOKUP($B180,$C$6:$Z$17,P$22+1)</f>
        <v>0</v>
      </c>
      <c r="Q180" s="127" t="n">
        <f aca="false">VLOOKUP($B180,$C$6:$Z$17,Q$22+1)</f>
        <v>1.18462637101057</v>
      </c>
      <c r="R180" s="127" t="n">
        <f aca="false">VLOOKUP($B180,$C$6:$Z$17,R$22+1)</f>
        <v>1.1944408840386</v>
      </c>
      <c r="S180" s="127" t="n">
        <f aca="false">VLOOKUP($B180,$C$6:$Z$17,S$22+1)</f>
        <v>0</v>
      </c>
      <c r="T180" s="127" t="n">
        <f aca="false">VLOOKUP($B180,$C$6:$Z$17,T$22+1)</f>
        <v>0</v>
      </c>
      <c r="U180" s="127" t="n">
        <f aca="false">VLOOKUP($B180,$C$6:$AB$17,T$22+3)-SUM(E180:T180)</f>
        <v>0</v>
      </c>
      <c r="W180" s="128" t="n">
        <f aca="false">$D180*E180</f>
        <v>0</v>
      </c>
      <c r="X180" s="128" t="n">
        <f aca="false">$D180*F180</f>
        <v>0</v>
      </c>
      <c r="Y180" s="128" t="n">
        <f aca="false">$D180*G180</f>
        <v>0</v>
      </c>
      <c r="Z180" s="128" t="n">
        <f aca="false">$D180*H180</f>
        <v>0</v>
      </c>
      <c r="AA180" s="128" t="n">
        <f aca="false">$D180*I180</f>
        <v>0</v>
      </c>
      <c r="AB180" s="128" t="n">
        <f aca="false">$D180*J180</f>
        <v>0</v>
      </c>
      <c r="AC180" s="128" t="n">
        <f aca="false">$D180*K180</f>
        <v>0</v>
      </c>
      <c r="AD180" s="128" t="n">
        <f aca="false">$D180*L180</f>
        <v>0</v>
      </c>
      <c r="AE180" s="128" t="n">
        <f aca="false">$D180*M180</f>
        <v>0</v>
      </c>
      <c r="AF180" s="128" t="n">
        <f aca="false">$D180*N180</f>
        <v>41.3251955661939</v>
      </c>
      <c r="AG180" s="128" t="n">
        <f aca="false">$D180*O180</f>
        <v>40.3114076827107</v>
      </c>
      <c r="AH180" s="128" t="n">
        <f aca="false">$D180*P180</f>
        <v>0</v>
      </c>
      <c r="AI180" s="128" t="n">
        <f aca="false">$D180*Q180</f>
        <v>43.1500137564635</v>
      </c>
      <c r="AJ180" s="128" t="n">
        <f aca="false">$D180*R180</f>
        <v>43.5075073785338</v>
      </c>
      <c r="AK180" s="128" t="n">
        <f aca="false">$D180*S180</f>
        <v>0</v>
      </c>
      <c r="AL180" s="128" t="n">
        <f aca="false">$D180*T180</f>
        <v>0</v>
      </c>
      <c r="AN180" s="129" t="n">
        <f aca="false">SUM(W180:AL180)/4</f>
        <v>42.0735310959755</v>
      </c>
      <c r="AO180" s="130" t="n">
        <f aca="false">D180</f>
        <v>36.4249984741211</v>
      </c>
    </row>
    <row r="181" customFormat="false" ht="16.5" hidden="false" customHeight="false" outlineLevel="0" collapsed="false">
      <c r="B181" s="116" t="n">
        <f aca="false">MONTH(C181)</f>
        <v>10</v>
      </c>
      <c r="C181" s="125" t="n">
        <f aca="false">PJM_01212000!A165</f>
        <v>40452</v>
      </c>
      <c r="D181" s="126" t="n">
        <f aca="false">PJM_01212000!C165</f>
        <v>30.0750003814697</v>
      </c>
      <c r="E181" s="127" t="n">
        <f aca="false">VLOOKUP($B181,$C$6:$Z$17,E$22+1)</f>
        <v>0</v>
      </c>
      <c r="F181" s="127" t="n">
        <f aca="false">VLOOKUP($B181,$C$6:$Z$17,F$22+1)</f>
        <v>1.1326</v>
      </c>
      <c r="G181" s="127" t="n">
        <f aca="false">VLOOKUP($B181,$C$6:$Z$17,G$22+1)</f>
        <v>0</v>
      </c>
      <c r="H181" s="127" t="n">
        <f aca="false">VLOOKUP($B181,$C$6:$Z$17,H$22+1)</f>
        <v>0</v>
      </c>
      <c r="I181" s="127" t="n">
        <f aca="false">VLOOKUP($B181,$C$6:$Z$17,I$22+1)</f>
        <v>0</v>
      </c>
      <c r="J181" s="127" t="n">
        <f aca="false">VLOOKUP($B181,$C$6:$Z$17,J$22+1)</f>
        <v>0</v>
      </c>
      <c r="K181" s="127" t="n">
        <f aca="false">VLOOKUP($B181,$C$6:$Z$17,K$22+1)</f>
        <v>0</v>
      </c>
      <c r="L181" s="127" t="n">
        <f aca="false">VLOOKUP($B181,$C$6:$Z$17,L$22+1)</f>
        <v>0</v>
      </c>
      <c r="M181" s="127" t="n">
        <f aca="false">VLOOKUP($B181,$C$6:$Z$17,M$22+1)</f>
        <v>0</v>
      </c>
      <c r="N181" s="127" t="n">
        <f aca="false">VLOOKUP($B181,$C$6:$Z$17,N$22+1)</f>
        <v>0</v>
      </c>
      <c r="O181" s="127" t="n">
        <f aca="false">VLOOKUP($B181,$C$6:$Z$17,O$22+1)</f>
        <v>1.2001</v>
      </c>
      <c r="P181" s="127" t="n">
        <f aca="false">VLOOKUP($B181,$C$6:$Z$17,P$22+1)</f>
        <v>1.2095</v>
      </c>
      <c r="Q181" s="127" t="n">
        <f aca="false">VLOOKUP($B181,$C$6:$Z$17,Q$22+1)</f>
        <v>1.1567</v>
      </c>
      <c r="R181" s="127" t="n">
        <f aca="false">VLOOKUP($B181,$C$6:$Z$17,R$22+1)</f>
        <v>0</v>
      </c>
      <c r="S181" s="127" t="n">
        <f aca="false">VLOOKUP($B181,$C$6:$Z$17,S$22+1)</f>
        <v>0</v>
      </c>
      <c r="T181" s="127" t="n">
        <f aca="false">VLOOKUP($B181,$C$6:$Z$17,T$22+1)</f>
        <v>0</v>
      </c>
      <c r="U181" s="127" t="n">
        <f aca="false">VLOOKUP($B181,$C$6:$AB$17,T$22+3)-SUM(E181:T181)</f>
        <v>0</v>
      </c>
      <c r="W181" s="128" t="n">
        <f aca="false">$D181*E181</f>
        <v>0</v>
      </c>
      <c r="X181" s="128" t="n">
        <f aca="false">$D181*F181</f>
        <v>34.0629454320526</v>
      </c>
      <c r="Y181" s="128" t="n">
        <f aca="false">$D181*G181</f>
        <v>0</v>
      </c>
      <c r="Z181" s="128" t="n">
        <f aca="false">$D181*H181</f>
        <v>0</v>
      </c>
      <c r="AA181" s="128" t="n">
        <f aca="false">$D181*I181</f>
        <v>0</v>
      </c>
      <c r="AB181" s="128" t="n">
        <f aca="false">$D181*J181</f>
        <v>0</v>
      </c>
      <c r="AC181" s="128" t="n">
        <f aca="false">$D181*K181</f>
        <v>0</v>
      </c>
      <c r="AD181" s="128" t="n">
        <f aca="false">$D181*L181</f>
        <v>0</v>
      </c>
      <c r="AE181" s="128" t="n">
        <f aca="false">$D181*M181</f>
        <v>0</v>
      </c>
      <c r="AF181" s="128" t="n">
        <f aca="false">$D181*N181</f>
        <v>0</v>
      </c>
      <c r="AG181" s="128" t="n">
        <f aca="false">$D181*O181</f>
        <v>36.0930079578018</v>
      </c>
      <c r="AH181" s="128" t="n">
        <f aca="false">$D181*P181</f>
        <v>36.3757129613876</v>
      </c>
      <c r="AI181" s="128" t="n">
        <f aca="false">$D181*Q181</f>
        <v>34.787752941246</v>
      </c>
      <c r="AJ181" s="128" t="n">
        <f aca="false">$D181*R181</f>
        <v>0</v>
      </c>
      <c r="AK181" s="128" t="n">
        <f aca="false">$D181*S181</f>
        <v>0</v>
      </c>
      <c r="AL181" s="128" t="n">
        <f aca="false">$D181*T181</f>
        <v>0</v>
      </c>
      <c r="AN181" s="129" t="n">
        <f aca="false">SUM(W181:AL181)/4</f>
        <v>35.329854823122</v>
      </c>
      <c r="AO181" s="130" t="n">
        <f aca="false">D181</f>
        <v>30.0750003814697</v>
      </c>
    </row>
    <row r="182" customFormat="false" ht="16.5" hidden="false" customHeight="false" outlineLevel="0" collapsed="false">
      <c r="B182" s="116" t="n">
        <f aca="false">MONTH(C182)</f>
        <v>11</v>
      </c>
      <c r="C182" s="125" t="n">
        <f aca="false">PJM_01212000!A166</f>
        <v>40483</v>
      </c>
      <c r="D182" s="126" t="n">
        <f aca="false">PJM_01212000!C166</f>
        <v>29.7474990844727</v>
      </c>
      <c r="E182" s="127" t="n">
        <f aca="false">VLOOKUP($B182,$C$6:$Z$17,E$22+1)</f>
        <v>0</v>
      </c>
      <c r="F182" s="127" t="n">
        <f aca="false">VLOOKUP($B182,$C$6:$Z$17,F$22+1)</f>
        <v>1.1426</v>
      </c>
      <c r="G182" s="127" t="n">
        <f aca="false">VLOOKUP($B182,$C$6:$Z$17,G$22+1)</f>
        <v>0</v>
      </c>
      <c r="H182" s="127" t="n">
        <f aca="false">VLOOKUP($B182,$C$6:$Z$17,H$22+1)</f>
        <v>0</v>
      </c>
      <c r="I182" s="127" t="n">
        <f aca="false">VLOOKUP($B182,$C$6:$Z$17,I$22+1)</f>
        <v>0</v>
      </c>
      <c r="J182" s="127" t="n">
        <f aca="false">VLOOKUP($B182,$C$6:$Z$17,J$22+1)</f>
        <v>0</v>
      </c>
      <c r="K182" s="127" t="n">
        <f aca="false">VLOOKUP($B182,$C$6:$Z$17,K$22+1)</f>
        <v>0</v>
      </c>
      <c r="L182" s="127" t="n">
        <f aca="false">VLOOKUP($B182,$C$6:$Z$17,L$22+1)</f>
        <v>0</v>
      </c>
      <c r="M182" s="127" t="n">
        <f aca="false">VLOOKUP($B182,$C$6:$Z$17,M$22+1)</f>
        <v>0</v>
      </c>
      <c r="N182" s="127" t="n">
        <f aca="false">VLOOKUP($B182,$C$6:$Z$17,N$22+1)</f>
        <v>0</v>
      </c>
      <c r="O182" s="127" t="n">
        <f aca="false">VLOOKUP($B182,$C$6:$Z$17,O$22+1)</f>
        <v>1.2171</v>
      </c>
      <c r="P182" s="127" t="n">
        <f aca="false">VLOOKUP($B182,$C$6:$Z$17,P$22+1)</f>
        <v>1.2269</v>
      </c>
      <c r="Q182" s="127" t="n">
        <f aca="false">VLOOKUP($B182,$C$6:$Z$17,Q$22+1)</f>
        <v>1.1767</v>
      </c>
      <c r="R182" s="127" t="n">
        <f aca="false">VLOOKUP($B182,$C$6:$Z$17,R$22+1)</f>
        <v>0</v>
      </c>
      <c r="S182" s="127" t="n">
        <f aca="false">VLOOKUP($B182,$C$6:$Z$17,S$22+1)</f>
        <v>0</v>
      </c>
      <c r="T182" s="127" t="n">
        <f aca="false">VLOOKUP($B182,$C$6:$Z$17,T$22+1)</f>
        <v>0</v>
      </c>
      <c r="U182" s="127" t="n">
        <f aca="false">VLOOKUP($B182,$C$6:$AB$17,T$22+3)-SUM(E182:T182)</f>
        <v>0</v>
      </c>
      <c r="W182" s="128" t="n">
        <f aca="false">$D182*E182</f>
        <v>0</v>
      </c>
      <c r="X182" s="128" t="n">
        <f aca="false">$D182*F182</f>
        <v>33.9894924539185</v>
      </c>
      <c r="Y182" s="128" t="n">
        <f aca="false">$D182*G182</f>
        <v>0</v>
      </c>
      <c r="Z182" s="128" t="n">
        <f aca="false">$D182*H182</f>
        <v>0</v>
      </c>
      <c r="AA182" s="128" t="n">
        <f aca="false">$D182*I182</f>
        <v>0</v>
      </c>
      <c r="AB182" s="128" t="n">
        <f aca="false">$D182*J182</f>
        <v>0</v>
      </c>
      <c r="AC182" s="128" t="n">
        <f aca="false">$D182*K182</f>
        <v>0</v>
      </c>
      <c r="AD182" s="128" t="n">
        <f aca="false">$D182*L182</f>
        <v>0</v>
      </c>
      <c r="AE182" s="128" t="n">
        <f aca="false">$D182*M182</f>
        <v>0</v>
      </c>
      <c r="AF182" s="128" t="n">
        <f aca="false">$D182*N182</f>
        <v>0</v>
      </c>
      <c r="AG182" s="128" t="n">
        <f aca="false">$D182*O182</f>
        <v>36.2056811357117</v>
      </c>
      <c r="AH182" s="128" t="n">
        <f aca="false">$D182*P182</f>
        <v>36.4972066267395</v>
      </c>
      <c r="AI182" s="128" t="n">
        <f aca="false">$D182*Q182</f>
        <v>35.003882172699</v>
      </c>
      <c r="AJ182" s="128" t="n">
        <f aca="false">$D182*R182</f>
        <v>0</v>
      </c>
      <c r="AK182" s="128" t="n">
        <f aca="false">$D182*S182</f>
        <v>0</v>
      </c>
      <c r="AL182" s="128" t="n">
        <f aca="false">$D182*T182</f>
        <v>0</v>
      </c>
      <c r="AN182" s="129" t="n">
        <f aca="false">SUM(W182:AL182)/4</f>
        <v>35.4240655972672</v>
      </c>
      <c r="AO182" s="130" t="n">
        <f aca="false">D182</f>
        <v>29.7474990844727</v>
      </c>
    </row>
    <row r="183" customFormat="false" ht="16.5" hidden="false" customHeight="false" outlineLevel="0" collapsed="false">
      <c r="B183" s="116" t="n">
        <f aca="false">MONTH(C183)</f>
        <v>12</v>
      </c>
      <c r="C183" s="125" t="n">
        <f aca="false">PJM_01212000!A167</f>
        <v>40513</v>
      </c>
      <c r="D183" s="126" t="n">
        <f aca="false">PJM_01212000!C167</f>
        <v>31.4999996185303</v>
      </c>
      <c r="E183" s="127" t="n">
        <f aca="false">VLOOKUP($B183,$C$6:$Z$17,E$22+1)</f>
        <v>0</v>
      </c>
      <c r="F183" s="127" t="n">
        <f aca="false">VLOOKUP($B183,$C$6:$Z$17,F$22+1)</f>
        <v>1.1638</v>
      </c>
      <c r="G183" s="127" t="n">
        <f aca="false">VLOOKUP($B183,$C$6:$Z$17,G$22+1)</f>
        <v>0</v>
      </c>
      <c r="H183" s="127" t="n">
        <f aca="false">VLOOKUP($B183,$C$6:$Z$17,H$22+1)</f>
        <v>0</v>
      </c>
      <c r="I183" s="127" t="n">
        <f aca="false">VLOOKUP($B183,$C$6:$Z$17,I$22+1)</f>
        <v>0</v>
      </c>
      <c r="J183" s="127" t="n">
        <f aca="false">VLOOKUP($B183,$C$6:$Z$17,J$22+1)</f>
        <v>0</v>
      </c>
      <c r="K183" s="127" t="n">
        <f aca="false">VLOOKUP($B183,$C$6:$Z$17,K$22+1)</f>
        <v>0</v>
      </c>
      <c r="L183" s="127" t="n">
        <f aca="false">VLOOKUP($B183,$C$6:$Z$17,L$22+1)</f>
        <v>0</v>
      </c>
      <c r="M183" s="127" t="n">
        <f aca="false">VLOOKUP($B183,$C$6:$Z$17,M$22+1)</f>
        <v>0</v>
      </c>
      <c r="N183" s="127" t="n">
        <f aca="false">VLOOKUP($B183,$C$6:$Z$17,N$22+1)</f>
        <v>0</v>
      </c>
      <c r="O183" s="127" t="n">
        <f aca="false">VLOOKUP($B183,$C$6:$Z$17,O$22+1)</f>
        <v>1.23965925286319</v>
      </c>
      <c r="P183" s="127" t="n">
        <f aca="false">VLOOKUP($B183,$C$6:$Z$17,P$22+1)</f>
        <v>1.2314</v>
      </c>
      <c r="Q183" s="127" t="n">
        <f aca="false">VLOOKUP($B183,$C$6:$Z$17,Q$22+1)</f>
        <v>1.18899630831453</v>
      </c>
      <c r="R183" s="127" t="n">
        <f aca="false">VLOOKUP($B183,$C$6:$Z$17,R$22+1)</f>
        <v>0</v>
      </c>
      <c r="S183" s="127" t="n">
        <f aca="false">VLOOKUP($B183,$C$6:$Z$17,S$22+1)</f>
        <v>0</v>
      </c>
      <c r="T183" s="127" t="n">
        <f aca="false">VLOOKUP($B183,$C$6:$Z$17,T$22+1)</f>
        <v>0</v>
      </c>
      <c r="U183" s="127" t="n">
        <f aca="false">VLOOKUP($B183,$C$6:$AB$17,T$22+3)-SUM(E183:T183)</f>
        <v>0</v>
      </c>
      <c r="W183" s="128" t="n">
        <f aca="false">$D183*E183</f>
        <v>0</v>
      </c>
      <c r="X183" s="128" t="n">
        <f aca="false">$D183*F183</f>
        <v>36.6596995560455</v>
      </c>
      <c r="Y183" s="128" t="n">
        <f aca="false">$D183*G183</f>
        <v>0</v>
      </c>
      <c r="Z183" s="128" t="n">
        <f aca="false">$D183*H183</f>
        <v>0</v>
      </c>
      <c r="AA183" s="128" t="n">
        <f aca="false">$D183*I183</f>
        <v>0</v>
      </c>
      <c r="AB183" s="128" t="n">
        <f aca="false">$D183*J183</f>
        <v>0</v>
      </c>
      <c r="AC183" s="128" t="n">
        <f aca="false">$D183*K183</f>
        <v>0</v>
      </c>
      <c r="AD183" s="128" t="n">
        <f aca="false">$D183*L183</f>
        <v>0</v>
      </c>
      <c r="AE183" s="128" t="n">
        <f aca="false">$D183*M183</f>
        <v>0</v>
      </c>
      <c r="AF183" s="128" t="n">
        <f aca="false">$D183*N183</f>
        <v>0</v>
      </c>
      <c r="AG183" s="128" t="n">
        <f aca="false">$D183*O183</f>
        <v>39.049265992298</v>
      </c>
      <c r="AH183" s="128" t="n">
        <f aca="false">$D183*P183</f>
        <v>38.7890995302582</v>
      </c>
      <c r="AI183" s="128" t="n">
        <f aca="false">$D183*Q183</f>
        <v>37.4533832583416</v>
      </c>
      <c r="AJ183" s="128" t="n">
        <f aca="false">$D183*R183</f>
        <v>0</v>
      </c>
      <c r="AK183" s="128" t="n">
        <f aca="false">$D183*S183</f>
        <v>0</v>
      </c>
      <c r="AL183" s="128" t="n">
        <f aca="false">$D183*T183</f>
        <v>0</v>
      </c>
      <c r="AN183" s="129" t="n">
        <f aca="false">SUM(W183:AL183)/4</f>
        <v>37.9878620842358</v>
      </c>
      <c r="AO183" s="130" t="n">
        <f aca="false">D183</f>
        <v>31.4999996185303</v>
      </c>
    </row>
    <row r="184" customFormat="false" ht="16.5" hidden="false" customHeight="false" outlineLevel="0" collapsed="false">
      <c r="B184" s="116" t="n">
        <f aca="false">MONTH(C184)</f>
        <v>1</v>
      </c>
      <c r="C184" s="125" t="n">
        <f aca="false">PJM_01212000!A168</f>
        <v>40544</v>
      </c>
      <c r="D184" s="126" t="n">
        <f aca="false">PJM_01212000!C168</f>
        <v>40.0749984741211</v>
      </c>
      <c r="E184" s="127" t="n">
        <f aca="false">VLOOKUP($B184,$C$6:$Z$17,E$22+1)</f>
        <v>0</v>
      </c>
      <c r="F184" s="127" t="n">
        <f aca="false">VLOOKUP($B184,$C$6:$Z$17,F$22+1)</f>
        <v>1.19981175661928</v>
      </c>
      <c r="G184" s="127" t="n">
        <f aca="false">VLOOKUP($B184,$C$6:$Z$17,G$22+1)</f>
        <v>1.19616001156207</v>
      </c>
      <c r="H184" s="127" t="n">
        <f aca="false">VLOOKUP($B184,$C$6:$Z$17,H$22+1)</f>
        <v>0</v>
      </c>
      <c r="I184" s="127" t="n">
        <f aca="false">VLOOKUP($B184,$C$6:$Z$17,I$22+1)</f>
        <v>0</v>
      </c>
      <c r="J184" s="127" t="n">
        <f aca="false">VLOOKUP($B184,$C$6:$Z$17,J$22+1)</f>
        <v>0</v>
      </c>
      <c r="K184" s="127" t="n">
        <f aca="false">VLOOKUP($B184,$C$6:$Z$17,K$22+1)</f>
        <v>0</v>
      </c>
      <c r="L184" s="127" t="n">
        <f aca="false">VLOOKUP($B184,$C$6:$Z$17,L$22+1)</f>
        <v>0</v>
      </c>
      <c r="M184" s="127" t="n">
        <f aca="false">VLOOKUP($B184,$C$6:$Z$17,M$22+1)</f>
        <v>0</v>
      </c>
      <c r="N184" s="127" t="n">
        <f aca="false">VLOOKUP($B184,$C$6:$Z$17,N$22+1)</f>
        <v>0</v>
      </c>
      <c r="O184" s="127" t="n">
        <f aca="false">VLOOKUP($B184,$C$6:$Z$17,O$22+1)</f>
        <v>0</v>
      </c>
      <c r="P184" s="127" t="n">
        <f aca="false">VLOOKUP($B184,$C$6:$Z$17,P$22+1)</f>
        <v>1.28189922894351</v>
      </c>
      <c r="Q184" s="127" t="n">
        <f aca="false">VLOOKUP($B184,$C$6:$Z$17,Q$22+1)</f>
        <v>1.227</v>
      </c>
      <c r="R184" s="127" t="n">
        <f aca="false">VLOOKUP($B184,$C$6:$Z$17,R$22+1)</f>
        <v>0</v>
      </c>
      <c r="S184" s="127" t="n">
        <f aca="false">VLOOKUP($B184,$C$6:$Z$17,S$22+1)</f>
        <v>0</v>
      </c>
      <c r="T184" s="127" t="n">
        <f aca="false">VLOOKUP($B184,$C$6:$Z$17,T$22+1)</f>
        <v>0</v>
      </c>
      <c r="U184" s="127" t="n">
        <f aca="false">VLOOKUP($B184,$C$6:$AB$17,T$22+3)-SUM(E184:T184)</f>
        <v>0</v>
      </c>
      <c r="W184" s="128" t="n">
        <f aca="false">$D184*E184</f>
        <v>0</v>
      </c>
      <c r="X184" s="128" t="n">
        <f aca="false">$D184*F184</f>
        <v>48.0824543157503</v>
      </c>
      <c r="Y184" s="128" t="n">
        <f aca="false">$D184*G184</f>
        <v>47.9361106381547</v>
      </c>
      <c r="Z184" s="128" t="n">
        <f aca="false">$D184*H184</f>
        <v>0</v>
      </c>
      <c r="AA184" s="128" t="n">
        <f aca="false">$D184*I184</f>
        <v>0</v>
      </c>
      <c r="AB184" s="128" t="n">
        <f aca="false">$D184*J184</f>
        <v>0</v>
      </c>
      <c r="AC184" s="128" t="n">
        <f aca="false">$D184*K184</f>
        <v>0</v>
      </c>
      <c r="AD184" s="128" t="n">
        <f aca="false">$D184*L184</f>
        <v>0</v>
      </c>
      <c r="AE184" s="128" t="n">
        <f aca="false">$D184*M184</f>
        <v>0</v>
      </c>
      <c r="AF184" s="128" t="n">
        <f aca="false">$D184*N184</f>
        <v>0</v>
      </c>
      <c r="AG184" s="128" t="n">
        <f aca="false">$D184*O184</f>
        <v>0</v>
      </c>
      <c r="AH184" s="128" t="n">
        <f aca="false">$D184*P184</f>
        <v>51.3721096438882</v>
      </c>
      <c r="AI184" s="128" t="n">
        <f aca="false">$D184*Q184</f>
        <v>49.1720231277466</v>
      </c>
      <c r="AJ184" s="128" t="n">
        <f aca="false">$D184*R184</f>
        <v>0</v>
      </c>
      <c r="AK184" s="128" t="n">
        <f aca="false">$D184*S184</f>
        <v>0</v>
      </c>
      <c r="AL184" s="128" t="n">
        <f aca="false">$D184*T184</f>
        <v>0</v>
      </c>
      <c r="AN184" s="129" t="n">
        <f aca="false">SUM(W184:AL184)/4</f>
        <v>49.1406744313849</v>
      </c>
      <c r="AO184" s="130" t="n">
        <f aca="false">D184</f>
        <v>40.0749984741211</v>
      </c>
    </row>
    <row r="185" customFormat="false" ht="16.5" hidden="false" customHeight="false" outlineLevel="0" collapsed="false">
      <c r="B185" s="116" t="n">
        <f aca="false">MONTH(C185)</f>
        <v>2</v>
      </c>
      <c r="C185" s="125" t="n">
        <f aca="false">PJM_01212000!A169</f>
        <v>40575</v>
      </c>
      <c r="D185" s="126" t="n">
        <f aca="false">PJM_01212000!C169</f>
        <v>40.0749984741211</v>
      </c>
      <c r="E185" s="127" t="n">
        <f aca="false">VLOOKUP($B185,$C$6:$Z$17,E$22+1)</f>
        <v>0</v>
      </c>
      <c r="F185" s="127" t="n">
        <f aca="false">VLOOKUP($B185,$C$6:$Z$17,F$22+1)</f>
        <v>1.19981175661928</v>
      </c>
      <c r="G185" s="127" t="n">
        <f aca="false">VLOOKUP($B185,$C$6:$Z$17,G$22+1)</f>
        <v>1.19616001156207</v>
      </c>
      <c r="H185" s="127" t="n">
        <f aca="false">VLOOKUP($B185,$C$6:$Z$17,H$22+1)</f>
        <v>0</v>
      </c>
      <c r="I185" s="127" t="n">
        <f aca="false">VLOOKUP($B185,$C$6:$Z$17,I$22+1)</f>
        <v>0</v>
      </c>
      <c r="J185" s="127" t="n">
        <f aca="false">VLOOKUP($B185,$C$6:$Z$17,J$22+1)</f>
        <v>0</v>
      </c>
      <c r="K185" s="127" t="n">
        <f aca="false">VLOOKUP($B185,$C$6:$Z$17,K$22+1)</f>
        <v>0</v>
      </c>
      <c r="L185" s="127" t="n">
        <f aca="false">VLOOKUP($B185,$C$6:$Z$17,L$22+1)</f>
        <v>0</v>
      </c>
      <c r="M185" s="127" t="n">
        <f aca="false">VLOOKUP($B185,$C$6:$Z$17,M$22+1)</f>
        <v>0</v>
      </c>
      <c r="N185" s="127" t="n">
        <f aca="false">VLOOKUP($B185,$C$6:$Z$17,N$22+1)</f>
        <v>0</v>
      </c>
      <c r="O185" s="127" t="n">
        <f aca="false">VLOOKUP($B185,$C$6:$Z$17,O$22+1)</f>
        <v>0</v>
      </c>
      <c r="P185" s="127" t="n">
        <f aca="false">VLOOKUP($B185,$C$6:$Z$17,P$22+1)</f>
        <v>1.28189922894351</v>
      </c>
      <c r="Q185" s="127" t="n">
        <f aca="false">VLOOKUP($B185,$C$6:$Z$17,Q$22+1)</f>
        <v>1.227</v>
      </c>
      <c r="R185" s="127" t="n">
        <f aca="false">VLOOKUP($B185,$C$6:$Z$17,R$22+1)</f>
        <v>0</v>
      </c>
      <c r="S185" s="127" t="n">
        <f aca="false">VLOOKUP($B185,$C$6:$Z$17,S$22+1)</f>
        <v>0</v>
      </c>
      <c r="T185" s="127" t="n">
        <f aca="false">VLOOKUP($B185,$C$6:$Z$17,T$22+1)</f>
        <v>0</v>
      </c>
      <c r="U185" s="127" t="n">
        <f aca="false">VLOOKUP($B185,$C$6:$AB$17,T$22+3)-SUM(E185:T185)</f>
        <v>0</v>
      </c>
      <c r="W185" s="128" t="n">
        <f aca="false">$D185*E185</f>
        <v>0</v>
      </c>
      <c r="X185" s="128" t="n">
        <f aca="false">$D185*F185</f>
        <v>48.0824543157503</v>
      </c>
      <c r="Y185" s="128" t="n">
        <f aca="false">$D185*G185</f>
        <v>47.9361106381547</v>
      </c>
      <c r="Z185" s="128" t="n">
        <f aca="false">$D185*H185</f>
        <v>0</v>
      </c>
      <c r="AA185" s="128" t="n">
        <f aca="false">$D185*I185</f>
        <v>0</v>
      </c>
      <c r="AB185" s="128" t="n">
        <f aca="false">$D185*J185</f>
        <v>0</v>
      </c>
      <c r="AC185" s="128" t="n">
        <f aca="false">$D185*K185</f>
        <v>0</v>
      </c>
      <c r="AD185" s="128" t="n">
        <f aca="false">$D185*L185</f>
        <v>0</v>
      </c>
      <c r="AE185" s="128" t="n">
        <f aca="false">$D185*M185</f>
        <v>0</v>
      </c>
      <c r="AF185" s="128" t="n">
        <f aca="false">$D185*N185</f>
        <v>0</v>
      </c>
      <c r="AG185" s="128" t="n">
        <f aca="false">$D185*O185</f>
        <v>0</v>
      </c>
      <c r="AH185" s="128" t="n">
        <f aca="false">$D185*P185</f>
        <v>51.3721096438882</v>
      </c>
      <c r="AI185" s="128" t="n">
        <f aca="false">$D185*Q185</f>
        <v>49.1720231277466</v>
      </c>
      <c r="AJ185" s="128" t="n">
        <f aca="false">$D185*R185</f>
        <v>0</v>
      </c>
      <c r="AK185" s="128" t="n">
        <f aca="false">$D185*S185</f>
        <v>0</v>
      </c>
      <c r="AL185" s="128" t="n">
        <f aca="false">$D185*T185</f>
        <v>0</v>
      </c>
      <c r="AN185" s="129" t="n">
        <f aca="false">SUM(W185:AL185)/4</f>
        <v>49.1406744313849</v>
      </c>
      <c r="AO185" s="130" t="n">
        <f aca="false">D185</f>
        <v>40.0749984741211</v>
      </c>
    </row>
    <row r="186" customFormat="false" ht="16.5" hidden="false" customHeight="false" outlineLevel="0" collapsed="false">
      <c r="B186" s="116" t="n">
        <f aca="false">MONTH(C186)</f>
        <v>3</v>
      </c>
      <c r="C186" s="125" t="n">
        <f aca="false">PJM_01212000!A170</f>
        <v>40603</v>
      </c>
      <c r="D186" s="126" t="n">
        <f aca="false">PJM_01212000!C170</f>
        <v>29.8000007629395</v>
      </c>
      <c r="E186" s="127" t="n">
        <f aca="false">VLOOKUP($B186,$C$6:$Z$17,E$22+1)</f>
        <v>0</v>
      </c>
      <c r="F186" s="127" t="n">
        <f aca="false">VLOOKUP($B186,$C$6:$Z$17,F$22+1)</f>
        <v>1.1898</v>
      </c>
      <c r="G186" s="127" t="n">
        <f aca="false">VLOOKUP($B186,$C$6:$Z$17,G$22+1)</f>
        <v>1.1862</v>
      </c>
      <c r="H186" s="127" t="n">
        <f aca="false">VLOOKUP($B186,$C$6:$Z$17,H$22+1)</f>
        <v>0</v>
      </c>
      <c r="I186" s="127" t="n">
        <f aca="false">VLOOKUP($B186,$C$6:$Z$17,I$22+1)</f>
        <v>0</v>
      </c>
      <c r="J186" s="127" t="n">
        <f aca="false">VLOOKUP($B186,$C$6:$Z$17,J$22+1)</f>
        <v>0</v>
      </c>
      <c r="K186" s="127" t="n">
        <f aca="false">VLOOKUP($B186,$C$6:$Z$17,K$22+1)</f>
        <v>0</v>
      </c>
      <c r="L186" s="127" t="n">
        <f aca="false">VLOOKUP($B186,$C$6:$Z$17,L$22+1)</f>
        <v>0</v>
      </c>
      <c r="M186" s="127" t="n">
        <f aca="false">VLOOKUP($B186,$C$6:$Z$17,M$22+1)</f>
        <v>0</v>
      </c>
      <c r="N186" s="127" t="n">
        <f aca="false">VLOOKUP($B186,$C$6:$Z$17,N$22+1)</f>
        <v>0</v>
      </c>
      <c r="O186" s="127" t="n">
        <f aca="false">VLOOKUP($B186,$C$6:$Z$17,O$22+1)</f>
        <v>0</v>
      </c>
      <c r="P186" s="127" t="n">
        <f aca="false">VLOOKUP($B186,$C$6:$Z$17,P$22+1)</f>
        <v>1.2719</v>
      </c>
      <c r="Q186" s="127" t="n">
        <f aca="false">VLOOKUP($B186,$C$6:$Z$17,Q$22+1)</f>
        <v>1.217</v>
      </c>
      <c r="R186" s="127" t="n">
        <f aca="false">VLOOKUP($B186,$C$6:$Z$17,R$22+1)</f>
        <v>0</v>
      </c>
      <c r="S186" s="127" t="n">
        <f aca="false">VLOOKUP($B186,$C$6:$Z$17,S$22+1)</f>
        <v>0</v>
      </c>
      <c r="T186" s="127" t="n">
        <f aca="false">VLOOKUP($B186,$C$6:$Z$17,T$22+1)</f>
        <v>0</v>
      </c>
      <c r="U186" s="127" t="n">
        <f aca="false">VLOOKUP($B186,$C$6:$AB$17,T$22+3)-SUM(E186:T186)</f>
        <v>0</v>
      </c>
      <c r="W186" s="128" t="n">
        <f aca="false">$D186*E186</f>
        <v>0</v>
      </c>
      <c r="X186" s="128" t="n">
        <f aca="false">$D186*F186</f>
        <v>35.4560409077454</v>
      </c>
      <c r="Y186" s="128" t="n">
        <f aca="false">$D186*G186</f>
        <v>35.3487609049988</v>
      </c>
      <c r="Z186" s="128" t="n">
        <f aca="false">$D186*H186</f>
        <v>0</v>
      </c>
      <c r="AA186" s="128" t="n">
        <f aca="false">$D186*I186</f>
        <v>0</v>
      </c>
      <c r="AB186" s="128" t="n">
        <f aca="false">$D186*J186</f>
        <v>0</v>
      </c>
      <c r="AC186" s="128" t="n">
        <f aca="false">$D186*K186</f>
        <v>0</v>
      </c>
      <c r="AD186" s="128" t="n">
        <f aca="false">$D186*L186</f>
        <v>0</v>
      </c>
      <c r="AE186" s="128" t="n">
        <f aca="false">$D186*M186</f>
        <v>0</v>
      </c>
      <c r="AF186" s="128" t="n">
        <f aca="false">$D186*N186</f>
        <v>0</v>
      </c>
      <c r="AG186" s="128" t="n">
        <f aca="false">$D186*O186</f>
        <v>0</v>
      </c>
      <c r="AH186" s="128" t="n">
        <f aca="false">$D186*P186</f>
        <v>37.9026209703827</v>
      </c>
      <c r="AI186" s="128" t="n">
        <f aca="false">$D186*Q186</f>
        <v>36.2666009284973</v>
      </c>
      <c r="AJ186" s="128" t="n">
        <f aca="false">$D186*R186</f>
        <v>0</v>
      </c>
      <c r="AK186" s="128" t="n">
        <f aca="false">$D186*S186</f>
        <v>0</v>
      </c>
      <c r="AL186" s="128" t="n">
        <f aca="false">$D186*T186</f>
        <v>0</v>
      </c>
      <c r="AN186" s="129" t="n">
        <f aca="false">SUM(W186:AL186)/4</f>
        <v>36.243505927906</v>
      </c>
      <c r="AO186" s="130" t="n">
        <f aca="false">D186</f>
        <v>29.8000007629395</v>
      </c>
    </row>
    <row r="187" customFormat="false" ht="16.5" hidden="false" customHeight="false" outlineLevel="0" collapsed="false">
      <c r="B187" s="116" t="n">
        <f aca="false">MONTH(C187)</f>
        <v>4</v>
      </c>
      <c r="C187" s="125" t="n">
        <f aca="false">PJM_01212000!A171</f>
        <v>40634</v>
      </c>
      <c r="D187" s="126" t="n">
        <f aca="false">PJM_01212000!C171</f>
        <v>29.5750007629395</v>
      </c>
      <c r="E187" s="127" t="n">
        <f aca="false">VLOOKUP($B187,$C$6:$Z$17,E$22+1)</f>
        <v>1.1232726508202</v>
      </c>
      <c r="F187" s="127" t="n">
        <f aca="false">VLOOKUP($B187,$C$6:$Z$17,F$22+1)</f>
        <v>1.14131544612562</v>
      </c>
      <c r="G187" s="127" t="n">
        <f aca="false">VLOOKUP($B187,$C$6:$Z$17,G$22+1)</f>
        <v>0</v>
      </c>
      <c r="H187" s="127" t="n">
        <f aca="false">VLOOKUP($B187,$C$6:$Z$17,H$22+1)</f>
        <v>0</v>
      </c>
      <c r="I187" s="127" t="n">
        <f aca="false">VLOOKUP($B187,$C$6:$Z$17,I$22+1)</f>
        <v>1.11852454679246</v>
      </c>
      <c r="J187" s="127" t="n">
        <f aca="false">VLOOKUP($B187,$C$6:$Z$17,J$22+1)</f>
        <v>0</v>
      </c>
      <c r="K187" s="127" t="n">
        <f aca="false">VLOOKUP($B187,$C$6:$Z$17,K$22+1)</f>
        <v>0</v>
      </c>
      <c r="L187" s="127" t="n">
        <f aca="false">VLOOKUP($B187,$C$6:$Z$17,L$22+1)</f>
        <v>0</v>
      </c>
      <c r="M187" s="127" t="n">
        <f aca="false">VLOOKUP($B187,$C$6:$Z$17,M$22+1)</f>
        <v>0</v>
      </c>
      <c r="N187" s="127" t="n">
        <f aca="false">VLOOKUP($B187,$C$6:$Z$17,N$22+1)</f>
        <v>0</v>
      </c>
      <c r="O187" s="127" t="n">
        <f aca="false">VLOOKUP($B187,$C$6:$Z$17,O$22+1)</f>
        <v>0</v>
      </c>
      <c r="P187" s="127" t="n">
        <f aca="false">VLOOKUP($B187,$C$6:$Z$17,P$22+1)</f>
        <v>0</v>
      </c>
      <c r="Q187" s="127" t="n">
        <f aca="false">VLOOKUP($B187,$C$6:$Z$17,Q$22+1)</f>
        <v>0</v>
      </c>
      <c r="R187" s="127" t="n">
        <f aca="false">VLOOKUP($B187,$C$6:$Z$17,R$22+1)</f>
        <v>1.15433651784915</v>
      </c>
      <c r="S187" s="127" t="n">
        <f aca="false">VLOOKUP($B187,$C$6:$Z$17,S$22+1)</f>
        <v>0</v>
      </c>
      <c r="T187" s="127" t="n">
        <f aca="false">VLOOKUP($B187,$C$6:$Z$17,T$22+1)</f>
        <v>0</v>
      </c>
      <c r="U187" s="127" t="n">
        <f aca="false">VLOOKUP($B187,$C$6:$AB$17,T$22+3)-SUM(E187:T187)</f>
        <v>0</v>
      </c>
      <c r="W187" s="128" t="n">
        <f aca="false">$D187*E187</f>
        <v>33.2207895049966</v>
      </c>
      <c r="X187" s="128" t="n">
        <f aca="false">$D187*F187</f>
        <v>33.7544051899197</v>
      </c>
      <c r="Y187" s="128" t="n">
        <f aca="false">$D187*G187</f>
        <v>0</v>
      </c>
      <c r="Z187" s="128" t="n">
        <f aca="false">$D187*H187</f>
        <v>0</v>
      </c>
      <c r="AA187" s="128" t="n">
        <f aca="false">$D187*I187</f>
        <v>33.0803643247537</v>
      </c>
      <c r="AB187" s="128" t="n">
        <f aca="false">$D187*J187</f>
        <v>0</v>
      </c>
      <c r="AC187" s="128" t="n">
        <f aca="false">$D187*K187</f>
        <v>0</v>
      </c>
      <c r="AD187" s="128" t="n">
        <f aca="false">$D187*L187</f>
        <v>0</v>
      </c>
      <c r="AE187" s="128" t="n">
        <f aca="false">$D187*M187</f>
        <v>0</v>
      </c>
      <c r="AF187" s="128" t="n">
        <f aca="false">$D187*N187</f>
        <v>0</v>
      </c>
      <c r="AG187" s="128" t="n">
        <f aca="false">$D187*O187</f>
        <v>0</v>
      </c>
      <c r="AH187" s="128" t="n">
        <f aca="false">$D187*P187</f>
        <v>0</v>
      </c>
      <c r="AI187" s="128" t="n">
        <f aca="false">$D187*Q187</f>
        <v>0</v>
      </c>
      <c r="AJ187" s="128" t="n">
        <f aca="false">$D187*R187</f>
        <v>34.1395033960775</v>
      </c>
      <c r="AK187" s="128" t="n">
        <f aca="false">$D187*S187</f>
        <v>0</v>
      </c>
      <c r="AL187" s="128" t="n">
        <f aca="false">$D187*T187</f>
        <v>0</v>
      </c>
      <c r="AN187" s="129" t="n">
        <f aca="false">SUM(W187:AL187)/4</f>
        <v>33.5487656039369</v>
      </c>
      <c r="AO187" s="130" t="n">
        <f aca="false">D187</f>
        <v>29.5750007629395</v>
      </c>
    </row>
    <row r="188" customFormat="false" ht="16.5" hidden="false" customHeight="false" outlineLevel="0" collapsed="false">
      <c r="B188" s="116" t="n">
        <f aca="false">MONTH(C188)</f>
        <v>5</v>
      </c>
      <c r="C188" s="125" t="n">
        <f aca="false">PJM_01212000!A172</f>
        <v>40664</v>
      </c>
      <c r="D188" s="126" t="n">
        <f aca="false">PJM_01212000!C172</f>
        <v>37.575</v>
      </c>
      <c r="E188" s="127" t="n">
        <f aca="false">VLOOKUP($B188,$C$6:$Z$17,E$22+1)</f>
        <v>0</v>
      </c>
      <c r="F188" s="127" t="n">
        <f aca="false">VLOOKUP($B188,$C$6:$Z$17,F$22+1)</f>
        <v>0</v>
      </c>
      <c r="G188" s="127" t="n">
        <f aca="false">VLOOKUP($B188,$C$6:$Z$17,G$22+1)</f>
        <v>1.06102662180267</v>
      </c>
      <c r="H188" s="127" t="n">
        <f aca="false">VLOOKUP($B188,$C$6:$Z$17,H$22+1)</f>
        <v>1.12549986193072</v>
      </c>
      <c r="I188" s="127" t="n">
        <f aca="false">VLOOKUP($B188,$C$6:$Z$17,I$22+1)</f>
        <v>1.11699070333514</v>
      </c>
      <c r="J188" s="127" t="n">
        <f aca="false">VLOOKUP($B188,$C$6:$Z$17,J$22+1)</f>
        <v>0</v>
      </c>
      <c r="K188" s="127" t="n">
        <f aca="false">VLOOKUP($B188,$C$6:$Z$17,K$22+1)</f>
        <v>0</v>
      </c>
      <c r="L188" s="127" t="n">
        <f aca="false">VLOOKUP($B188,$C$6:$Z$17,L$22+1)</f>
        <v>0</v>
      </c>
      <c r="M188" s="127" t="n">
        <f aca="false">VLOOKUP($B188,$C$6:$Z$17,M$22+1)</f>
        <v>0</v>
      </c>
      <c r="N188" s="127" t="n">
        <f aca="false">VLOOKUP($B188,$C$6:$Z$17,N$22+1)</f>
        <v>0</v>
      </c>
      <c r="O188" s="127" t="n">
        <f aca="false">VLOOKUP($B188,$C$6:$Z$17,O$22+1)</f>
        <v>0</v>
      </c>
      <c r="P188" s="127" t="n">
        <f aca="false">VLOOKUP($B188,$C$6:$Z$17,P$22+1)</f>
        <v>0</v>
      </c>
      <c r="Q188" s="127" t="n">
        <f aca="false">VLOOKUP($B188,$C$6:$Z$17,Q$22+1)</f>
        <v>0</v>
      </c>
      <c r="R188" s="127" t="n">
        <f aca="false">VLOOKUP($B188,$C$6:$Z$17,R$22+1)</f>
        <v>1.08769956124651</v>
      </c>
      <c r="S188" s="127" t="n">
        <f aca="false">VLOOKUP($B188,$C$6:$Z$17,S$22+1)</f>
        <v>0</v>
      </c>
      <c r="T188" s="127" t="n">
        <f aca="false">VLOOKUP($B188,$C$6:$Z$17,T$22+1)</f>
        <v>0</v>
      </c>
      <c r="U188" s="127" t="n">
        <f aca="false">VLOOKUP($B188,$C$6:$AB$17,T$22+3)-SUM(E188:T188)</f>
        <v>0</v>
      </c>
      <c r="W188" s="128" t="n">
        <f aca="false">$D188*E188</f>
        <v>0</v>
      </c>
      <c r="X188" s="128" t="n">
        <f aca="false">$D188*F188</f>
        <v>0</v>
      </c>
      <c r="Y188" s="128" t="n">
        <f aca="false">$D188*G188</f>
        <v>39.8680753142355</v>
      </c>
      <c r="Z188" s="128" t="n">
        <f aca="false">$D188*H188</f>
        <v>42.2906573120468</v>
      </c>
      <c r="AA188" s="128" t="n">
        <f aca="false">$D188*I188</f>
        <v>41.9709256778179</v>
      </c>
      <c r="AB188" s="128" t="n">
        <f aca="false">$D188*J188</f>
        <v>0</v>
      </c>
      <c r="AC188" s="128" t="n">
        <f aca="false">$D188*K188</f>
        <v>0</v>
      </c>
      <c r="AD188" s="128" t="n">
        <f aca="false">$D188*L188</f>
        <v>0</v>
      </c>
      <c r="AE188" s="128" t="n">
        <f aca="false">$D188*M188</f>
        <v>0</v>
      </c>
      <c r="AF188" s="128" t="n">
        <f aca="false">$D188*N188</f>
        <v>0</v>
      </c>
      <c r="AG188" s="128" t="n">
        <f aca="false">$D188*O188</f>
        <v>0</v>
      </c>
      <c r="AH188" s="128" t="n">
        <f aca="false">$D188*P188</f>
        <v>0</v>
      </c>
      <c r="AI188" s="128" t="n">
        <f aca="false">$D188*Q188</f>
        <v>0</v>
      </c>
      <c r="AJ188" s="128" t="n">
        <f aca="false">$D188*R188</f>
        <v>40.8703110138376</v>
      </c>
      <c r="AK188" s="128" t="n">
        <f aca="false">$D188*S188</f>
        <v>0</v>
      </c>
      <c r="AL188" s="128" t="n">
        <f aca="false">$D188*T188</f>
        <v>0</v>
      </c>
      <c r="AN188" s="129" t="n">
        <f aca="false">SUM(W188:AL188)/4</f>
        <v>41.2499923294844</v>
      </c>
      <c r="AO188" s="130" t="n">
        <f aca="false">D188</f>
        <v>37.575</v>
      </c>
    </row>
    <row r="189" customFormat="false" ht="16.5" hidden="false" customHeight="false" outlineLevel="0" collapsed="false">
      <c r="B189" s="116" t="n">
        <f aca="false">MONTH(C189)</f>
        <v>6</v>
      </c>
      <c r="C189" s="125" t="n">
        <f aca="false">PJM_01212000!A173</f>
        <v>40695</v>
      </c>
      <c r="D189" s="126" t="n">
        <f aca="false">PJM_01212000!C173</f>
        <v>63.0999984741211</v>
      </c>
      <c r="E189" s="127" t="n">
        <f aca="false">VLOOKUP($B189,$C$6:$Z$17,E$22+1)</f>
        <v>0</v>
      </c>
      <c r="F189" s="127" t="n">
        <f aca="false">VLOOKUP($B189,$C$6:$Z$17,F$22+1)</f>
        <v>0</v>
      </c>
      <c r="G189" s="127" t="n">
        <f aca="false">VLOOKUP($B189,$C$6:$Z$17,G$22+1)</f>
        <v>0</v>
      </c>
      <c r="H189" s="127" t="n">
        <f aca="false">VLOOKUP($B189,$C$6:$Z$17,H$22+1)</f>
        <v>0</v>
      </c>
      <c r="I189" s="127" t="n">
        <f aca="false">VLOOKUP($B189,$C$6:$Z$17,I$22+1)</f>
        <v>0</v>
      </c>
      <c r="J189" s="127" t="n">
        <f aca="false">VLOOKUP($B189,$C$6:$Z$17,J$22+1)</f>
        <v>0</v>
      </c>
      <c r="K189" s="127" t="n">
        <f aca="false">VLOOKUP($B189,$C$6:$Z$17,K$22+1)</f>
        <v>1.22092018621818</v>
      </c>
      <c r="L189" s="127" t="n">
        <f aca="false">VLOOKUP($B189,$C$6:$Z$17,L$22+1)</f>
        <v>1.23031497714214</v>
      </c>
      <c r="M189" s="127" t="n">
        <f aca="false">VLOOKUP($B189,$C$6:$Z$17,M$22+1)</f>
        <v>1.23232814662584</v>
      </c>
      <c r="N189" s="127" t="n">
        <f aca="false">VLOOKUP($B189,$C$6:$Z$17,N$22+1)</f>
        <v>1.25232563016399</v>
      </c>
      <c r="O189" s="127" t="n">
        <f aca="false">VLOOKUP($B189,$C$6:$Z$17,O$22+1)</f>
        <v>0</v>
      </c>
      <c r="P189" s="127" t="n">
        <f aca="false">VLOOKUP($B189,$C$6:$Z$17,P$22+1)</f>
        <v>0</v>
      </c>
      <c r="Q189" s="127" t="n">
        <f aca="false">VLOOKUP($B189,$C$6:$Z$17,Q$22+1)</f>
        <v>0</v>
      </c>
      <c r="R189" s="127" t="n">
        <f aca="false">VLOOKUP($B189,$C$6:$Z$17,R$22+1)</f>
        <v>0</v>
      </c>
      <c r="S189" s="127" t="n">
        <f aca="false">VLOOKUP($B189,$C$6:$Z$17,S$22+1)</f>
        <v>0</v>
      </c>
      <c r="T189" s="127" t="n">
        <f aca="false">VLOOKUP($B189,$C$6:$Z$17,T$22+1)</f>
        <v>0</v>
      </c>
      <c r="U189" s="127" t="n">
        <f aca="false">VLOOKUP($B189,$C$6:$AB$17,T$22+3)-SUM(E189:T189)</f>
        <v>0</v>
      </c>
      <c r="W189" s="128" t="n">
        <f aca="false">$D189*E189</f>
        <v>0</v>
      </c>
      <c r="X189" s="128" t="n">
        <f aca="false">$D189*F189</f>
        <v>0</v>
      </c>
      <c r="Y189" s="128" t="n">
        <f aca="false">$D189*G189</f>
        <v>0</v>
      </c>
      <c r="Z189" s="128" t="n">
        <f aca="false">$D189*H189</f>
        <v>0</v>
      </c>
      <c r="AA189" s="128" t="n">
        <f aca="false">$D189*I189</f>
        <v>0</v>
      </c>
      <c r="AB189" s="128" t="n">
        <f aca="false">$D189*J189</f>
        <v>0</v>
      </c>
      <c r="AC189" s="128" t="n">
        <f aca="false">$D189*K189</f>
        <v>77.0400618873906</v>
      </c>
      <c r="AD189" s="128" t="n">
        <f aca="false">$D189*L189</f>
        <v>77.6328731803573</v>
      </c>
      <c r="AE189" s="128" t="n">
        <f aca="false">$D189*M189</f>
        <v>77.7599041717072</v>
      </c>
      <c r="AF189" s="128" t="n">
        <f aca="false">$D189*N189</f>
        <v>79.0217453524505</v>
      </c>
      <c r="AG189" s="128" t="n">
        <f aca="false">$D189*O189</f>
        <v>0</v>
      </c>
      <c r="AH189" s="128" t="n">
        <f aca="false">$D189*P189</f>
        <v>0</v>
      </c>
      <c r="AI189" s="128" t="n">
        <f aca="false">$D189*Q189</f>
        <v>0</v>
      </c>
      <c r="AJ189" s="128" t="n">
        <f aca="false">$D189*R189</f>
        <v>0</v>
      </c>
      <c r="AK189" s="128" t="n">
        <f aca="false">$D189*S189</f>
        <v>0</v>
      </c>
      <c r="AL189" s="128" t="n">
        <f aca="false">$D189*T189</f>
        <v>0</v>
      </c>
      <c r="AN189" s="129" t="n">
        <f aca="false">SUM(W189:AL189)/4</f>
        <v>77.8636461479764</v>
      </c>
      <c r="AO189" s="130" t="n">
        <f aca="false">D189</f>
        <v>63.0999984741211</v>
      </c>
    </row>
    <row r="190" customFormat="false" ht="16.5" hidden="false" customHeight="false" outlineLevel="0" collapsed="false">
      <c r="B190" s="116" t="n">
        <f aca="false">MONTH(C190)</f>
        <v>7</v>
      </c>
      <c r="C190" s="125" t="n">
        <f aca="false">PJM_01212000!A174</f>
        <v>40725</v>
      </c>
      <c r="D190" s="126" t="n">
        <f aca="false">PJM_01212000!C174</f>
        <v>109.199996948242</v>
      </c>
      <c r="E190" s="127" t="n">
        <f aca="false">VLOOKUP($B190,$C$6:$Z$17,E$22+1)</f>
        <v>0</v>
      </c>
      <c r="F190" s="127" t="n">
        <f aca="false">VLOOKUP($B190,$C$6:$Z$17,F$22+1)</f>
        <v>0</v>
      </c>
      <c r="G190" s="127" t="n">
        <f aca="false">VLOOKUP($B190,$C$6:$Z$17,G$22+1)</f>
        <v>0</v>
      </c>
      <c r="H190" s="127" t="n">
        <f aca="false">VLOOKUP($B190,$C$6:$Z$17,H$22+1)</f>
        <v>0</v>
      </c>
      <c r="I190" s="127" t="n">
        <f aca="false">VLOOKUP($B190,$C$6:$Z$17,I$22+1)</f>
        <v>0</v>
      </c>
      <c r="J190" s="127" t="n">
        <f aca="false">VLOOKUP($B190,$C$6:$Z$17,J$22+1)</f>
        <v>0</v>
      </c>
      <c r="K190" s="127" t="n">
        <f aca="false">VLOOKUP($B190,$C$6:$Z$17,K$22+1)</f>
        <v>0</v>
      </c>
      <c r="L190" s="127" t="n">
        <f aca="false">VLOOKUP($B190,$C$6:$Z$17,L$22+1)</f>
        <v>1.2506946851613</v>
      </c>
      <c r="M190" s="127" t="n">
        <f aca="false">VLOOKUP($B190,$C$6:$Z$17,M$22+1)</f>
        <v>1.32734019400042</v>
      </c>
      <c r="N190" s="127" t="n">
        <f aca="false">VLOOKUP($B190,$C$6:$Z$17,N$22+1)</f>
        <v>1.35388881627921</v>
      </c>
      <c r="O190" s="127" t="n">
        <f aca="false">VLOOKUP($B190,$C$6:$Z$17,O$22+1)</f>
        <v>1.32033935867348</v>
      </c>
      <c r="P190" s="127" t="n">
        <f aca="false">VLOOKUP($B190,$C$6:$Z$17,P$22+1)</f>
        <v>0</v>
      </c>
      <c r="Q190" s="127" t="n">
        <f aca="false">VLOOKUP($B190,$C$6:$Z$17,Q$22+1)</f>
        <v>0</v>
      </c>
      <c r="R190" s="127" t="n">
        <f aca="false">VLOOKUP($B190,$C$6:$Z$17,R$22+1)</f>
        <v>0</v>
      </c>
      <c r="S190" s="127" t="n">
        <f aca="false">VLOOKUP($B190,$C$6:$Z$17,S$22+1)</f>
        <v>0</v>
      </c>
      <c r="T190" s="127" t="n">
        <f aca="false">VLOOKUP($B190,$C$6:$Z$17,T$22+1)</f>
        <v>0</v>
      </c>
      <c r="U190" s="127" t="n">
        <f aca="false">VLOOKUP($B190,$C$6:$AB$17,T$22+3)-SUM(E190:T190)</f>
        <v>0</v>
      </c>
      <c r="W190" s="128" t="n">
        <f aca="false">$D190*E190</f>
        <v>0</v>
      </c>
      <c r="X190" s="128" t="n">
        <f aca="false">$D190*F190</f>
        <v>0</v>
      </c>
      <c r="Y190" s="128" t="n">
        <f aca="false">$D190*G190</f>
        <v>0</v>
      </c>
      <c r="Z190" s="128" t="n">
        <f aca="false">$D190*H190</f>
        <v>0</v>
      </c>
      <c r="AA190" s="128" t="n">
        <f aca="false">$D190*I190</f>
        <v>0</v>
      </c>
      <c r="AB190" s="128" t="n">
        <f aca="false">$D190*J190</f>
        <v>0</v>
      </c>
      <c r="AC190" s="128" t="n">
        <f aca="false">$D190*K190</f>
        <v>0</v>
      </c>
      <c r="AD190" s="128" t="n">
        <f aca="false">$D190*L190</f>
        <v>136.575855802796</v>
      </c>
      <c r="AE190" s="128" t="n">
        <f aca="false">$D190*M190</f>
        <v>144.945545134125</v>
      </c>
      <c r="AF190" s="128" t="n">
        <f aca="false">$D190*N190</f>
        <v>147.844654605949</v>
      </c>
      <c r="AG190" s="128" t="n">
        <f aca="false">$D190*O190</f>
        <v>144.181053937788</v>
      </c>
      <c r="AH190" s="128" t="n">
        <f aca="false">$D190*P190</f>
        <v>0</v>
      </c>
      <c r="AI190" s="128" t="n">
        <f aca="false">$D190*Q190</f>
        <v>0</v>
      </c>
      <c r="AJ190" s="128" t="n">
        <f aca="false">$D190*R190</f>
        <v>0</v>
      </c>
      <c r="AK190" s="128" t="n">
        <f aca="false">$D190*S190</f>
        <v>0</v>
      </c>
      <c r="AL190" s="128" t="n">
        <f aca="false">$D190*T190</f>
        <v>0</v>
      </c>
      <c r="AN190" s="129" t="n">
        <f aca="false">SUM(W190:AL190)/4</f>
        <v>143.386777370165</v>
      </c>
      <c r="AO190" s="130" t="n">
        <f aca="false">D190</f>
        <v>109.199996948242</v>
      </c>
    </row>
    <row r="191" customFormat="false" ht="16.5" hidden="false" customHeight="false" outlineLevel="0" collapsed="false">
      <c r="B191" s="116" t="n">
        <f aca="false">MONTH(C191)</f>
        <v>8</v>
      </c>
      <c r="C191" s="125" t="n">
        <f aca="false">PJM_01212000!A175</f>
        <v>40756</v>
      </c>
      <c r="D191" s="126" t="n">
        <f aca="false">PJM_01212000!C175</f>
        <v>96.1999969482422</v>
      </c>
      <c r="E191" s="127" t="n">
        <f aca="false">VLOOKUP($B191,$C$6:$Z$17,E$22+1)</f>
        <v>0</v>
      </c>
      <c r="F191" s="127" t="n">
        <f aca="false">VLOOKUP($B191,$C$6:$Z$17,F$22+1)</f>
        <v>0</v>
      </c>
      <c r="G191" s="127" t="n">
        <f aca="false">VLOOKUP($B191,$C$6:$Z$17,G$22+1)</f>
        <v>0</v>
      </c>
      <c r="H191" s="127" t="n">
        <f aca="false">VLOOKUP($B191,$C$6:$Z$17,H$22+1)</f>
        <v>0</v>
      </c>
      <c r="I191" s="127" t="n">
        <f aca="false">VLOOKUP($B191,$C$6:$Z$17,I$22+1)</f>
        <v>0</v>
      </c>
      <c r="J191" s="127" t="n">
        <f aca="false">VLOOKUP($B191,$C$6:$Z$17,J$22+1)</f>
        <v>0</v>
      </c>
      <c r="K191" s="127" t="n">
        <f aca="false">VLOOKUP($B191,$C$6:$Z$17,K$22+1)</f>
        <v>1.19072909190695</v>
      </c>
      <c r="L191" s="127" t="n">
        <f aca="false">VLOOKUP($B191,$C$6:$Z$17,L$22+1)</f>
        <v>1.26057331025457</v>
      </c>
      <c r="M191" s="127" t="n">
        <f aca="false">VLOOKUP($B191,$C$6:$Z$17,M$22+1)</f>
        <v>1.24301093426774</v>
      </c>
      <c r="N191" s="127" t="n">
        <f aca="false">VLOOKUP($B191,$C$6:$Z$17,N$22+1)</f>
        <v>1.21504622788872</v>
      </c>
      <c r="O191" s="127" t="n">
        <f aca="false">VLOOKUP($B191,$C$6:$Z$17,O$22+1)</f>
        <v>0</v>
      </c>
      <c r="P191" s="127" t="n">
        <f aca="false">VLOOKUP($B191,$C$6:$Z$17,P$22+1)</f>
        <v>0</v>
      </c>
      <c r="Q191" s="127" t="n">
        <f aca="false">VLOOKUP($B191,$C$6:$Z$17,Q$22+1)</f>
        <v>0</v>
      </c>
      <c r="R191" s="127" t="n">
        <f aca="false">VLOOKUP($B191,$C$6:$Z$17,R$22+1)</f>
        <v>0</v>
      </c>
      <c r="S191" s="127" t="n">
        <f aca="false">VLOOKUP($B191,$C$6:$Z$17,S$22+1)</f>
        <v>0</v>
      </c>
      <c r="T191" s="127" t="n">
        <f aca="false">VLOOKUP($B191,$C$6:$Z$17,T$22+1)</f>
        <v>0</v>
      </c>
      <c r="U191" s="127" t="n">
        <f aca="false">VLOOKUP($B191,$C$6:$AB$17,T$22+3)-SUM(E191:T191)</f>
        <v>0</v>
      </c>
      <c r="W191" s="128" t="n">
        <f aca="false">$D191*E191</f>
        <v>0</v>
      </c>
      <c r="X191" s="128" t="n">
        <f aca="false">$D191*F191</f>
        <v>0</v>
      </c>
      <c r="Y191" s="128" t="n">
        <f aca="false">$D191*G191</f>
        <v>0</v>
      </c>
      <c r="Z191" s="128" t="n">
        <f aca="false">$D191*H191</f>
        <v>0</v>
      </c>
      <c r="AA191" s="128" t="n">
        <f aca="false">$D191*I191</f>
        <v>0</v>
      </c>
      <c r="AB191" s="128" t="n">
        <f aca="false">$D191*J191</f>
        <v>0</v>
      </c>
      <c r="AC191" s="128" t="n">
        <f aca="false">$D191*K191</f>
        <v>114.548135007632</v>
      </c>
      <c r="AD191" s="128" t="n">
        <f aca="false">$D191*L191</f>
        <v>121.267148599525</v>
      </c>
      <c r="AE191" s="128" t="n">
        <f aca="false">$D191*M191</f>
        <v>119.577648083188</v>
      </c>
      <c r="AF191" s="128" t="n">
        <f aca="false">$D191*N191</f>
        <v>116.887443414868</v>
      </c>
      <c r="AG191" s="128" t="n">
        <f aca="false">$D191*O191</f>
        <v>0</v>
      </c>
      <c r="AH191" s="128" t="n">
        <f aca="false">$D191*P191</f>
        <v>0</v>
      </c>
      <c r="AI191" s="128" t="n">
        <f aca="false">$D191*Q191</f>
        <v>0</v>
      </c>
      <c r="AJ191" s="128" t="n">
        <f aca="false">$D191*R191</f>
        <v>0</v>
      </c>
      <c r="AK191" s="128" t="n">
        <f aca="false">$D191*S191</f>
        <v>0</v>
      </c>
      <c r="AL191" s="128" t="n">
        <f aca="false">$D191*T191</f>
        <v>0</v>
      </c>
      <c r="AN191" s="129" t="n">
        <f aca="false">SUM(W191:AL191)/4</f>
        <v>118.070093776303</v>
      </c>
      <c r="AO191" s="130" t="n">
        <f aca="false">D191</f>
        <v>96.1999969482422</v>
      </c>
    </row>
    <row r="192" customFormat="false" ht="16.5" hidden="false" customHeight="false" outlineLevel="0" collapsed="false">
      <c r="B192" s="116" t="n">
        <f aca="false">MONTH(C192)</f>
        <v>9</v>
      </c>
      <c r="C192" s="125" t="n">
        <f aca="false">PJM_01212000!A176</f>
        <v>40787</v>
      </c>
      <c r="D192" s="126" t="n">
        <f aca="false">PJM_01212000!C176</f>
        <v>36.9249984741211</v>
      </c>
      <c r="E192" s="127" t="n">
        <f aca="false">VLOOKUP($B192,$C$6:$Z$17,E$22+1)</f>
        <v>0</v>
      </c>
      <c r="F192" s="127" t="n">
        <f aca="false">VLOOKUP($B192,$C$6:$Z$17,F$22+1)</f>
        <v>0</v>
      </c>
      <c r="G192" s="127" t="n">
        <f aca="false">VLOOKUP($B192,$C$6:$Z$17,G$22+1)</f>
        <v>0</v>
      </c>
      <c r="H192" s="127" t="n">
        <f aca="false">VLOOKUP($B192,$C$6:$Z$17,H$22+1)</f>
        <v>0</v>
      </c>
      <c r="I192" s="127" t="n">
        <f aca="false">VLOOKUP($B192,$C$6:$Z$17,I$22+1)</f>
        <v>0</v>
      </c>
      <c r="J192" s="127" t="n">
        <f aca="false">VLOOKUP($B192,$C$6:$Z$17,J$22+1)</f>
        <v>0</v>
      </c>
      <c r="K192" s="127" t="n">
        <f aca="false">VLOOKUP($B192,$C$6:$Z$17,K$22+1)</f>
        <v>0</v>
      </c>
      <c r="L192" s="127" t="n">
        <f aca="false">VLOOKUP($B192,$C$6:$Z$17,L$22+1)</f>
        <v>0</v>
      </c>
      <c r="M192" s="127" t="n">
        <f aca="false">VLOOKUP($B192,$C$6:$Z$17,M$22+1)</f>
        <v>0</v>
      </c>
      <c r="N192" s="127" t="n">
        <f aca="false">VLOOKUP($B192,$C$6:$Z$17,N$22+1)</f>
        <v>1.13452840898687</v>
      </c>
      <c r="O192" s="127" t="n">
        <f aca="false">VLOOKUP($B192,$C$6:$Z$17,O$22+1)</f>
        <v>1.1066962078626</v>
      </c>
      <c r="P192" s="127" t="n">
        <f aca="false">VLOOKUP($B192,$C$6:$Z$17,P$22+1)</f>
        <v>0</v>
      </c>
      <c r="Q192" s="127" t="n">
        <f aca="false">VLOOKUP($B192,$C$6:$Z$17,Q$22+1)</f>
        <v>1.18462637101057</v>
      </c>
      <c r="R192" s="127" t="n">
        <f aca="false">VLOOKUP($B192,$C$6:$Z$17,R$22+1)</f>
        <v>1.1944408840386</v>
      </c>
      <c r="S192" s="127" t="n">
        <f aca="false">VLOOKUP($B192,$C$6:$Z$17,S$22+1)</f>
        <v>0</v>
      </c>
      <c r="T192" s="127" t="n">
        <f aca="false">VLOOKUP($B192,$C$6:$Z$17,T$22+1)</f>
        <v>0</v>
      </c>
      <c r="U192" s="127" t="n">
        <f aca="false">VLOOKUP($B192,$C$6:$AB$17,T$22+3)-SUM(E192:T192)</f>
        <v>0</v>
      </c>
      <c r="W192" s="128" t="n">
        <f aca="false">$D192*E192</f>
        <v>0</v>
      </c>
      <c r="X192" s="128" t="n">
        <f aca="false">$D192*F192</f>
        <v>0</v>
      </c>
      <c r="Y192" s="128" t="n">
        <f aca="false">$D192*G192</f>
        <v>0</v>
      </c>
      <c r="Z192" s="128" t="n">
        <f aca="false">$D192*H192</f>
        <v>0</v>
      </c>
      <c r="AA192" s="128" t="n">
        <f aca="false">$D192*I192</f>
        <v>0</v>
      </c>
      <c r="AB192" s="128" t="n">
        <f aca="false">$D192*J192</f>
        <v>0</v>
      </c>
      <c r="AC192" s="128" t="n">
        <f aca="false">$D192*K192</f>
        <v>0</v>
      </c>
      <c r="AD192" s="128" t="n">
        <f aca="false">$D192*L192</f>
        <v>0</v>
      </c>
      <c r="AE192" s="128" t="n">
        <f aca="false">$D192*M192</f>
        <v>0</v>
      </c>
      <c r="AF192" s="128" t="n">
        <f aca="false">$D192*N192</f>
        <v>41.8924597706873</v>
      </c>
      <c r="AG192" s="128" t="n">
        <f aca="false">$D192*O192</f>
        <v>40.864755786642</v>
      </c>
      <c r="AH192" s="128" t="n">
        <f aca="false">$D192*P192</f>
        <v>0</v>
      </c>
      <c r="AI192" s="128" t="n">
        <f aca="false">$D192*Q192</f>
        <v>43.7423269419688</v>
      </c>
      <c r="AJ192" s="128" t="n">
        <f aca="false">$D192*R192</f>
        <v>44.1047278205531</v>
      </c>
      <c r="AK192" s="128" t="n">
        <f aca="false">$D192*S192</f>
        <v>0</v>
      </c>
      <c r="AL192" s="128" t="n">
        <f aca="false">$D192*T192</f>
        <v>0</v>
      </c>
      <c r="AN192" s="129" t="n">
        <f aca="false">SUM(W192:AL192)/4</f>
        <v>42.6510675799628</v>
      </c>
      <c r="AO192" s="130" t="n">
        <f aca="false">D192</f>
        <v>36.9249984741211</v>
      </c>
    </row>
    <row r="193" customFormat="false" ht="16.5" hidden="false" customHeight="false" outlineLevel="0" collapsed="false">
      <c r="B193" s="116" t="n">
        <f aca="false">MONTH(C193)</f>
        <v>10</v>
      </c>
      <c r="C193" s="125" t="n">
        <f aca="false">PJM_01212000!A177</f>
        <v>40817</v>
      </c>
      <c r="D193" s="126" t="n">
        <f aca="false">PJM_01212000!C177</f>
        <v>30.3250003814697</v>
      </c>
      <c r="E193" s="127" t="n">
        <f aca="false">VLOOKUP($B193,$C$6:$Z$17,E$22+1)</f>
        <v>0</v>
      </c>
      <c r="F193" s="127" t="n">
        <f aca="false">VLOOKUP($B193,$C$6:$Z$17,F$22+1)</f>
        <v>1.1326</v>
      </c>
      <c r="G193" s="127" t="n">
        <f aca="false">VLOOKUP($B193,$C$6:$Z$17,G$22+1)</f>
        <v>0</v>
      </c>
      <c r="H193" s="127" t="n">
        <f aca="false">VLOOKUP($B193,$C$6:$Z$17,H$22+1)</f>
        <v>0</v>
      </c>
      <c r="I193" s="127" t="n">
        <f aca="false">VLOOKUP($B193,$C$6:$Z$17,I$22+1)</f>
        <v>0</v>
      </c>
      <c r="J193" s="127" t="n">
        <f aca="false">VLOOKUP($B193,$C$6:$Z$17,J$22+1)</f>
        <v>0</v>
      </c>
      <c r="K193" s="127" t="n">
        <f aca="false">VLOOKUP($B193,$C$6:$Z$17,K$22+1)</f>
        <v>0</v>
      </c>
      <c r="L193" s="127" t="n">
        <f aca="false">VLOOKUP($B193,$C$6:$Z$17,L$22+1)</f>
        <v>0</v>
      </c>
      <c r="M193" s="127" t="n">
        <f aca="false">VLOOKUP($B193,$C$6:$Z$17,M$22+1)</f>
        <v>0</v>
      </c>
      <c r="N193" s="127" t="n">
        <f aca="false">VLOOKUP($B193,$C$6:$Z$17,N$22+1)</f>
        <v>0</v>
      </c>
      <c r="O193" s="127" t="n">
        <f aca="false">VLOOKUP($B193,$C$6:$Z$17,O$22+1)</f>
        <v>1.2001</v>
      </c>
      <c r="P193" s="127" t="n">
        <f aca="false">VLOOKUP($B193,$C$6:$Z$17,P$22+1)</f>
        <v>1.2095</v>
      </c>
      <c r="Q193" s="127" t="n">
        <f aca="false">VLOOKUP($B193,$C$6:$Z$17,Q$22+1)</f>
        <v>1.1567</v>
      </c>
      <c r="R193" s="127" t="n">
        <f aca="false">VLOOKUP($B193,$C$6:$Z$17,R$22+1)</f>
        <v>0</v>
      </c>
      <c r="S193" s="127" t="n">
        <f aca="false">VLOOKUP($B193,$C$6:$Z$17,S$22+1)</f>
        <v>0</v>
      </c>
      <c r="T193" s="127" t="n">
        <f aca="false">VLOOKUP($B193,$C$6:$Z$17,T$22+1)</f>
        <v>0</v>
      </c>
      <c r="U193" s="127" t="n">
        <f aca="false">VLOOKUP($B193,$C$6:$AB$17,T$22+3)-SUM(E193:T193)</f>
        <v>0</v>
      </c>
      <c r="W193" s="128" t="n">
        <f aca="false">$D193*E193</f>
        <v>0</v>
      </c>
      <c r="X193" s="128" t="n">
        <f aca="false">$D193*F193</f>
        <v>34.3460954320526</v>
      </c>
      <c r="Y193" s="128" t="n">
        <f aca="false">$D193*G193</f>
        <v>0</v>
      </c>
      <c r="Z193" s="128" t="n">
        <f aca="false">$D193*H193</f>
        <v>0</v>
      </c>
      <c r="AA193" s="128" t="n">
        <f aca="false">$D193*I193</f>
        <v>0</v>
      </c>
      <c r="AB193" s="128" t="n">
        <f aca="false">$D193*J193</f>
        <v>0</v>
      </c>
      <c r="AC193" s="128" t="n">
        <f aca="false">$D193*K193</f>
        <v>0</v>
      </c>
      <c r="AD193" s="128" t="n">
        <f aca="false">$D193*L193</f>
        <v>0</v>
      </c>
      <c r="AE193" s="128" t="n">
        <f aca="false">$D193*M193</f>
        <v>0</v>
      </c>
      <c r="AF193" s="128" t="n">
        <f aca="false">$D193*N193</f>
        <v>0</v>
      </c>
      <c r="AG193" s="128" t="n">
        <f aca="false">$D193*O193</f>
        <v>36.3930329578018</v>
      </c>
      <c r="AH193" s="128" t="n">
        <f aca="false">$D193*P193</f>
        <v>36.6780879613876</v>
      </c>
      <c r="AI193" s="128" t="n">
        <f aca="false">$D193*Q193</f>
        <v>35.076927941246</v>
      </c>
      <c r="AJ193" s="128" t="n">
        <f aca="false">$D193*R193</f>
        <v>0</v>
      </c>
      <c r="AK193" s="128" t="n">
        <f aca="false">$D193*S193</f>
        <v>0</v>
      </c>
      <c r="AL193" s="128" t="n">
        <f aca="false">$D193*T193</f>
        <v>0</v>
      </c>
      <c r="AN193" s="129" t="n">
        <f aca="false">SUM(W193:AL193)/4</f>
        <v>35.623536073122</v>
      </c>
      <c r="AO193" s="130" t="n">
        <f aca="false">D193</f>
        <v>30.3250003814697</v>
      </c>
    </row>
    <row r="194" customFormat="false" ht="16.5" hidden="false" customHeight="false" outlineLevel="0" collapsed="false">
      <c r="B194" s="116" t="n">
        <f aca="false">MONTH(C194)</f>
        <v>11</v>
      </c>
      <c r="C194" s="125" t="n">
        <f aca="false">PJM_01212000!A178</f>
        <v>40848</v>
      </c>
      <c r="D194" s="126" t="n">
        <f aca="false">PJM_01212000!C178</f>
        <v>29.9974990844727</v>
      </c>
      <c r="E194" s="127" t="n">
        <f aca="false">VLOOKUP($B194,$C$6:$Z$17,E$22+1)</f>
        <v>0</v>
      </c>
      <c r="F194" s="127" t="n">
        <f aca="false">VLOOKUP($B194,$C$6:$Z$17,F$22+1)</f>
        <v>1.1426</v>
      </c>
      <c r="G194" s="127" t="n">
        <f aca="false">VLOOKUP($B194,$C$6:$Z$17,G$22+1)</f>
        <v>0</v>
      </c>
      <c r="H194" s="127" t="n">
        <f aca="false">VLOOKUP($B194,$C$6:$Z$17,H$22+1)</f>
        <v>0</v>
      </c>
      <c r="I194" s="127" t="n">
        <f aca="false">VLOOKUP($B194,$C$6:$Z$17,I$22+1)</f>
        <v>0</v>
      </c>
      <c r="J194" s="127" t="n">
        <f aca="false">VLOOKUP($B194,$C$6:$Z$17,J$22+1)</f>
        <v>0</v>
      </c>
      <c r="K194" s="127" t="n">
        <f aca="false">VLOOKUP($B194,$C$6:$Z$17,K$22+1)</f>
        <v>0</v>
      </c>
      <c r="L194" s="127" t="n">
        <f aca="false">VLOOKUP($B194,$C$6:$Z$17,L$22+1)</f>
        <v>0</v>
      </c>
      <c r="M194" s="127" t="n">
        <f aca="false">VLOOKUP($B194,$C$6:$Z$17,M$22+1)</f>
        <v>0</v>
      </c>
      <c r="N194" s="127" t="n">
        <f aca="false">VLOOKUP($B194,$C$6:$Z$17,N$22+1)</f>
        <v>0</v>
      </c>
      <c r="O194" s="127" t="n">
        <f aca="false">VLOOKUP($B194,$C$6:$Z$17,O$22+1)</f>
        <v>1.2171</v>
      </c>
      <c r="P194" s="127" t="n">
        <f aca="false">VLOOKUP($B194,$C$6:$Z$17,P$22+1)</f>
        <v>1.2269</v>
      </c>
      <c r="Q194" s="127" t="n">
        <f aca="false">VLOOKUP($B194,$C$6:$Z$17,Q$22+1)</f>
        <v>1.1767</v>
      </c>
      <c r="R194" s="127" t="n">
        <f aca="false">VLOOKUP($B194,$C$6:$Z$17,R$22+1)</f>
        <v>0</v>
      </c>
      <c r="S194" s="127" t="n">
        <f aca="false">VLOOKUP($B194,$C$6:$Z$17,S$22+1)</f>
        <v>0</v>
      </c>
      <c r="T194" s="127" t="n">
        <f aca="false">VLOOKUP($B194,$C$6:$Z$17,T$22+1)</f>
        <v>0</v>
      </c>
      <c r="U194" s="127" t="n">
        <f aca="false">VLOOKUP($B194,$C$6:$AB$17,T$22+3)-SUM(E194:T194)</f>
        <v>0</v>
      </c>
      <c r="W194" s="128" t="n">
        <f aca="false">$D194*E194</f>
        <v>0</v>
      </c>
      <c r="X194" s="128" t="n">
        <f aca="false">$D194*F194</f>
        <v>34.2751424539185</v>
      </c>
      <c r="Y194" s="128" t="n">
        <f aca="false">$D194*G194</f>
        <v>0</v>
      </c>
      <c r="Z194" s="128" t="n">
        <f aca="false">$D194*H194</f>
        <v>0</v>
      </c>
      <c r="AA194" s="128" t="n">
        <f aca="false">$D194*I194</f>
        <v>0</v>
      </c>
      <c r="AB194" s="128" t="n">
        <f aca="false">$D194*J194</f>
        <v>0</v>
      </c>
      <c r="AC194" s="128" t="n">
        <f aca="false">$D194*K194</f>
        <v>0</v>
      </c>
      <c r="AD194" s="128" t="n">
        <f aca="false">$D194*L194</f>
        <v>0</v>
      </c>
      <c r="AE194" s="128" t="n">
        <f aca="false">$D194*M194</f>
        <v>0</v>
      </c>
      <c r="AF194" s="128" t="n">
        <f aca="false">$D194*N194</f>
        <v>0</v>
      </c>
      <c r="AG194" s="128" t="n">
        <f aca="false">$D194*O194</f>
        <v>36.5099561357117</v>
      </c>
      <c r="AH194" s="128" t="n">
        <f aca="false">$D194*P194</f>
        <v>36.8039316267395</v>
      </c>
      <c r="AI194" s="128" t="n">
        <f aca="false">$D194*Q194</f>
        <v>35.298057172699</v>
      </c>
      <c r="AJ194" s="128" t="n">
        <f aca="false">$D194*R194</f>
        <v>0</v>
      </c>
      <c r="AK194" s="128" t="n">
        <f aca="false">$D194*S194</f>
        <v>0</v>
      </c>
      <c r="AL194" s="128" t="n">
        <f aca="false">$D194*T194</f>
        <v>0</v>
      </c>
      <c r="AN194" s="129" t="n">
        <f aca="false">SUM(W194:AL194)/4</f>
        <v>35.7217718472672</v>
      </c>
      <c r="AO194" s="130" t="n">
        <f aca="false">D194</f>
        <v>29.9974990844727</v>
      </c>
    </row>
    <row r="195" customFormat="false" ht="16.5" hidden="false" customHeight="false" outlineLevel="0" collapsed="false">
      <c r="B195" s="116" t="n">
        <f aca="false">MONTH(C195)</f>
        <v>12</v>
      </c>
      <c r="C195" s="125" t="n">
        <f aca="false">PJM_01212000!A179</f>
        <v>40878</v>
      </c>
      <c r="D195" s="126" t="n">
        <f aca="false">PJM_01212000!C179</f>
        <v>31.7499996185303</v>
      </c>
      <c r="E195" s="127" t="n">
        <f aca="false">VLOOKUP($B195,$C$6:$Z$17,E$22+1)</f>
        <v>0</v>
      </c>
      <c r="F195" s="127" t="n">
        <f aca="false">VLOOKUP($B195,$C$6:$Z$17,F$22+1)</f>
        <v>1.1638</v>
      </c>
      <c r="G195" s="127" t="n">
        <f aca="false">VLOOKUP($B195,$C$6:$Z$17,G$22+1)</f>
        <v>0</v>
      </c>
      <c r="H195" s="127" t="n">
        <f aca="false">VLOOKUP($B195,$C$6:$Z$17,H$22+1)</f>
        <v>0</v>
      </c>
      <c r="I195" s="127" t="n">
        <f aca="false">VLOOKUP($B195,$C$6:$Z$17,I$22+1)</f>
        <v>0</v>
      </c>
      <c r="J195" s="127" t="n">
        <f aca="false">VLOOKUP($B195,$C$6:$Z$17,J$22+1)</f>
        <v>0</v>
      </c>
      <c r="K195" s="127" t="n">
        <f aca="false">VLOOKUP($B195,$C$6:$Z$17,K$22+1)</f>
        <v>0</v>
      </c>
      <c r="L195" s="127" t="n">
        <f aca="false">VLOOKUP($B195,$C$6:$Z$17,L$22+1)</f>
        <v>0</v>
      </c>
      <c r="M195" s="127" t="n">
        <f aca="false">VLOOKUP($B195,$C$6:$Z$17,M$22+1)</f>
        <v>0</v>
      </c>
      <c r="N195" s="127" t="n">
        <f aca="false">VLOOKUP($B195,$C$6:$Z$17,N$22+1)</f>
        <v>0</v>
      </c>
      <c r="O195" s="127" t="n">
        <f aca="false">VLOOKUP($B195,$C$6:$Z$17,O$22+1)</f>
        <v>1.23965925286319</v>
      </c>
      <c r="P195" s="127" t="n">
        <f aca="false">VLOOKUP($B195,$C$6:$Z$17,P$22+1)</f>
        <v>1.2314</v>
      </c>
      <c r="Q195" s="127" t="n">
        <f aca="false">VLOOKUP($B195,$C$6:$Z$17,Q$22+1)</f>
        <v>1.18899630831453</v>
      </c>
      <c r="R195" s="127" t="n">
        <f aca="false">VLOOKUP($B195,$C$6:$Z$17,R$22+1)</f>
        <v>0</v>
      </c>
      <c r="S195" s="127" t="n">
        <f aca="false">VLOOKUP($B195,$C$6:$Z$17,S$22+1)</f>
        <v>0</v>
      </c>
      <c r="T195" s="127" t="n">
        <f aca="false">VLOOKUP($B195,$C$6:$Z$17,T$22+1)</f>
        <v>0</v>
      </c>
      <c r="U195" s="127" t="n">
        <f aca="false">VLOOKUP($B195,$C$6:$AB$17,T$22+3)-SUM(E195:T195)</f>
        <v>0</v>
      </c>
      <c r="W195" s="128" t="n">
        <f aca="false">$D195*E195</f>
        <v>0</v>
      </c>
      <c r="X195" s="128" t="n">
        <f aca="false">$D195*F195</f>
        <v>36.9506495560455</v>
      </c>
      <c r="Y195" s="128" t="n">
        <f aca="false">$D195*G195</f>
        <v>0</v>
      </c>
      <c r="Z195" s="128" t="n">
        <f aca="false">$D195*H195</f>
        <v>0</v>
      </c>
      <c r="AA195" s="128" t="n">
        <f aca="false">$D195*I195</f>
        <v>0</v>
      </c>
      <c r="AB195" s="128" t="n">
        <f aca="false">$D195*J195</f>
        <v>0</v>
      </c>
      <c r="AC195" s="128" t="n">
        <f aca="false">$D195*K195</f>
        <v>0</v>
      </c>
      <c r="AD195" s="128" t="n">
        <f aca="false">$D195*L195</f>
        <v>0</v>
      </c>
      <c r="AE195" s="128" t="n">
        <f aca="false">$D195*M195</f>
        <v>0</v>
      </c>
      <c r="AF195" s="128" t="n">
        <f aca="false">$D195*N195</f>
        <v>0</v>
      </c>
      <c r="AG195" s="128" t="n">
        <f aca="false">$D195*O195</f>
        <v>39.3591808055138</v>
      </c>
      <c r="AH195" s="128" t="n">
        <f aca="false">$D195*P195</f>
        <v>39.0969495302582</v>
      </c>
      <c r="AI195" s="128" t="n">
        <f aca="false">$D195*Q195</f>
        <v>37.7506323354202</v>
      </c>
      <c r="AJ195" s="128" t="n">
        <f aca="false">$D195*R195</f>
        <v>0</v>
      </c>
      <c r="AK195" s="128" t="n">
        <f aca="false">$D195*S195</f>
        <v>0</v>
      </c>
      <c r="AL195" s="128" t="n">
        <f aca="false">$D195*T195</f>
        <v>0</v>
      </c>
      <c r="AN195" s="129" t="n">
        <f aca="false">SUM(W195:AL195)/4</f>
        <v>38.2893530568094</v>
      </c>
      <c r="AO195" s="130" t="n">
        <f aca="false">D195</f>
        <v>31.7499996185303</v>
      </c>
    </row>
    <row r="196" customFormat="false" ht="16.5" hidden="false" customHeight="false" outlineLevel="0" collapsed="false">
      <c r="B196" s="116" t="n">
        <f aca="false">MONTH(C196)</f>
        <v>1</v>
      </c>
      <c r="C196" s="125" t="n">
        <f aca="false">PJM_01212000!A180</f>
        <v>40909</v>
      </c>
      <c r="D196" s="126" t="n">
        <f aca="false">PJM_01212000!C180</f>
        <v>40.3249984741211</v>
      </c>
      <c r="E196" s="127" t="n">
        <f aca="false">VLOOKUP($B196,$C$6:$Z$17,E$22+1)</f>
        <v>0</v>
      </c>
      <c r="F196" s="127" t="n">
        <f aca="false">VLOOKUP($B196,$C$6:$Z$17,F$22+1)</f>
        <v>1.19981175661928</v>
      </c>
      <c r="G196" s="127" t="n">
        <f aca="false">VLOOKUP($B196,$C$6:$Z$17,G$22+1)</f>
        <v>1.19616001156207</v>
      </c>
      <c r="H196" s="127" t="n">
        <f aca="false">VLOOKUP($B196,$C$6:$Z$17,H$22+1)</f>
        <v>0</v>
      </c>
      <c r="I196" s="127" t="n">
        <f aca="false">VLOOKUP($B196,$C$6:$Z$17,I$22+1)</f>
        <v>0</v>
      </c>
      <c r="J196" s="127" t="n">
        <f aca="false">VLOOKUP($B196,$C$6:$Z$17,J$22+1)</f>
        <v>0</v>
      </c>
      <c r="K196" s="127" t="n">
        <f aca="false">VLOOKUP($B196,$C$6:$Z$17,K$22+1)</f>
        <v>0</v>
      </c>
      <c r="L196" s="127" t="n">
        <f aca="false">VLOOKUP($B196,$C$6:$Z$17,L$22+1)</f>
        <v>0</v>
      </c>
      <c r="M196" s="127" t="n">
        <f aca="false">VLOOKUP($B196,$C$6:$Z$17,M$22+1)</f>
        <v>0</v>
      </c>
      <c r="N196" s="127" t="n">
        <f aca="false">VLOOKUP($B196,$C$6:$Z$17,N$22+1)</f>
        <v>0</v>
      </c>
      <c r="O196" s="127" t="n">
        <f aca="false">VLOOKUP($B196,$C$6:$Z$17,O$22+1)</f>
        <v>0</v>
      </c>
      <c r="P196" s="127" t="n">
        <f aca="false">VLOOKUP($B196,$C$6:$Z$17,P$22+1)</f>
        <v>1.28189922894351</v>
      </c>
      <c r="Q196" s="127" t="n">
        <f aca="false">VLOOKUP($B196,$C$6:$Z$17,Q$22+1)</f>
        <v>1.227</v>
      </c>
      <c r="R196" s="127" t="n">
        <f aca="false">VLOOKUP($B196,$C$6:$Z$17,R$22+1)</f>
        <v>0</v>
      </c>
      <c r="S196" s="127" t="n">
        <f aca="false">VLOOKUP($B196,$C$6:$Z$17,S$22+1)</f>
        <v>0</v>
      </c>
      <c r="T196" s="127" t="n">
        <f aca="false">VLOOKUP($B196,$C$6:$Z$17,T$22+1)</f>
        <v>0</v>
      </c>
      <c r="U196" s="127" t="n">
        <f aca="false">VLOOKUP($B196,$C$6:$AB$17,T$22+3)-SUM(E196:T196)</f>
        <v>0</v>
      </c>
      <c r="W196" s="128" t="n">
        <f aca="false">$D196*E196</f>
        <v>0</v>
      </c>
      <c r="X196" s="128" t="n">
        <f aca="false">$D196*F196</f>
        <v>48.3824072549051</v>
      </c>
      <c r="Y196" s="128" t="n">
        <f aca="false">$D196*G196</f>
        <v>48.2351506410452</v>
      </c>
      <c r="Z196" s="128" t="n">
        <f aca="false">$D196*H196</f>
        <v>0</v>
      </c>
      <c r="AA196" s="128" t="n">
        <f aca="false">$D196*I196</f>
        <v>0</v>
      </c>
      <c r="AB196" s="128" t="n">
        <f aca="false">$D196*J196</f>
        <v>0</v>
      </c>
      <c r="AC196" s="128" t="n">
        <f aca="false">$D196*K196</f>
        <v>0</v>
      </c>
      <c r="AD196" s="128" t="n">
        <f aca="false">$D196*L196</f>
        <v>0</v>
      </c>
      <c r="AE196" s="128" t="n">
        <f aca="false">$D196*M196</f>
        <v>0</v>
      </c>
      <c r="AF196" s="128" t="n">
        <f aca="false">$D196*N196</f>
        <v>0</v>
      </c>
      <c r="AG196" s="128" t="n">
        <f aca="false">$D196*O196</f>
        <v>0</v>
      </c>
      <c r="AH196" s="128" t="n">
        <f aca="false">$D196*P196</f>
        <v>51.6925844511241</v>
      </c>
      <c r="AI196" s="128" t="n">
        <f aca="false">$D196*Q196</f>
        <v>49.4787731277466</v>
      </c>
      <c r="AJ196" s="128" t="n">
        <f aca="false">$D196*R196</f>
        <v>0</v>
      </c>
      <c r="AK196" s="128" t="n">
        <f aca="false">$D196*S196</f>
        <v>0</v>
      </c>
      <c r="AL196" s="128" t="n">
        <f aca="false">$D196*T196</f>
        <v>0</v>
      </c>
      <c r="AN196" s="129" t="n">
        <f aca="false">SUM(W196:AL196)/4</f>
        <v>49.4472288687053</v>
      </c>
      <c r="AO196" s="130" t="n">
        <f aca="false">D196</f>
        <v>40.3249984741211</v>
      </c>
    </row>
    <row r="197" customFormat="false" ht="16.5" hidden="false" customHeight="false" outlineLevel="0" collapsed="false">
      <c r="B197" s="116" t="n">
        <f aca="false">MONTH(C197)</f>
        <v>2</v>
      </c>
      <c r="C197" s="125" t="n">
        <f aca="false">PJM_01212000!A181</f>
        <v>40940</v>
      </c>
      <c r="D197" s="126" t="n">
        <f aca="false">PJM_01212000!C181</f>
        <v>40.3249984741211</v>
      </c>
      <c r="E197" s="127" t="n">
        <f aca="false">VLOOKUP($B197,$C$6:$Z$17,E$22+1)</f>
        <v>0</v>
      </c>
      <c r="F197" s="127" t="n">
        <f aca="false">VLOOKUP($B197,$C$6:$Z$17,F$22+1)</f>
        <v>1.19981175661928</v>
      </c>
      <c r="G197" s="127" t="n">
        <f aca="false">VLOOKUP($B197,$C$6:$Z$17,G$22+1)</f>
        <v>1.19616001156207</v>
      </c>
      <c r="H197" s="127" t="n">
        <f aca="false">VLOOKUP($B197,$C$6:$Z$17,H$22+1)</f>
        <v>0</v>
      </c>
      <c r="I197" s="127" t="n">
        <f aca="false">VLOOKUP($B197,$C$6:$Z$17,I$22+1)</f>
        <v>0</v>
      </c>
      <c r="J197" s="127" t="n">
        <f aca="false">VLOOKUP($B197,$C$6:$Z$17,J$22+1)</f>
        <v>0</v>
      </c>
      <c r="K197" s="127" t="n">
        <f aca="false">VLOOKUP($B197,$C$6:$Z$17,K$22+1)</f>
        <v>0</v>
      </c>
      <c r="L197" s="127" t="n">
        <f aca="false">VLOOKUP($B197,$C$6:$Z$17,L$22+1)</f>
        <v>0</v>
      </c>
      <c r="M197" s="127" t="n">
        <f aca="false">VLOOKUP($B197,$C$6:$Z$17,M$22+1)</f>
        <v>0</v>
      </c>
      <c r="N197" s="127" t="n">
        <f aca="false">VLOOKUP($B197,$C$6:$Z$17,N$22+1)</f>
        <v>0</v>
      </c>
      <c r="O197" s="127" t="n">
        <f aca="false">VLOOKUP($B197,$C$6:$Z$17,O$22+1)</f>
        <v>0</v>
      </c>
      <c r="P197" s="127" t="n">
        <f aca="false">VLOOKUP($B197,$C$6:$Z$17,P$22+1)</f>
        <v>1.28189922894351</v>
      </c>
      <c r="Q197" s="127" t="n">
        <f aca="false">VLOOKUP($B197,$C$6:$Z$17,Q$22+1)</f>
        <v>1.227</v>
      </c>
      <c r="R197" s="127" t="n">
        <f aca="false">VLOOKUP($B197,$C$6:$Z$17,R$22+1)</f>
        <v>0</v>
      </c>
      <c r="S197" s="127" t="n">
        <f aca="false">VLOOKUP($B197,$C$6:$Z$17,S$22+1)</f>
        <v>0</v>
      </c>
      <c r="T197" s="127" t="n">
        <f aca="false">VLOOKUP($B197,$C$6:$Z$17,T$22+1)</f>
        <v>0</v>
      </c>
      <c r="U197" s="127" t="n">
        <f aca="false">VLOOKUP($B197,$C$6:$AB$17,T$22+3)-SUM(E197:T197)</f>
        <v>0</v>
      </c>
      <c r="W197" s="128" t="n">
        <f aca="false">$D197*E197</f>
        <v>0</v>
      </c>
      <c r="X197" s="128" t="n">
        <f aca="false">$D197*F197</f>
        <v>48.3824072549051</v>
      </c>
      <c r="Y197" s="128" t="n">
        <f aca="false">$D197*G197</f>
        <v>48.2351506410452</v>
      </c>
      <c r="Z197" s="128" t="n">
        <f aca="false">$D197*H197</f>
        <v>0</v>
      </c>
      <c r="AA197" s="128" t="n">
        <f aca="false">$D197*I197</f>
        <v>0</v>
      </c>
      <c r="AB197" s="128" t="n">
        <f aca="false">$D197*J197</f>
        <v>0</v>
      </c>
      <c r="AC197" s="128" t="n">
        <f aca="false">$D197*K197</f>
        <v>0</v>
      </c>
      <c r="AD197" s="128" t="n">
        <f aca="false">$D197*L197</f>
        <v>0</v>
      </c>
      <c r="AE197" s="128" t="n">
        <f aca="false">$D197*M197</f>
        <v>0</v>
      </c>
      <c r="AF197" s="128" t="n">
        <f aca="false">$D197*N197</f>
        <v>0</v>
      </c>
      <c r="AG197" s="128" t="n">
        <f aca="false">$D197*O197</f>
        <v>0</v>
      </c>
      <c r="AH197" s="128" t="n">
        <f aca="false">$D197*P197</f>
        <v>51.6925844511241</v>
      </c>
      <c r="AI197" s="128" t="n">
        <f aca="false">$D197*Q197</f>
        <v>49.4787731277466</v>
      </c>
      <c r="AJ197" s="128" t="n">
        <f aca="false">$D197*R197</f>
        <v>0</v>
      </c>
      <c r="AK197" s="128" t="n">
        <f aca="false">$D197*S197</f>
        <v>0</v>
      </c>
      <c r="AL197" s="128" t="n">
        <f aca="false">$D197*T197</f>
        <v>0</v>
      </c>
      <c r="AN197" s="129" t="n">
        <f aca="false">SUM(W197:AL197)/4</f>
        <v>49.4472288687053</v>
      </c>
      <c r="AO197" s="130" t="n">
        <f aca="false">D197</f>
        <v>40.3249984741211</v>
      </c>
    </row>
    <row r="198" customFormat="false" ht="16.5" hidden="false" customHeight="false" outlineLevel="0" collapsed="false">
      <c r="B198" s="116" t="n">
        <f aca="false">MONTH(C198)</f>
        <v>3</v>
      </c>
      <c r="C198" s="125" t="n">
        <f aca="false">PJM_01212000!A182</f>
        <v>40969</v>
      </c>
      <c r="D198" s="126" t="n">
        <f aca="false">PJM_01212000!C182</f>
        <v>30.0500007629395</v>
      </c>
      <c r="E198" s="127" t="n">
        <f aca="false">VLOOKUP($B198,$C$6:$Z$17,E$22+1)</f>
        <v>0</v>
      </c>
      <c r="F198" s="127" t="n">
        <f aca="false">VLOOKUP($B198,$C$6:$Z$17,F$22+1)</f>
        <v>1.1898</v>
      </c>
      <c r="G198" s="127" t="n">
        <f aca="false">VLOOKUP($B198,$C$6:$Z$17,G$22+1)</f>
        <v>1.1862</v>
      </c>
      <c r="H198" s="127" t="n">
        <f aca="false">VLOOKUP($B198,$C$6:$Z$17,H$22+1)</f>
        <v>0</v>
      </c>
      <c r="I198" s="127" t="n">
        <f aca="false">VLOOKUP($B198,$C$6:$Z$17,I$22+1)</f>
        <v>0</v>
      </c>
      <c r="J198" s="127" t="n">
        <f aca="false">VLOOKUP($B198,$C$6:$Z$17,J$22+1)</f>
        <v>0</v>
      </c>
      <c r="K198" s="127" t="n">
        <f aca="false">VLOOKUP($B198,$C$6:$Z$17,K$22+1)</f>
        <v>0</v>
      </c>
      <c r="L198" s="127" t="n">
        <f aca="false">VLOOKUP($B198,$C$6:$Z$17,L$22+1)</f>
        <v>0</v>
      </c>
      <c r="M198" s="127" t="n">
        <f aca="false">VLOOKUP($B198,$C$6:$Z$17,M$22+1)</f>
        <v>0</v>
      </c>
      <c r="N198" s="127" t="n">
        <f aca="false">VLOOKUP($B198,$C$6:$Z$17,N$22+1)</f>
        <v>0</v>
      </c>
      <c r="O198" s="127" t="n">
        <f aca="false">VLOOKUP($B198,$C$6:$Z$17,O$22+1)</f>
        <v>0</v>
      </c>
      <c r="P198" s="127" t="n">
        <f aca="false">VLOOKUP($B198,$C$6:$Z$17,P$22+1)</f>
        <v>1.2719</v>
      </c>
      <c r="Q198" s="127" t="n">
        <f aca="false">VLOOKUP($B198,$C$6:$Z$17,Q$22+1)</f>
        <v>1.217</v>
      </c>
      <c r="R198" s="127" t="n">
        <f aca="false">VLOOKUP($B198,$C$6:$Z$17,R$22+1)</f>
        <v>0</v>
      </c>
      <c r="S198" s="127" t="n">
        <f aca="false">VLOOKUP($B198,$C$6:$Z$17,S$22+1)</f>
        <v>0</v>
      </c>
      <c r="T198" s="127" t="n">
        <f aca="false">VLOOKUP($B198,$C$6:$Z$17,T$22+1)</f>
        <v>0</v>
      </c>
      <c r="U198" s="127" t="n">
        <f aca="false">VLOOKUP($B198,$C$6:$AB$17,T$22+3)-SUM(E198:T198)</f>
        <v>0</v>
      </c>
      <c r="W198" s="128" t="n">
        <f aca="false">$D198*E198</f>
        <v>0</v>
      </c>
      <c r="X198" s="128" t="n">
        <f aca="false">$D198*F198</f>
        <v>35.7534909077454</v>
      </c>
      <c r="Y198" s="128" t="n">
        <f aca="false">$D198*G198</f>
        <v>35.6453109049988</v>
      </c>
      <c r="Z198" s="128" t="n">
        <f aca="false">$D198*H198</f>
        <v>0</v>
      </c>
      <c r="AA198" s="128" t="n">
        <f aca="false">$D198*I198</f>
        <v>0</v>
      </c>
      <c r="AB198" s="128" t="n">
        <f aca="false">$D198*J198</f>
        <v>0</v>
      </c>
      <c r="AC198" s="128" t="n">
        <f aca="false">$D198*K198</f>
        <v>0</v>
      </c>
      <c r="AD198" s="128" t="n">
        <f aca="false">$D198*L198</f>
        <v>0</v>
      </c>
      <c r="AE198" s="128" t="n">
        <f aca="false">$D198*M198</f>
        <v>0</v>
      </c>
      <c r="AF198" s="128" t="n">
        <f aca="false">$D198*N198</f>
        <v>0</v>
      </c>
      <c r="AG198" s="128" t="n">
        <f aca="false">$D198*O198</f>
        <v>0</v>
      </c>
      <c r="AH198" s="128" t="n">
        <f aca="false">$D198*P198</f>
        <v>38.2205959703827</v>
      </c>
      <c r="AI198" s="128" t="n">
        <f aca="false">$D198*Q198</f>
        <v>36.5708509284973</v>
      </c>
      <c r="AJ198" s="128" t="n">
        <f aca="false">$D198*R198</f>
        <v>0</v>
      </c>
      <c r="AK198" s="128" t="n">
        <f aca="false">$D198*S198</f>
        <v>0</v>
      </c>
      <c r="AL198" s="128" t="n">
        <f aca="false">$D198*T198</f>
        <v>0</v>
      </c>
      <c r="AN198" s="129" t="n">
        <f aca="false">SUM(W198:AL198)/4</f>
        <v>36.547562177906</v>
      </c>
      <c r="AO198" s="130" t="n">
        <f aca="false">D198</f>
        <v>30.0500007629395</v>
      </c>
    </row>
    <row r="199" customFormat="false" ht="16.5" hidden="false" customHeight="false" outlineLevel="0" collapsed="false">
      <c r="B199" s="116" t="n">
        <f aca="false">MONTH(C199)</f>
        <v>4</v>
      </c>
      <c r="C199" s="125" t="n">
        <f aca="false">PJM_01212000!A183</f>
        <v>41000</v>
      </c>
      <c r="D199" s="126" t="n">
        <f aca="false">PJM_01212000!C183</f>
        <v>29.8250007629395</v>
      </c>
      <c r="E199" s="127" t="n">
        <f aca="false">VLOOKUP($B199,$C$6:$Z$17,E$22+1)</f>
        <v>1.1232726508202</v>
      </c>
      <c r="F199" s="127" t="n">
        <f aca="false">VLOOKUP($B199,$C$6:$Z$17,F$22+1)</f>
        <v>1.14131544612562</v>
      </c>
      <c r="G199" s="127" t="n">
        <f aca="false">VLOOKUP($B199,$C$6:$Z$17,G$22+1)</f>
        <v>0</v>
      </c>
      <c r="H199" s="127" t="n">
        <f aca="false">VLOOKUP($B199,$C$6:$Z$17,H$22+1)</f>
        <v>0</v>
      </c>
      <c r="I199" s="127" t="n">
        <f aca="false">VLOOKUP($B199,$C$6:$Z$17,I$22+1)</f>
        <v>1.11852454679246</v>
      </c>
      <c r="J199" s="127" t="n">
        <f aca="false">VLOOKUP($B199,$C$6:$Z$17,J$22+1)</f>
        <v>0</v>
      </c>
      <c r="K199" s="127" t="n">
        <f aca="false">VLOOKUP($B199,$C$6:$Z$17,K$22+1)</f>
        <v>0</v>
      </c>
      <c r="L199" s="127" t="n">
        <f aca="false">VLOOKUP($B199,$C$6:$Z$17,L$22+1)</f>
        <v>0</v>
      </c>
      <c r="M199" s="127" t="n">
        <f aca="false">VLOOKUP($B199,$C$6:$Z$17,M$22+1)</f>
        <v>0</v>
      </c>
      <c r="N199" s="127" t="n">
        <f aca="false">VLOOKUP($B199,$C$6:$Z$17,N$22+1)</f>
        <v>0</v>
      </c>
      <c r="O199" s="127" t="n">
        <f aca="false">VLOOKUP($B199,$C$6:$Z$17,O$22+1)</f>
        <v>0</v>
      </c>
      <c r="P199" s="127" t="n">
        <f aca="false">VLOOKUP($B199,$C$6:$Z$17,P$22+1)</f>
        <v>0</v>
      </c>
      <c r="Q199" s="127" t="n">
        <f aca="false">VLOOKUP($B199,$C$6:$Z$17,Q$22+1)</f>
        <v>0</v>
      </c>
      <c r="R199" s="127" t="n">
        <f aca="false">VLOOKUP($B199,$C$6:$Z$17,R$22+1)</f>
        <v>1.15433651784915</v>
      </c>
      <c r="S199" s="127" t="n">
        <f aca="false">VLOOKUP($B199,$C$6:$Z$17,S$22+1)</f>
        <v>0</v>
      </c>
      <c r="T199" s="127" t="n">
        <f aca="false">VLOOKUP($B199,$C$6:$Z$17,T$22+1)</f>
        <v>0</v>
      </c>
      <c r="U199" s="127" t="n">
        <f aca="false">VLOOKUP($B199,$C$6:$AB$17,T$22+3)-SUM(E199:T199)</f>
        <v>0</v>
      </c>
      <c r="W199" s="128" t="n">
        <f aca="false">$D199*E199</f>
        <v>33.5016076677016</v>
      </c>
      <c r="X199" s="128" t="n">
        <f aca="false">$D199*F199</f>
        <v>34.0397340514511</v>
      </c>
      <c r="Y199" s="128" t="n">
        <f aca="false">$D199*G199</f>
        <v>0</v>
      </c>
      <c r="Z199" s="128" t="n">
        <f aca="false">$D199*H199</f>
        <v>0</v>
      </c>
      <c r="AA199" s="128" t="n">
        <f aca="false">$D199*I199</f>
        <v>33.3599954614518</v>
      </c>
      <c r="AB199" s="128" t="n">
        <f aca="false">$D199*J199</f>
        <v>0</v>
      </c>
      <c r="AC199" s="128" t="n">
        <f aca="false">$D199*K199</f>
        <v>0</v>
      </c>
      <c r="AD199" s="128" t="n">
        <f aca="false">$D199*L199</f>
        <v>0</v>
      </c>
      <c r="AE199" s="128" t="n">
        <f aca="false">$D199*M199</f>
        <v>0</v>
      </c>
      <c r="AF199" s="128" t="n">
        <f aca="false">$D199*N199</f>
        <v>0</v>
      </c>
      <c r="AG199" s="128" t="n">
        <f aca="false">$D199*O199</f>
        <v>0</v>
      </c>
      <c r="AH199" s="128" t="n">
        <f aca="false">$D199*P199</f>
        <v>0</v>
      </c>
      <c r="AI199" s="128" t="n">
        <f aca="false">$D199*Q199</f>
        <v>0</v>
      </c>
      <c r="AJ199" s="128" t="n">
        <f aca="false">$D199*R199</f>
        <v>34.4280875255397</v>
      </c>
      <c r="AK199" s="128" t="n">
        <f aca="false">$D199*S199</f>
        <v>0</v>
      </c>
      <c r="AL199" s="128" t="n">
        <f aca="false">$D199*T199</f>
        <v>0</v>
      </c>
      <c r="AN199" s="129" t="n">
        <f aca="false">SUM(W199:AL199)/4</f>
        <v>33.8323561765361</v>
      </c>
      <c r="AO199" s="130" t="n">
        <f aca="false">D199</f>
        <v>29.8250007629395</v>
      </c>
    </row>
    <row r="200" customFormat="false" ht="16.5" hidden="false" customHeight="false" outlineLevel="0" collapsed="false">
      <c r="B200" s="116" t="n">
        <f aca="false">MONTH(C200)</f>
        <v>5</v>
      </c>
      <c r="C200" s="125" t="n">
        <f aca="false">PJM_01212000!A184</f>
        <v>41030</v>
      </c>
      <c r="D200" s="126" t="n">
        <f aca="false">PJM_01212000!C184</f>
        <v>37.825</v>
      </c>
      <c r="E200" s="127" t="n">
        <f aca="false">VLOOKUP($B200,$C$6:$Z$17,E$22+1)</f>
        <v>0</v>
      </c>
      <c r="F200" s="127" t="n">
        <f aca="false">VLOOKUP($B200,$C$6:$Z$17,F$22+1)</f>
        <v>0</v>
      </c>
      <c r="G200" s="127" t="n">
        <f aca="false">VLOOKUP($B200,$C$6:$Z$17,G$22+1)</f>
        <v>1.06102662180267</v>
      </c>
      <c r="H200" s="127" t="n">
        <f aca="false">VLOOKUP($B200,$C$6:$Z$17,H$22+1)</f>
        <v>1.12549986193072</v>
      </c>
      <c r="I200" s="127" t="n">
        <f aca="false">VLOOKUP($B200,$C$6:$Z$17,I$22+1)</f>
        <v>1.11699070333514</v>
      </c>
      <c r="J200" s="127" t="n">
        <f aca="false">VLOOKUP($B200,$C$6:$Z$17,J$22+1)</f>
        <v>0</v>
      </c>
      <c r="K200" s="127" t="n">
        <f aca="false">VLOOKUP($B200,$C$6:$Z$17,K$22+1)</f>
        <v>0</v>
      </c>
      <c r="L200" s="127" t="n">
        <f aca="false">VLOOKUP($B200,$C$6:$Z$17,L$22+1)</f>
        <v>0</v>
      </c>
      <c r="M200" s="127" t="n">
        <f aca="false">VLOOKUP($B200,$C$6:$Z$17,M$22+1)</f>
        <v>0</v>
      </c>
      <c r="N200" s="127" t="n">
        <f aca="false">VLOOKUP($B200,$C$6:$Z$17,N$22+1)</f>
        <v>0</v>
      </c>
      <c r="O200" s="127" t="n">
        <f aca="false">VLOOKUP($B200,$C$6:$Z$17,O$22+1)</f>
        <v>0</v>
      </c>
      <c r="P200" s="127" t="n">
        <f aca="false">VLOOKUP($B200,$C$6:$Z$17,P$22+1)</f>
        <v>0</v>
      </c>
      <c r="Q200" s="127" t="n">
        <f aca="false">VLOOKUP($B200,$C$6:$Z$17,Q$22+1)</f>
        <v>0</v>
      </c>
      <c r="R200" s="127" t="n">
        <f aca="false">VLOOKUP($B200,$C$6:$Z$17,R$22+1)</f>
        <v>1.08769956124651</v>
      </c>
      <c r="S200" s="127" t="n">
        <f aca="false">VLOOKUP($B200,$C$6:$Z$17,S$22+1)</f>
        <v>0</v>
      </c>
      <c r="T200" s="127" t="n">
        <f aca="false">VLOOKUP($B200,$C$6:$Z$17,T$22+1)</f>
        <v>0</v>
      </c>
      <c r="U200" s="127" t="n">
        <f aca="false">VLOOKUP($B200,$C$6:$AB$17,T$22+3)-SUM(E200:T200)</f>
        <v>0</v>
      </c>
      <c r="W200" s="128" t="n">
        <f aca="false">$D200*E200</f>
        <v>0</v>
      </c>
      <c r="X200" s="128" t="n">
        <f aca="false">$D200*F200</f>
        <v>0</v>
      </c>
      <c r="Y200" s="128" t="n">
        <f aca="false">$D200*G200</f>
        <v>40.1333319696861</v>
      </c>
      <c r="Z200" s="128" t="n">
        <f aca="false">$D200*H200</f>
        <v>42.5720322775295</v>
      </c>
      <c r="AA200" s="128" t="n">
        <f aca="false">$D200*I200</f>
        <v>42.2501733536517</v>
      </c>
      <c r="AB200" s="128" t="n">
        <f aca="false">$D200*J200</f>
        <v>0</v>
      </c>
      <c r="AC200" s="128" t="n">
        <f aca="false">$D200*K200</f>
        <v>0</v>
      </c>
      <c r="AD200" s="128" t="n">
        <f aca="false">$D200*L200</f>
        <v>0</v>
      </c>
      <c r="AE200" s="128" t="n">
        <f aca="false">$D200*M200</f>
        <v>0</v>
      </c>
      <c r="AF200" s="128" t="n">
        <f aca="false">$D200*N200</f>
        <v>0</v>
      </c>
      <c r="AG200" s="128" t="n">
        <f aca="false">$D200*O200</f>
        <v>0</v>
      </c>
      <c r="AH200" s="128" t="n">
        <f aca="false">$D200*P200</f>
        <v>0</v>
      </c>
      <c r="AI200" s="128" t="n">
        <f aca="false">$D200*Q200</f>
        <v>0</v>
      </c>
      <c r="AJ200" s="128" t="n">
        <f aca="false">$D200*R200</f>
        <v>41.1422359041492</v>
      </c>
      <c r="AK200" s="128" t="n">
        <f aca="false">$D200*S200</f>
        <v>0</v>
      </c>
      <c r="AL200" s="128" t="n">
        <f aca="false">$D200*T200</f>
        <v>0</v>
      </c>
      <c r="AN200" s="129" t="n">
        <f aca="false">SUM(W200:AL200)/4</f>
        <v>41.5244433762541</v>
      </c>
      <c r="AO200" s="130" t="n">
        <f aca="false">D200</f>
        <v>37.825</v>
      </c>
    </row>
    <row r="201" customFormat="false" ht="16.5" hidden="false" customHeight="false" outlineLevel="0" collapsed="false">
      <c r="B201" s="116" t="n">
        <f aca="false">MONTH(C201)</f>
        <v>6</v>
      </c>
      <c r="C201" s="125" t="n">
        <f aca="false">PJM_01212000!A185</f>
        <v>41061</v>
      </c>
      <c r="D201" s="126" t="n">
        <f aca="false">PJM_01212000!C185</f>
        <v>63.8499984741211</v>
      </c>
      <c r="E201" s="127" t="n">
        <f aca="false">VLOOKUP($B201,$C$6:$Z$17,E$22+1)</f>
        <v>0</v>
      </c>
      <c r="F201" s="127" t="n">
        <f aca="false">VLOOKUP($B201,$C$6:$Z$17,F$22+1)</f>
        <v>0</v>
      </c>
      <c r="G201" s="127" t="n">
        <f aca="false">VLOOKUP($B201,$C$6:$Z$17,G$22+1)</f>
        <v>0</v>
      </c>
      <c r="H201" s="127" t="n">
        <f aca="false">VLOOKUP($B201,$C$6:$Z$17,H$22+1)</f>
        <v>0</v>
      </c>
      <c r="I201" s="127" t="n">
        <f aca="false">VLOOKUP($B201,$C$6:$Z$17,I$22+1)</f>
        <v>0</v>
      </c>
      <c r="J201" s="127" t="n">
        <f aca="false">VLOOKUP($B201,$C$6:$Z$17,J$22+1)</f>
        <v>0</v>
      </c>
      <c r="K201" s="127" t="n">
        <f aca="false">VLOOKUP($B201,$C$6:$Z$17,K$22+1)</f>
        <v>1.22092018621818</v>
      </c>
      <c r="L201" s="127" t="n">
        <f aca="false">VLOOKUP($B201,$C$6:$Z$17,L$22+1)</f>
        <v>1.23031497714214</v>
      </c>
      <c r="M201" s="127" t="n">
        <f aca="false">VLOOKUP($B201,$C$6:$Z$17,M$22+1)</f>
        <v>1.23232814662584</v>
      </c>
      <c r="N201" s="127" t="n">
        <f aca="false">VLOOKUP($B201,$C$6:$Z$17,N$22+1)</f>
        <v>1.25232563016399</v>
      </c>
      <c r="O201" s="127" t="n">
        <f aca="false">VLOOKUP($B201,$C$6:$Z$17,O$22+1)</f>
        <v>0</v>
      </c>
      <c r="P201" s="127" t="n">
        <f aca="false">VLOOKUP($B201,$C$6:$Z$17,P$22+1)</f>
        <v>0</v>
      </c>
      <c r="Q201" s="127" t="n">
        <f aca="false">VLOOKUP($B201,$C$6:$Z$17,Q$22+1)</f>
        <v>0</v>
      </c>
      <c r="R201" s="127" t="n">
        <f aca="false">VLOOKUP($B201,$C$6:$Z$17,R$22+1)</f>
        <v>0</v>
      </c>
      <c r="S201" s="127" t="n">
        <f aca="false">VLOOKUP($B201,$C$6:$Z$17,S$22+1)</f>
        <v>0</v>
      </c>
      <c r="T201" s="127" t="n">
        <f aca="false">VLOOKUP($B201,$C$6:$Z$17,T$22+1)</f>
        <v>0</v>
      </c>
      <c r="U201" s="127" t="n">
        <f aca="false">VLOOKUP($B201,$C$6:$AB$17,T$22+3)-SUM(E201:T201)</f>
        <v>0</v>
      </c>
      <c r="W201" s="128" t="n">
        <f aca="false">$D201*E201</f>
        <v>0</v>
      </c>
      <c r="X201" s="128" t="n">
        <f aca="false">$D201*F201</f>
        <v>0</v>
      </c>
      <c r="Y201" s="128" t="n">
        <f aca="false">$D201*G201</f>
        <v>0</v>
      </c>
      <c r="Z201" s="128" t="n">
        <f aca="false">$D201*H201</f>
        <v>0</v>
      </c>
      <c r="AA201" s="128" t="n">
        <f aca="false">$D201*I201</f>
        <v>0</v>
      </c>
      <c r="AB201" s="128" t="n">
        <f aca="false">$D201*J201</f>
        <v>0</v>
      </c>
      <c r="AC201" s="128" t="n">
        <f aca="false">$D201*K201</f>
        <v>77.9557520270543</v>
      </c>
      <c r="AD201" s="128" t="n">
        <f aca="false">$D201*L201</f>
        <v>78.5556094132139</v>
      </c>
      <c r="AE201" s="128" t="n">
        <f aca="false">$D201*M201</f>
        <v>78.6841502816766</v>
      </c>
      <c r="AF201" s="128" t="n">
        <f aca="false">$D201*N201</f>
        <v>79.9609895750735</v>
      </c>
      <c r="AG201" s="128" t="n">
        <f aca="false">$D201*O201</f>
        <v>0</v>
      </c>
      <c r="AH201" s="128" t="n">
        <f aca="false">$D201*P201</f>
        <v>0</v>
      </c>
      <c r="AI201" s="128" t="n">
        <f aca="false">$D201*Q201</f>
        <v>0</v>
      </c>
      <c r="AJ201" s="128" t="n">
        <f aca="false">$D201*R201</f>
        <v>0</v>
      </c>
      <c r="AK201" s="128" t="n">
        <f aca="false">$D201*S201</f>
        <v>0</v>
      </c>
      <c r="AL201" s="128" t="n">
        <f aca="false">$D201*T201</f>
        <v>0</v>
      </c>
      <c r="AN201" s="129" t="n">
        <f aca="false">SUM(W201:AL201)/4</f>
        <v>78.7891253242545</v>
      </c>
      <c r="AO201" s="130" t="n">
        <f aca="false">D201</f>
        <v>63.8499984741211</v>
      </c>
    </row>
    <row r="202" customFormat="false" ht="16.5" hidden="false" customHeight="false" outlineLevel="0" collapsed="false">
      <c r="B202" s="116" t="n">
        <f aca="false">MONTH(C202)</f>
        <v>7</v>
      </c>
      <c r="C202" s="125" t="n">
        <f aca="false">PJM_01212000!A186</f>
        <v>41091</v>
      </c>
      <c r="D202" s="126" t="n">
        <f aca="false">PJM_01212000!C186</f>
        <v>111.449996948242</v>
      </c>
      <c r="E202" s="127" t="n">
        <f aca="false">VLOOKUP($B202,$C$6:$Z$17,E$22+1)</f>
        <v>0</v>
      </c>
      <c r="F202" s="127" t="n">
        <f aca="false">VLOOKUP($B202,$C$6:$Z$17,F$22+1)</f>
        <v>0</v>
      </c>
      <c r="G202" s="127" t="n">
        <f aca="false">VLOOKUP($B202,$C$6:$Z$17,G$22+1)</f>
        <v>0</v>
      </c>
      <c r="H202" s="127" t="n">
        <f aca="false">VLOOKUP($B202,$C$6:$Z$17,H$22+1)</f>
        <v>0</v>
      </c>
      <c r="I202" s="127" t="n">
        <f aca="false">VLOOKUP($B202,$C$6:$Z$17,I$22+1)</f>
        <v>0</v>
      </c>
      <c r="J202" s="127" t="n">
        <f aca="false">VLOOKUP($B202,$C$6:$Z$17,J$22+1)</f>
        <v>0</v>
      </c>
      <c r="K202" s="127" t="n">
        <f aca="false">VLOOKUP($B202,$C$6:$Z$17,K$22+1)</f>
        <v>0</v>
      </c>
      <c r="L202" s="127" t="n">
        <f aca="false">VLOOKUP($B202,$C$6:$Z$17,L$22+1)</f>
        <v>1.2506946851613</v>
      </c>
      <c r="M202" s="127" t="n">
        <f aca="false">VLOOKUP($B202,$C$6:$Z$17,M$22+1)</f>
        <v>1.32734019400042</v>
      </c>
      <c r="N202" s="127" t="n">
        <f aca="false">VLOOKUP($B202,$C$6:$Z$17,N$22+1)</f>
        <v>1.35388881627921</v>
      </c>
      <c r="O202" s="127" t="n">
        <f aca="false">VLOOKUP($B202,$C$6:$Z$17,O$22+1)</f>
        <v>1.32033935867348</v>
      </c>
      <c r="P202" s="127" t="n">
        <f aca="false">VLOOKUP($B202,$C$6:$Z$17,P$22+1)</f>
        <v>0</v>
      </c>
      <c r="Q202" s="127" t="n">
        <f aca="false">VLOOKUP($B202,$C$6:$Z$17,Q$22+1)</f>
        <v>0</v>
      </c>
      <c r="R202" s="127" t="n">
        <f aca="false">VLOOKUP($B202,$C$6:$Z$17,R$22+1)</f>
        <v>0</v>
      </c>
      <c r="S202" s="127" t="n">
        <f aca="false">VLOOKUP($B202,$C$6:$Z$17,S$22+1)</f>
        <v>0</v>
      </c>
      <c r="T202" s="127" t="n">
        <f aca="false">VLOOKUP($B202,$C$6:$Z$17,T$22+1)</f>
        <v>0</v>
      </c>
      <c r="U202" s="127" t="n">
        <f aca="false">VLOOKUP($B202,$C$6:$AB$17,T$22+3)-SUM(E202:T202)</f>
        <v>0</v>
      </c>
      <c r="W202" s="128" t="n">
        <f aca="false">$D202*E202</f>
        <v>0</v>
      </c>
      <c r="X202" s="128" t="n">
        <f aca="false">$D202*F202</f>
        <v>0</v>
      </c>
      <c r="Y202" s="128" t="n">
        <f aca="false">$D202*G202</f>
        <v>0</v>
      </c>
      <c r="Z202" s="128" t="n">
        <f aca="false">$D202*H202</f>
        <v>0</v>
      </c>
      <c r="AA202" s="128" t="n">
        <f aca="false">$D202*I202</f>
        <v>0</v>
      </c>
      <c r="AB202" s="128" t="n">
        <f aca="false">$D202*J202</f>
        <v>0</v>
      </c>
      <c r="AC202" s="128" t="n">
        <f aca="false">$D202*K202</f>
        <v>0</v>
      </c>
      <c r="AD202" s="128" t="n">
        <f aca="false">$D202*L202</f>
        <v>139.389918844409</v>
      </c>
      <c r="AE202" s="128" t="n">
        <f aca="false">$D202*M202</f>
        <v>147.932060570626</v>
      </c>
      <c r="AF202" s="128" t="n">
        <f aca="false">$D202*N202</f>
        <v>150.890904442578</v>
      </c>
      <c r="AG202" s="128" t="n">
        <f aca="false">$D202*O202</f>
        <v>147.151817494803</v>
      </c>
      <c r="AH202" s="128" t="n">
        <f aca="false">$D202*P202</f>
        <v>0</v>
      </c>
      <c r="AI202" s="128" t="n">
        <f aca="false">$D202*Q202</f>
        <v>0</v>
      </c>
      <c r="AJ202" s="128" t="n">
        <f aca="false">$D202*R202</f>
        <v>0</v>
      </c>
      <c r="AK202" s="128" t="n">
        <f aca="false">$D202*S202</f>
        <v>0</v>
      </c>
      <c r="AL202" s="128" t="n">
        <f aca="false">$D202*T202</f>
        <v>0</v>
      </c>
      <c r="AN202" s="129" t="n">
        <f aca="false">SUM(W202:AL202)/4</f>
        <v>146.341175338104</v>
      </c>
      <c r="AO202" s="130" t="n">
        <f aca="false">D202</f>
        <v>111.449996948242</v>
      </c>
    </row>
    <row r="203" customFormat="false" ht="16.5" hidden="false" customHeight="false" outlineLevel="0" collapsed="false">
      <c r="B203" s="116" t="n">
        <f aca="false">MONTH(C203)</f>
        <v>8</v>
      </c>
      <c r="C203" s="125" t="n">
        <f aca="false">PJM_01212000!A187</f>
        <v>41122</v>
      </c>
      <c r="D203" s="126" t="n">
        <f aca="false">PJM_01212000!C187</f>
        <v>98.4499969482422</v>
      </c>
      <c r="E203" s="127" t="n">
        <f aca="false">VLOOKUP($B203,$C$6:$Z$17,E$22+1)</f>
        <v>0</v>
      </c>
      <c r="F203" s="127" t="n">
        <f aca="false">VLOOKUP($B203,$C$6:$Z$17,F$22+1)</f>
        <v>0</v>
      </c>
      <c r="G203" s="127" t="n">
        <f aca="false">VLOOKUP($B203,$C$6:$Z$17,G$22+1)</f>
        <v>0</v>
      </c>
      <c r="H203" s="127" t="n">
        <f aca="false">VLOOKUP($B203,$C$6:$Z$17,H$22+1)</f>
        <v>0</v>
      </c>
      <c r="I203" s="127" t="n">
        <f aca="false">VLOOKUP($B203,$C$6:$Z$17,I$22+1)</f>
        <v>0</v>
      </c>
      <c r="J203" s="127" t="n">
        <f aca="false">VLOOKUP($B203,$C$6:$Z$17,J$22+1)</f>
        <v>0</v>
      </c>
      <c r="K203" s="127" t="n">
        <f aca="false">VLOOKUP($B203,$C$6:$Z$17,K$22+1)</f>
        <v>1.19072909190695</v>
      </c>
      <c r="L203" s="127" t="n">
        <f aca="false">VLOOKUP($B203,$C$6:$Z$17,L$22+1)</f>
        <v>1.26057331025457</v>
      </c>
      <c r="M203" s="127" t="n">
        <f aca="false">VLOOKUP($B203,$C$6:$Z$17,M$22+1)</f>
        <v>1.24301093426774</v>
      </c>
      <c r="N203" s="127" t="n">
        <f aca="false">VLOOKUP($B203,$C$6:$Z$17,N$22+1)</f>
        <v>1.21504622788872</v>
      </c>
      <c r="O203" s="127" t="n">
        <f aca="false">VLOOKUP($B203,$C$6:$Z$17,O$22+1)</f>
        <v>0</v>
      </c>
      <c r="P203" s="127" t="n">
        <f aca="false">VLOOKUP($B203,$C$6:$Z$17,P$22+1)</f>
        <v>0</v>
      </c>
      <c r="Q203" s="127" t="n">
        <f aca="false">VLOOKUP($B203,$C$6:$Z$17,Q$22+1)</f>
        <v>0</v>
      </c>
      <c r="R203" s="127" t="n">
        <f aca="false">VLOOKUP($B203,$C$6:$Z$17,R$22+1)</f>
        <v>0</v>
      </c>
      <c r="S203" s="127" t="n">
        <f aca="false">VLOOKUP($B203,$C$6:$Z$17,S$22+1)</f>
        <v>0</v>
      </c>
      <c r="T203" s="127" t="n">
        <f aca="false">VLOOKUP($B203,$C$6:$Z$17,T$22+1)</f>
        <v>0</v>
      </c>
      <c r="U203" s="127" t="n">
        <f aca="false">VLOOKUP($B203,$C$6:$AB$17,T$22+3)-SUM(E203:T203)</f>
        <v>0</v>
      </c>
      <c r="W203" s="128" t="n">
        <f aca="false">$D203*E203</f>
        <v>0</v>
      </c>
      <c r="X203" s="128" t="n">
        <f aca="false">$D203*F203</f>
        <v>0</v>
      </c>
      <c r="Y203" s="128" t="n">
        <f aca="false">$D203*G203</f>
        <v>0</v>
      </c>
      <c r="Z203" s="128" t="n">
        <f aca="false">$D203*H203</f>
        <v>0</v>
      </c>
      <c r="AA203" s="128" t="n">
        <f aca="false">$D203*I203</f>
        <v>0</v>
      </c>
      <c r="AB203" s="128" t="n">
        <f aca="false">$D203*J203</f>
        <v>0</v>
      </c>
      <c r="AC203" s="128" t="n">
        <f aca="false">$D203*K203</f>
        <v>117.227275464423</v>
      </c>
      <c r="AD203" s="128" t="n">
        <f aca="false">$D203*L203</f>
        <v>124.103438547598</v>
      </c>
      <c r="AE203" s="128" t="n">
        <f aca="false">$D203*M203</f>
        <v>122.374422685291</v>
      </c>
      <c r="AF203" s="128" t="n">
        <f aca="false">$D203*N203</f>
        <v>119.621297427617</v>
      </c>
      <c r="AG203" s="128" t="n">
        <f aca="false">$D203*O203</f>
        <v>0</v>
      </c>
      <c r="AH203" s="128" t="n">
        <f aca="false">$D203*P203</f>
        <v>0</v>
      </c>
      <c r="AI203" s="128" t="n">
        <f aca="false">$D203*Q203</f>
        <v>0</v>
      </c>
      <c r="AJ203" s="128" t="n">
        <f aca="false">$D203*R203</f>
        <v>0</v>
      </c>
      <c r="AK203" s="128" t="n">
        <f aca="false">$D203*S203</f>
        <v>0</v>
      </c>
      <c r="AL203" s="128" t="n">
        <f aca="false">$D203*T203</f>
        <v>0</v>
      </c>
      <c r="AN203" s="129" t="n">
        <f aca="false">SUM(W203:AL203)/4</f>
        <v>120.831608531232</v>
      </c>
      <c r="AO203" s="130" t="n">
        <f aca="false">D203</f>
        <v>98.4499969482422</v>
      </c>
    </row>
    <row r="204" customFormat="false" ht="16.5" hidden="false" customHeight="false" outlineLevel="0" collapsed="false">
      <c r="B204" s="116" t="n">
        <f aca="false">MONTH(C204)</f>
        <v>9</v>
      </c>
      <c r="C204" s="125" t="n">
        <f aca="false">PJM_01212000!A188</f>
        <v>41153</v>
      </c>
      <c r="D204" s="126" t="n">
        <f aca="false">PJM_01212000!C188</f>
        <v>37.4249984741211</v>
      </c>
      <c r="E204" s="127" t="n">
        <f aca="false">VLOOKUP($B204,$C$6:$Z$17,E$22+1)</f>
        <v>0</v>
      </c>
      <c r="F204" s="127" t="n">
        <f aca="false">VLOOKUP($B204,$C$6:$Z$17,F$22+1)</f>
        <v>0</v>
      </c>
      <c r="G204" s="127" t="n">
        <f aca="false">VLOOKUP($B204,$C$6:$Z$17,G$22+1)</f>
        <v>0</v>
      </c>
      <c r="H204" s="127" t="n">
        <f aca="false">VLOOKUP($B204,$C$6:$Z$17,H$22+1)</f>
        <v>0</v>
      </c>
      <c r="I204" s="127" t="n">
        <f aca="false">VLOOKUP($B204,$C$6:$Z$17,I$22+1)</f>
        <v>0</v>
      </c>
      <c r="J204" s="127" t="n">
        <f aca="false">VLOOKUP($B204,$C$6:$Z$17,J$22+1)</f>
        <v>0</v>
      </c>
      <c r="K204" s="127" t="n">
        <f aca="false">VLOOKUP($B204,$C$6:$Z$17,K$22+1)</f>
        <v>0</v>
      </c>
      <c r="L204" s="127" t="n">
        <f aca="false">VLOOKUP($B204,$C$6:$Z$17,L$22+1)</f>
        <v>0</v>
      </c>
      <c r="M204" s="127" t="n">
        <f aca="false">VLOOKUP($B204,$C$6:$Z$17,M$22+1)</f>
        <v>0</v>
      </c>
      <c r="N204" s="127" t="n">
        <f aca="false">VLOOKUP($B204,$C$6:$Z$17,N$22+1)</f>
        <v>1.13452840898687</v>
      </c>
      <c r="O204" s="127" t="n">
        <f aca="false">VLOOKUP($B204,$C$6:$Z$17,O$22+1)</f>
        <v>1.1066962078626</v>
      </c>
      <c r="P204" s="127" t="n">
        <f aca="false">VLOOKUP($B204,$C$6:$Z$17,P$22+1)</f>
        <v>0</v>
      </c>
      <c r="Q204" s="127" t="n">
        <f aca="false">VLOOKUP($B204,$C$6:$Z$17,Q$22+1)</f>
        <v>1.18462637101057</v>
      </c>
      <c r="R204" s="127" t="n">
        <f aca="false">VLOOKUP($B204,$C$6:$Z$17,R$22+1)</f>
        <v>1.1944408840386</v>
      </c>
      <c r="S204" s="127" t="n">
        <f aca="false">VLOOKUP($B204,$C$6:$Z$17,S$22+1)</f>
        <v>0</v>
      </c>
      <c r="T204" s="127" t="n">
        <f aca="false">VLOOKUP($B204,$C$6:$Z$17,T$22+1)</f>
        <v>0</v>
      </c>
      <c r="U204" s="127" t="n">
        <f aca="false">VLOOKUP($B204,$C$6:$AB$17,T$22+3)-SUM(E204:T204)</f>
        <v>0</v>
      </c>
      <c r="W204" s="128" t="n">
        <f aca="false">$D204*E204</f>
        <v>0</v>
      </c>
      <c r="X204" s="128" t="n">
        <f aca="false">$D204*F204</f>
        <v>0</v>
      </c>
      <c r="Y204" s="128" t="n">
        <f aca="false">$D204*G204</f>
        <v>0</v>
      </c>
      <c r="Z204" s="128" t="n">
        <f aca="false">$D204*H204</f>
        <v>0</v>
      </c>
      <c r="AA204" s="128" t="n">
        <f aca="false">$D204*I204</f>
        <v>0</v>
      </c>
      <c r="AB204" s="128" t="n">
        <f aca="false">$D204*J204</f>
        <v>0</v>
      </c>
      <c r="AC204" s="128" t="n">
        <f aca="false">$D204*K204</f>
        <v>0</v>
      </c>
      <c r="AD204" s="128" t="n">
        <f aca="false">$D204*L204</f>
        <v>0</v>
      </c>
      <c r="AE204" s="128" t="n">
        <f aca="false">$D204*M204</f>
        <v>0</v>
      </c>
      <c r="AF204" s="128" t="n">
        <f aca="false">$D204*N204</f>
        <v>42.4597239751807</v>
      </c>
      <c r="AG204" s="128" t="n">
        <f aca="false">$D204*O204</f>
        <v>41.4181038905733</v>
      </c>
      <c r="AH204" s="128" t="n">
        <f aca="false">$D204*P204</f>
        <v>0</v>
      </c>
      <c r="AI204" s="128" t="n">
        <f aca="false">$D204*Q204</f>
        <v>44.334640127474</v>
      </c>
      <c r="AJ204" s="128" t="n">
        <f aca="false">$D204*R204</f>
        <v>44.7019482625724</v>
      </c>
      <c r="AK204" s="128" t="n">
        <f aca="false">$D204*S204</f>
        <v>0</v>
      </c>
      <c r="AL204" s="128" t="n">
        <f aca="false">$D204*T204</f>
        <v>0</v>
      </c>
      <c r="AN204" s="129" t="n">
        <f aca="false">SUM(W204:AL204)/4</f>
        <v>43.2286040639501</v>
      </c>
      <c r="AO204" s="130" t="n">
        <f aca="false">D204</f>
        <v>37.4249984741211</v>
      </c>
    </row>
    <row r="205" customFormat="false" ht="16.5" hidden="false" customHeight="false" outlineLevel="0" collapsed="false">
      <c r="B205" s="116" t="n">
        <f aca="false">MONTH(C205)</f>
        <v>10</v>
      </c>
      <c r="C205" s="125" t="n">
        <f aca="false">PJM_01212000!A189</f>
        <v>41183</v>
      </c>
      <c r="D205" s="126" t="n">
        <f aca="false">PJM_01212000!C189</f>
        <v>30.5750003814697</v>
      </c>
      <c r="E205" s="127" t="n">
        <f aca="false">VLOOKUP($B205,$C$6:$Z$17,E$22+1)</f>
        <v>0</v>
      </c>
      <c r="F205" s="127" t="n">
        <f aca="false">VLOOKUP($B205,$C$6:$Z$17,F$22+1)</f>
        <v>1.1326</v>
      </c>
      <c r="G205" s="127" t="n">
        <f aca="false">VLOOKUP($B205,$C$6:$Z$17,G$22+1)</f>
        <v>0</v>
      </c>
      <c r="H205" s="127" t="n">
        <f aca="false">VLOOKUP($B205,$C$6:$Z$17,H$22+1)</f>
        <v>0</v>
      </c>
      <c r="I205" s="127" t="n">
        <f aca="false">VLOOKUP($B205,$C$6:$Z$17,I$22+1)</f>
        <v>0</v>
      </c>
      <c r="J205" s="127" t="n">
        <f aca="false">VLOOKUP($B205,$C$6:$Z$17,J$22+1)</f>
        <v>0</v>
      </c>
      <c r="K205" s="127" t="n">
        <f aca="false">VLOOKUP($B205,$C$6:$Z$17,K$22+1)</f>
        <v>0</v>
      </c>
      <c r="L205" s="127" t="n">
        <f aca="false">VLOOKUP($B205,$C$6:$Z$17,L$22+1)</f>
        <v>0</v>
      </c>
      <c r="M205" s="127" t="n">
        <f aca="false">VLOOKUP($B205,$C$6:$Z$17,M$22+1)</f>
        <v>0</v>
      </c>
      <c r="N205" s="127" t="n">
        <f aca="false">VLOOKUP($B205,$C$6:$Z$17,N$22+1)</f>
        <v>0</v>
      </c>
      <c r="O205" s="127" t="n">
        <f aca="false">VLOOKUP($B205,$C$6:$Z$17,O$22+1)</f>
        <v>1.2001</v>
      </c>
      <c r="P205" s="127" t="n">
        <f aca="false">VLOOKUP($B205,$C$6:$Z$17,P$22+1)</f>
        <v>1.2095</v>
      </c>
      <c r="Q205" s="127" t="n">
        <f aca="false">VLOOKUP($B205,$C$6:$Z$17,Q$22+1)</f>
        <v>1.1567</v>
      </c>
      <c r="R205" s="127" t="n">
        <f aca="false">VLOOKUP($B205,$C$6:$Z$17,R$22+1)</f>
        <v>0</v>
      </c>
      <c r="S205" s="127" t="n">
        <f aca="false">VLOOKUP($B205,$C$6:$Z$17,S$22+1)</f>
        <v>0</v>
      </c>
      <c r="T205" s="127" t="n">
        <f aca="false">VLOOKUP($B205,$C$6:$Z$17,T$22+1)</f>
        <v>0</v>
      </c>
      <c r="U205" s="127" t="n">
        <f aca="false">VLOOKUP($B205,$C$6:$AB$17,T$22+3)-SUM(E205:T205)</f>
        <v>0</v>
      </c>
      <c r="W205" s="128" t="n">
        <f aca="false">$D205*E205</f>
        <v>0</v>
      </c>
      <c r="X205" s="128" t="n">
        <f aca="false">$D205*F205</f>
        <v>34.6292454320526</v>
      </c>
      <c r="Y205" s="128" t="n">
        <f aca="false">$D205*G205</f>
        <v>0</v>
      </c>
      <c r="Z205" s="128" t="n">
        <f aca="false">$D205*H205</f>
        <v>0</v>
      </c>
      <c r="AA205" s="128" t="n">
        <f aca="false">$D205*I205</f>
        <v>0</v>
      </c>
      <c r="AB205" s="128" t="n">
        <f aca="false">$D205*J205</f>
        <v>0</v>
      </c>
      <c r="AC205" s="128" t="n">
        <f aca="false">$D205*K205</f>
        <v>0</v>
      </c>
      <c r="AD205" s="128" t="n">
        <f aca="false">$D205*L205</f>
        <v>0</v>
      </c>
      <c r="AE205" s="128" t="n">
        <f aca="false">$D205*M205</f>
        <v>0</v>
      </c>
      <c r="AF205" s="128" t="n">
        <f aca="false">$D205*N205</f>
        <v>0</v>
      </c>
      <c r="AG205" s="128" t="n">
        <f aca="false">$D205*O205</f>
        <v>36.6930579578018</v>
      </c>
      <c r="AH205" s="128" t="n">
        <f aca="false">$D205*P205</f>
        <v>36.9804629613876</v>
      </c>
      <c r="AI205" s="128" t="n">
        <f aca="false">$D205*Q205</f>
        <v>35.366102941246</v>
      </c>
      <c r="AJ205" s="128" t="n">
        <f aca="false">$D205*R205</f>
        <v>0</v>
      </c>
      <c r="AK205" s="128" t="n">
        <f aca="false">$D205*S205</f>
        <v>0</v>
      </c>
      <c r="AL205" s="128" t="n">
        <f aca="false">$D205*T205</f>
        <v>0</v>
      </c>
      <c r="AN205" s="129" t="n">
        <f aca="false">SUM(W205:AL205)/4</f>
        <v>35.917217323122</v>
      </c>
      <c r="AO205" s="130" t="n">
        <f aca="false">D205</f>
        <v>30.5750003814697</v>
      </c>
    </row>
    <row r="206" customFormat="false" ht="16.5" hidden="false" customHeight="false" outlineLevel="0" collapsed="false">
      <c r="B206" s="116" t="n">
        <f aca="false">MONTH(C206)</f>
        <v>11</v>
      </c>
      <c r="C206" s="125" t="n">
        <f aca="false">PJM_01212000!A190</f>
        <v>41214</v>
      </c>
      <c r="D206" s="126" t="n">
        <f aca="false">PJM_01212000!C190</f>
        <v>30.2474990844727</v>
      </c>
      <c r="E206" s="127" t="n">
        <f aca="false">VLOOKUP($B206,$C$6:$Z$17,E$22+1)</f>
        <v>0</v>
      </c>
      <c r="F206" s="127" t="n">
        <f aca="false">VLOOKUP($B206,$C$6:$Z$17,F$22+1)</f>
        <v>1.1426</v>
      </c>
      <c r="G206" s="127" t="n">
        <f aca="false">VLOOKUP($B206,$C$6:$Z$17,G$22+1)</f>
        <v>0</v>
      </c>
      <c r="H206" s="127" t="n">
        <f aca="false">VLOOKUP($B206,$C$6:$Z$17,H$22+1)</f>
        <v>0</v>
      </c>
      <c r="I206" s="127" t="n">
        <f aca="false">VLOOKUP($B206,$C$6:$Z$17,I$22+1)</f>
        <v>0</v>
      </c>
      <c r="J206" s="127" t="n">
        <f aca="false">VLOOKUP($B206,$C$6:$Z$17,J$22+1)</f>
        <v>0</v>
      </c>
      <c r="K206" s="127" t="n">
        <f aca="false">VLOOKUP($B206,$C$6:$Z$17,K$22+1)</f>
        <v>0</v>
      </c>
      <c r="L206" s="127" t="n">
        <f aca="false">VLOOKUP($B206,$C$6:$Z$17,L$22+1)</f>
        <v>0</v>
      </c>
      <c r="M206" s="127" t="n">
        <f aca="false">VLOOKUP($B206,$C$6:$Z$17,M$22+1)</f>
        <v>0</v>
      </c>
      <c r="N206" s="127" t="n">
        <f aca="false">VLOOKUP($B206,$C$6:$Z$17,N$22+1)</f>
        <v>0</v>
      </c>
      <c r="O206" s="127" t="n">
        <f aca="false">VLOOKUP($B206,$C$6:$Z$17,O$22+1)</f>
        <v>1.2171</v>
      </c>
      <c r="P206" s="127" t="n">
        <f aca="false">VLOOKUP($B206,$C$6:$Z$17,P$22+1)</f>
        <v>1.2269</v>
      </c>
      <c r="Q206" s="127" t="n">
        <f aca="false">VLOOKUP($B206,$C$6:$Z$17,Q$22+1)</f>
        <v>1.1767</v>
      </c>
      <c r="R206" s="127" t="n">
        <f aca="false">VLOOKUP($B206,$C$6:$Z$17,R$22+1)</f>
        <v>0</v>
      </c>
      <c r="S206" s="127" t="n">
        <f aca="false">VLOOKUP($B206,$C$6:$Z$17,S$22+1)</f>
        <v>0</v>
      </c>
      <c r="T206" s="127" t="n">
        <f aca="false">VLOOKUP($B206,$C$6:$Z$17,T$22+1)</f>
        <v>0</v>
      </c>
      <c r="U206" s="127" t="n">
        <f aca="false">VLOOKUP($B206,$C$6:$AB$17,T$22+3)-SUM(E206:T206)</f>
        <v>0</v>
      </c>
      <c r="W206" s="128" t="n">
        <f aca="false">$D206*E206</f>
        <v>0</v>
      </c>
      <c r="X206" s="128" t="n">
        <f aca="false">$D206*F206</f>
        <v>34.5607924539185</v>
      </c>
      <c r="Y206" s="128" t="n">
        <f aca="false">$D206*G206</f>
        <v>0</v>
      </c>
      <c r="Z206" s="128" t="n">
        <f aca="false">$D206*H206</f>
        <v>0</v>
      </c>
      <c r="AA206" s="128" t="n">
        <f aca="false">$D206*I206</f>
        <v>0</v>
      </c>
      <c r="AB206" s="128" t="n">
        <f aca="false">$D206*J206</f>
        <v>0</v>
      </c>
      <c r="AC206" s="128" t="n">
        <f aca="false">$D206*K206</f>
        <v>0</v>
      </c>
      <c r="AD206" s="128" t="n">
        <f aca="false">$D206*L206</f>
        <v>0</v>
      </c>
      <c r="AE206" s="128" t="n">
        <f aca="false">$D206*M206</f>
        <v>0</v>
      </c>
      <c r="AF206" s="128" t="n">
        <f aca="false">$D206*N206</f>
        <v>0</v>
      </c>
      <c r="AG206" s="128" t="n">
        <f aca="false">$D206*O206</f>
        <v>36.8142311357117</v>
      </c>
      <c r="AH206" s="128" t="n">
        <f aca="false">$D206*P206</f>
        <v>37.1106566267395</v>
      </c>
      <c r="AI206" s="128" t="n">
        <f aca="false">$D206*Q206</f>
        <v>35.592232172699</v>
      </c>
      <c r="AJ206" s="128" t="n">
        <f aca="false">$D206*R206</f>
        <v>0</v>
      </c>
      <c r="AK206" s="128" t="n">
        <f aca="false">$D206*S206</f>
        <v>0</v>
      </c>
      <c r="AL206" s="128" t="n">
        <f aca="false">$D206*T206</f>
        <v>0</v>
      </c>
      <c r="AN206" s="129" t="n">
        <f aca="false">SUM(W206:AL206)/4</f>
        <v>36.0194780972672</v>
      </c>
      <c r="AO206" s="130" t="n">
        <f aca="false">D206</f>
        <v>30.2474990844727</v>
      </c>
    </row>
    <row r="207" customFormat="false" ht="16.5" hidden="false" customHeight="false" outlineLevel="0" collapsed="false">
      <c r="B207" s="116" t="n">
        <f aca="false">MONTH(C207)</f>
        <v>12</v>
      </c>
      <c r="C207" s="125" t="n">
        <f aca="false">PJM_01212000!A191</f>
        <v>41244</v>
      </c>
      <c r="D207" s="126" t="n">
        <f aca="false">PJM_01212000!C191</f>
        <v>31.9999996185303</v>
      </c>
      <c r="E207" s="127" t="n">
        <f aca="false">VLOOKUP($B207,$C$6:$Z$17,E$22+1)</f>
        <v>0</v>
      </c>
      <c r="F207" s="127" t="n">
        <f aca="false">VLOOKUP($B207,$C$6:$Z$17,F$22+1)</f>
        <v>1.1638</v>
      </c>
      <c r="G207" s="127" t="n">
        <f aca="false">VLOOKUP($B207,$C$6:$Z$17,G$22+1)</f>
        <v>0</v>
      </c>
      <c r="H207" s="127" t="n">
        <f aca="false">VLOOKUP($B207,$C$6:$Z$17,H$22+1)</f>
        <v>0</v>
      </c>
      <c r="I207" s="127" t="n">
        <f aca="false">VLOOKUP($B207,$C$6:$Z$17,I$22+1)</f>
        <v>0</v>
      </c>
      <c r="J207" s="127" t="n">
        <f aca="false">VLOOKUP($B207,$C$6:$Z$17,J$22+1)</f>
        <v>0</v>
      </c>
      <c r="K207" s="127" t="n">
        <f aca="false">VLOOKUP($B207,$C$6:$Z$17,K$22+1)</f>
        <v>0</v>
      </c>
      <c r="L207" s="127" t="n">
        <f aca="false">VLOOKUP($B207,$C$6:$Z$17,L$22+1)</f>
        <v>0</v>
      </c>
      <c r="M207" s="127" t="n">
        <f aca="false">VLOOKUP($B207,$C$6:$Z$17,M$22+1)</f>
        <v>0</v>
      </c>
      <c r="N207" s="127" t="n">
        <f aca="false">VLOOKUP($B207,$C$6:$Z$17,N$22+1)</f>
        <v>0</v>
      </c>
      <c r="O207" s="127" t="n">
        <f aca="false">VLOOKUP($B207,$C$6:$Z$17,O$22+1)</f>
        <v>1.23965925286319</v>
      </c>
      <c r="P207" s="127" t="n">
        <f aca="false">VLOOKUP($B207,$C$6:$Z$17,P$22+1)</f>
        <v>1.2314</v>
      </c>
      <c r="Q207" s="127" t="n">
        <f aca="false">VLOOKUP($B207,$C$6:$Z$17,Q$22+1)</f>
        <v>1.18899630831453</v>
      </c>
      <c r="R207" s="127" t="n">
        <f aca="false">VLOOKUP($B207,$C$6:$Z$17,R$22+1)</f>
        <v>0</v>
      </c>
      <c r="S207" s="127" t="n">
        <f aca="false">VLOOKUP($B207,$C$6:$Z$17,S$22+1)</f>
        <v>0</v>
      </c>
      <c r="T207" s="127" t="n">
        <f aca="false">VLOOKUP($B207,$C$6:$Z$17,T$22+1)</f>
        <v>0</v>
      </c>
      <c r="U207" s="127" t="n">
        <f aca="false">VLOOKUP($B207,$C$6:$AB$17,T$22+3)-SUM(E207:T207)</f>
        <v>0</v>
      </c>
      <c r="W207" s="128" t="n">
        <f aca="false">$D207*E207</f>
        <v>0</v>
      </c>
      <c r="X207" s="128" t="n">
        <f aca="false">$D207*F207</f>
        <v>37.2415995560455</v>
      </c>
      <c r="Y207" s="128" t="n">
        <f aca="false">$D207*G207</f>
        <v>0</v>
      </c>
      <c r="Z207" s="128" t="n">
        <f aca="false">$D207*H207</f>
        <v>0</v>
      </c>
      <c r="AA207" s="128" t="n">
        <f aca="false">$D207*I207</f>
        <v>0</v>
      </c>
      <c r="AB207" s="128" t="n">
        <f aca="false">$D207*J207</f>
        <v>0</v>
      </c>
      <c r="AC207" s="128" t="n">
        <f aca="false">$D207*K207</f>
        <v>0</v>
      </c>
      <c r="AD207" s="128" t="n">
        <f aca="false">$D207*L207</f>
        <v>0</v>
      </c>
      <c r="AE207" s="128" t="n">
        <f aca="false">$D207*M207</f>
        <v>0</v>
      </c>
      <c r="AF207" s="128" t="n">
        <f aca="false">$D207*N207</f>
        <v>0</v>
      </c>
      <c r="AG207" s="128" t="n">
        <f aca="false">$D207*O207</f>
        <v>39.6690956187296</v>
      </c>
      <c r="AH207" s="128" t="n">
        <f aca="false">$D207*P207</f>
        <v>39.4047995302582</v>
      </c>
      <c r="AI207" s="128" t="n">
        <f aca="false">$D207*Q207</f>
        <v>38.0478814124989</v>
      </c>
      <c r="AJ207" s="128" t="n">
        <f aca="false">$D207*R207</f>
        <v>0</v>
      </c>
      <c r="AK207" s="128" t="n">
        <f aca="false">$D207*S207</f>
        <v>0</v>
      </c>
      <c r="AL207" s="128" t="n">
        <f aca="false">$D207*T207</f>
        <v>0</v>
      </c>
      <c r="AN207" s="129" t="n">
        <f aca="false">SUM(W207:AL207)/4</f>
        <v>38.590844029383</v>
      </c>
      <c r="AO207" s="130" t="n">
        <f aca="false">D207</f>
        <v>31.9999996185303</v>
      </c>
    </row>
    <row r="208" customFormat="false" ht="16.5" hidden="false" customHeight="false" outlineLevel="0" collapsed="false">
      <c r="B208" s="116" t="n">
        <f aca="false">MONTH(C208)</f>
        <v>1</v>
      </c>
      <c r="C208" s="125" t="n">
        <f aca="false">PJM_01212000!A192</f>
        <v>41275</v>
      </c>
      <c r="D208" s="126" t="n">
        <f aca="false">PJM_01212000!C192</f>
        <v>40.5749984741211</v>
      </c>
      <c r="E208" s="127" t="n">
        <f aca="false">VLOOKUP($B208,$C$6:$Z$17,E$22+1)</f>
        <v>0</v>
      </c>
      <c r="F208" s="127" t="n">
        <f aca="false">VLOOKUP($B208,$C$6:$Z$17,F$22+1)</f>
        <v>1.19981175661928</v>
      </c>
      <c r="G208" s="127" t="n">
        <f aca="false">VLOOKUP($B208,$C$6:$Z$17,G$22+1)</f>
        <v>1.19616001156207</v>
      </c>
      <c r="H208" s="127" t="n">
        <f aca="false">VLOOKUP($B208,$C$6:$Z$17,H$22+1)</f>
        <v>0</v>
      </c>
      <c r="I208" s="127" t="n">
        <f aca="false">VLOOKUP($B208,$C$6:$Z$17,I$22+1)</f>
        <v>0</v>
      </c>
      <c r="J208" s="127" t="n">
        <f aca="false">VLOOKUP($B208,$C$6:$Z$17,J$22+1)</f>
        <v>0</v>
      </c>
      <c r="K208" s="127" t="n">
        <f aca="false">VLOOKUP($B208,$C$6:$Z$17,K$22+1)</f>
        <v>0</v>
      </c>
      <c r="L208" s="127" t="n">
        <f aca="false">VLOOKUP($B208,$C$6:$Z$17,L$22+1)</f>
        <v>0</v>
      </c>
      <c r="M208" s="127" t="n">
        <f aca="false">VLOOKUP($B208,$C$6:$Z$17,M$22+1)</f>
        <v>0</v>
      </c>
      <c r="N208" s="127" t="n">
        <f aca="false">VLOOKUP($B208,$C$6:$Z$17,N$22+1)</f>
        <v>0</v>
      </c>
      <c r="O208" s="127" t="n">
        <f aca="false">VLOOKUP($B208,$C$6:$Z$17,O$22+1)</f>
        <v>0</v>
      </c>
      <c r="P208" s="127" t="n">
        <f aca="false">VLOOKUP($B208,$C$6:$Z$17,P$22+1)</f>
        <v>1.28189922894351</v>
      </c>
      <c r="Q208" s="127" t="n">
        <f aca="false">VLOOKUP($B208,$C$6:$Z$17,Q$22+1)</f>
        <v>1.227</v>
      </c>
      <c r="R208" s="127" t="n">
        <f aca="false">VLOOKUP($B208,$C$6:$Z$17,R$22+1)</f>
        <v>0</v>
      </c>
      <c r="S208" s="127" t="n">
        <f aca="false">VLOOKUP($B208,$C$6:$Z$17,S$22+1)</f>
        <v>0</v>
      </c>
      <c r="T208" s="127" t="n">
        <f aca="false">VLOOKUP($B208,$C$6:$Z$17,T$22+1)</f>
        <v>0</v>
      </c>
      <c r="U208" s="127" t="n">
        <f aca="false">VLOOKUP($B208,$C$6:$AB$17,T$22+3)-SUM(E208:T208)</f>
        <v>0</v>
      </c>
      <c r="W208" s="128" t="n">
        <f aca="false">$D208*E208</f>
        <v>0</v>
      </c>
      <c r="X208" s="128" t="n">
        <f aca="false">$D208*F208</f>
        <v>48.6823601940599</v>
      </c>
      <c r="Y208" s="128" t="n">
        <f aca="false">$D208*G208</f>
        <v>48.5341906439357</v>
      </c>
      <c r="Z208" s="128" t="n">
        <f aca="false">$D208*H208</f>
        <v>0</v>
      </c>
      <c r="AA208" s="128" t="n">
        <f aca="false">$D208*I208</f>
        <v>0</v>
      </c>
      <c r="AB208" s="128" t="n">
        <f aca="false">$D208*J208</f>
        <v>0</v>
      </c>
      <c r="AC208" s="128" t="n">
        <f aca="false">$D208*K208</f>
        <v>0</v>
      </c>
      <c r="AD208" s="128" t="n">
        <f aca="false">$D208*L208</f>
        <v>0</v>
      </c>
      <c r="AE208" s="128" t="n">
        <f aca="false">$D208*M208</f>
        <v>0</v>
      </c>
      <c r="AF208" s="128" t="n">
        <f aca="false">$D208*N208</f>
        <v>0</v>
      </c>
      <c r="AG208" s="128" t="n">
        <f aca="false">$D208*O208</f>
        <v>0</v>
      </c>
      <c r="AH208" s="128" t="n">
        <f aca="false">$D208*P208</f>
        <v>52.01305925836</v>
      </c>
      <c r="AI208" s="128" t="n">
        <f aca="false">$D208*Q208</f>
        <v>49.7855231277466</v>
      </c>
      <c r="AJ208" s="128" t="n">
        <f aca="false">$D208*R208</f>
        <v>0</v>
      </c>
      <c r="AK208" s="128" t="n">
        <f aca="false">$D208*S208</f>
        <v>0</v>
      </c>
      <c r="AL208" s="128" t="n">
        <f aca="false">$D208*T208</f>
        <v>0</v>
      </c>
      <c r="AN208" s="129" t="n">
        <f aca="false">SUM(W208:AL208)/4</f>
        <v>49.7537833060256</v>
      </c>
      <c r="AO208" s="130" t="n">
        <f aca="false">D208</f>
        <v>40.5749984741211</v>
      </c>
    </row>
    <row r="209" customFormat="false" ht="16.5" hidden="false" customHeight="false" outlineLevel="0" collapsed="false">
      <c r="B209" s="116" t="n">
        <f aca="false">MONTH(C209)</f>
        <v>2</v>
      </c>
      <c r="C209" s="125" t="n">
        <f aca="false">PJM_01212000!A193</f>
        <v>41306</v>
      </c>
      <c r="D209" s="126" t="n">
        <f aca="false">PJM_01212000!C193</f>
        <v>40.5749984741211</v>
      </c>
      <c r="E209" s="127" t="n">
        <f aca="false">VLOOKUP($B209,$C$6:$Z$17,E$22+1)</f>
        <v>0</v>
      </c>
      <c r="F209" s="127" t="n">
        <f aca="false">VLOOKUP($B209,$C$6:$Z$17,F$22+1)</f>
        <v>1.19981175661928</v>
      </c>
      <c r="G209" s="127" t="n">
        <f aca="false">VLOOKUP($B209,$C$6:$Z$17,G$22+1)</f>
        <v>1.19616001156207</v>
      </c>
      <c r="H209" s="127" t="n">
        <f aca="false">VLOOKUP($B209,$C$6:$Z$17,H$22+1)</f>
        <v>0</v>
      </c>
      <c r="I209" s="127" t="n">
        <f aca="false">VLOOKUP($B209,$C$6:$Z$17,I$22+1)</f>
        <v>0</v>
      </c>
      <c r="J209" s="127" t="n">
        <f aca="false">VLOOKUP($B209,$C$6:$Z$17,J$22+1)</f>
        <v>0</v>
      </c>
      <c r="K209" s="127" t="n">
        <f aca="false">VLOOKUP($B209,$C$6:$Z$17,K$22+1)</f>
        <v>0</v>
      </c>
      <c r="L209" s="127" t="n">
        <f aca="false">VLOOKUP($B209,$C$6:$Z$17,L$22+1)</f>
        <v>0</v>
      </c>
      <c r="M209" s="127" t="n">
        <f aca="false">VLOOKUP($B209,$C$6:$Z$17,M$22+1)</f>
        <v>0</v>
      </c>
      <c r="N209" s="127" t="n">
        <f aca="false">VLOOKUP($B209,$C$6:$Z$17,N$22+1)</f>
        <v>0</v>
      </c>
      <c r="O209" s="127" t="n">
        <f aca="false">VLOOKUP($B209,$C$6:$Z$17,O$22+1)</f>
        <v>0</v>
      </c>
      <c r="P209" s="127" t="n">
        <f aca="false">VLOOKUP($B209,$C$6:$Z$17,P$22+1)</f>
        <v>1.28189922894351</v>
      </c>
      <c r="Q209" s="127" t="n">
        <f aca="false">VLOOKUP($B209,$C$6:$Z$17,Q$22+1)</f>
        <v>1.227</v>
      </c>
      <c r="R209" s="127" t="n">
        <f aca="false">VLOOKUP($B209,$C$6:$Z$17,R$22+1)</f>
        <v>0</v>
      </c>
      <c r="S209" s="127" t="n">
        <f aca="false">VLOOKUP($B209,$C$6:$Z$17,S$22+1)</f>
        <v>0</v>
      </c>
      <c r="T209" s="127" t="n">
        <f aca="false">VLOOKUP($B209,$C$6:$Z$17,T$22+1)</f>
        <v>0</v>
      </c>
      <c r="U209" s="127" t="n">
        <f aca="false">VLOOKUP($B209,$C$6:$AB$17,T$22+3)-SUM(E209:T209)</f>
        <v>0</v>
      </c>
      <c r="W209" s="128" t="n">
        <f aca="false">$D209*E209</f>
        <v>0</v>
      </c>
      <c r="X209" s="128" t="n">
        <f aca="false">$D209*F209</f>
        <v>48.6823601940599</v>
      </c>
      <c r="Y209" s="128" t="n">
        <f aca="false">$D209*G209</f>
        <v>48.5341906439357</v>
      </c>
      <c r="Z209" s="128" t="n">
        <f aca="false">$D209*H209</f>
        <v>0</v>
      </c>
      <c r="AA209" s="128" t="n">
        <f aca="false">$D209*I209</f>
        <v>0</v>
      </c>
      <c r="AB209" s="128" t="n">
        <f aca="false">$D209*J209</f>
        <v>0</v>
      </c>
      <c r="AC209" s="128" t="n">
        <f aca="false">$D209*K209</f>
        <v>0</v>
      </c>
      <c r="AD209" s="128" t="n">
        <f aca="false">$D209*L209</f>
        <v>0</v>
      </c>
      <c r="AE209" s="128" t="n">
        <f aca="false">$D209*M209</f>
        <v>0</v>
      </c>
      <c r="AF209" s="128" t="n">
        <f aca="false">$D209*N209</f>
        <v>0</v>
      </c>
      <c r="AG209" s="128" t="n">
        <f aca="false">$D209*O209</f>
        <v>0</v>
      </c>
      <c r="AH209" s="128" t="n">
        <f aca="false">$D209*P209</f>
        <v>52.01305925836</v>
      </c>
      <c r="AI209" s="128" t="n">
        <f aca="false">$D209*Q209</f>
        <v>49.7855231277466</v>
      </c>
      <c r="AJ209" s="128" t="n">
        <f aca="false">$D209*R209</f>
        <v>0</v>
      </c>
      <c r="AK209" s="128" t="n">
        <f aca="false">$D209*S209</f>
        <v>0</v>
      </c>
      <c r="AL209" s="128" t="n">
        <f aca="false">$D209*T209</f>
        <v>0</v>
      </c>
      <c r="AN209" s="129" t="n">
        <f aca="false">SUM(W209:AL209)/4</f>
        <v>49.7537833060256</v>
      </c>
      <c r="AO209" s="130" t="n">
        <f aca="false">D209</f>
        <v>40.5749984741211</v>
      </c>
    </row>
    <row r="210" customFormat="false" ht="16.5" hidden="false" customHeight="false" outlineLevel="0" collapsed="false">
      <c r="B210" s="116" t="n">
        <f aca="false">MONTH(C210)</f>
        <v>3</v>
      </c>
      <c r="C210" s="125" t="n">
        <f aca="false">PJM_01212000!A194</f>
        <v>41334</v>
      </c>
      <c r="D210" s="126" t="n">
        <f aca="false">PJM_01212000!C194</f>
        <v>30.3000007629395</v>
      </c>
      <c r="E210" s="127" t="n">
        <f aca="false">VLOOKUP($B210,$C$6:$Z$17,E$22+1)</f>
        <v>0</v>
      </c>
      <c r="F210" s="127" t="n">
        <f aca="false">VLOOKUP($B210,$C$6:$Z$17,F$22+1)</f>
        <v>1.1898</v>
      </c>
      <c r="G210" s="127" t="n">
        <f aca="false">VLOOKUP($B210,$C$6:$Z$17,G$22+1)</f>
        <v>1.1862</v>
      </c>
      <c r="H210" s="127" t="n">
        <f aca="false">VLOOKUP($B210,$C$6:$Z$17,H$22+1)</f>
        <v>0</v>
      </c>
      <c r="I210" s="127" t="n">
        <f aca="false">VLOOKUP($B210,$C$6:$Z$17,I$22+1)</f>
        <v>0</v>
      </c>
      <c r="J210" s="127" t="n">
        <f aca="false">VLOOKUP($B210,$C$6:$Z$17,J$22+1)</f>
        <v>0</v>
      </c>
      <c r="K210" s="127" t="n">
        <f aca="false">VLOOKUP($B210,$C$6:$Z$17,K$22+1)</f>
        <v>0</v>
      </c>
      <c r="L210" s="127" t="n">
        <f aca="false">VLOOKUP($B210,$C$6:$Z$17,L$22+1)</f>
        <v>0</v>
      </c>
      <c r="M210" s="127" t="n">
        <f aca="false">VLOOKUP($B210,$C$6:$Z$17,M$22+1)</f>
        <v>0</v>
      </c>
      <c r="N210" s="127" t="n">
        <f aca="false">VLOOKUP($B210,$C$6:$Z$17,N$22+1)</f>
        <v>0</v>
      </c>
      <c r="O210" s="127" t="n">
        <f aca="false">VLOOKUP($B210,$C$6:$Z$17,O$22+1)</f>
        <v>0</v>
      </c>
      <c r="P210" s="127" t="n">
        <f aca="false">VLOOKUP($B210,$C$6:$Z$17,P$22+1)</f>
        <v>1.2719</v>
      </c>
      <c r="Q210" s="127" t="n">
        <f aca="false">VLOOKUP($B210,$C$6:$Z$17,Q$22+1)</f>
        <v>1.217</v>
      </c>
      <c r="R210" s="127" t="n">
        <f aca="false">VLOOKUP($B210,$C$6:$Z$17,R$22+1)</f>
        <v>0</v>
      </c>
      <c r="S210" s="127" t="n">
        <f aca="false">VLOOKUP($B210,$C$6:$Z$17,S$22+1)</f>
        <v>0</v>
      </c>
      <c r="T210" s="127" t="n">
        <f aca="false">VLOOKUP($B210,$C$6:$Z$17,T$22+1)</f>
        <v>0</v>
      </c>
      <c r="U210" s="127" t="n">
        <f aca="false">VLOOKUP($B210,$C$6:$AB$17,T$22+3)-SUM(E210:T210)</f>
        <v>0</v>
      </c>
      <c r="W210" s="128" t="n">
        <f aca="false">$D210*E210</f>
        <v>0</v>
      </c>
      <c r="X210" s="128" t="n">
        <f aca="false">$D210*F210</f>
        <v>36.0509409077454</v>
      </c>
      <c r="Y210" s="128" t="n">
        <f aca="false">$D210*G210</f>
        <v>35.9418609049988</v>
      </c>
      <c r="Z210" s="128" t="n">
        <f aca="false">$D210*H210</f>
        <v>0</v>
      </c>
      <c r="AA210" s="128" t="n">
        <f aca="false">$D210*I210</f>
        <v>0</v>
      </c>
      <c r="AB210" s="128" t="n">
        <f aca="false">$D210*J210</f>
        <v>0</v>
      </c>
      <c r="AC210" s="128" t="n">
        <f aca="false">$D210*K210</f>
        <v>0</v>
      </c>
      <c r="AD210" s="128" t="n">
        <f aca="false">$D210*L210</f>
        <v>0</v>
      </c>
      <c r="AE210" s="128" t="n">
        <f aca="false">$D210*M210</f>
        <v>0</v>
      </c>
      <c r="AF210" s="128" t="n">
        <f aca="false">$D210*N210</f>
        <v>0</v>
      </c>
      <c r="AG210" s="128" t="n">
        <f aca="false">$D210*O210</f>
        <v>0</v>
      </c>
      <c r="AH210" s="128" t="n">
        <f aca="false">$D210*P210</f>
        <v>38.5385709703827</v>
      </c>
      <c r="AI210" s="128" t="n">
        <f aca="false">$D210*Q210</f>
        <v>36.8751009284973</v>
      </c>
      <c r="AJ210" s="128" t="n">
        <f aca="false">$D210*R210</f>
        <v>0</v>
      </c>
      <c r="AK210" s="128" t="n">
        <f aca="false">$D210*S210</f>
        <v>0</v>
      </c>
      <c r="AL210" s="128" t="n">
        <f aca="false">$D210*T210</f>
        <v>0</v>
      </c>
      <c r="AN210" s="129" t="n">
        <f aca="false">SUM(W210:AL210)/4</f>
        <v>36.851618427906</v>
      </c>
      <c r="AO210" s="130" t="n">
        <f aca="false">D210</f>
        <v>30.3000007629395</v>
      </c>
    </row>
    <row r="211" customFormat="false" ht="16.5" hidden="false" customHeight="false" outlineLevel="0" collapsed="false">
      <c r="B211" s="116" t="n">
        <f aca="false">MONTH(C211)</f>
        <v>4</v>
      </c>
      <c r="C211" s="125" t="n">
        <f aca="false">PJM_01212000!A195</f>
        <v>41365</v>
      </c>
      <c r="D211" s="126" t="n">
        <f aca="false">PJM_01212000!C195</f>
        <v>30.0750007629395</v>
      </c>
      <c r="E211" s="127" t="n">
        <f aca="false">VLOOKUP($B211,$C$6:$Z$17,E$22+1)</f>
        <v>1.1232726508202</v>
      </c>
      <c r="F211" s="127" t="n">
        <f aca="false">VLOOKUP($B211,$C$6:$Z$17,F$22+1)</f>
        <v>1.14131544612562</v>
      </c>
      <c r="G211" s="127" t="n">
        <f aca="false">VLOOKUP($B211,$C$6:$Z$17,G$22+1)</f>
        <v>0</v>
      </c>
      <c r="H211" s="127" t="n">
        <f aca="false">VLOOKUP($B211,$C$6:$Z$17,H$22+1)</f>
        <v>0</v>
      </c>
      <c r="I211" s="127" t="n">
        <f aca="false">VLOOKUP($B211,$C$6:$Z$17,I$22+1)</f>
        <v>1.11852454679246</v>
      </c>
      <c r="J211" s="127" t="n">
        <f aca="false">VLOOKUP($B211,$C$6:$Z$17,J$22+1)</f>
        <v>0</v>
      </c>
      <c r="K211" s="127" t="n">
        <f aca="false">VLOOKUP($B211,$C$6:$Z$17,K$22+1)</f>
        <v>0</v>
      </c>
      <c r="L211" s="127" t="n">
        <f aca="false">VLOOKUP($B211,$C$6:$Z$17,L$22+1)</f>
        <v>0</v>
      </c>
      <c r="M211" s="127" t="n">
        <f aca="false">VLOOKUP($B211,$C$6:$Z$17,M$22+1)</f>
        <v>0</v>
      </c>
      <c r="N211" s="127" t="n">
        <f aca="false">VLOOKUP($B211,$C$6:$Z$17,N$22+1)</f>
        <v>0</v>
      </c>
      <c r="O211" s="127" t="n">
        <f aca="false">VLOOKUP($B211,$C$6:$Z$17,O$22+1)</f>
        <v>0</v>
      </c>
      <c r="P211" s="127" t="n">
        <f aca="false">VLOOKUP($B211,$C$6:$Z$17,P$22+1)</f>
        <v>0</v>
      </c>
      <c r="Q211" s="127" t="n">
        <f aca="false">VLOOKUP($B211,$C$6:$Z$17,Q$22+1)</f>
        <v>0</v>
      </c>
      <c r="R211" s="127" t="n">
        <f aca="false">VLOOKUP($B211,$C$6:$Z$17,R$22+1)</f>
        <v>1.15433651784915</v>
      </c>
      <c r="S211" s="127" t="n">
        <f aca="false">VLOOKUP($B211,$C$6:$Z$17,S$22+1)</f>
        <v>0</v>
      </c>
      <c r="T211" s="127" t="n">
        <f aca="false">VLOOKUP($B211,$C$6:$Z$17,T$22+1)</f>
        <v>0</v>
      </c>
      <c r="U211" s="127" t="n">
        <f aca="false">VLOOKUP($B211,$C$6:$AB$17,T$22+3)-SUM(E211:T211)</f>
        <v>0</v>
      </c>
      <c r="W211" s="128" t="n">
        <f aca="false">$D211*E211</f>
        <v>33.7824258304067</v>
      </c>
      <c r="X211" s="128" t="n">
        <f aca="false">$D211*F211</f>
        <v>34.3250629129825</v>
      </c>
      <c r="Y211" s="128" t="n">
        <f aca="false">$D211*G211</f>
        <v>0</v>
      </c>
      <c r="Z211" s="128" t="n">
        <f aca="false">$D211*H211</f>
        <v>0</v>
      </c>
      <c r="AA211" s="128" t="n">
        <f aca="false">$D211*I211</f>
        <v>33.6396265981499</v>
      </c>
      <c r="AB211" s="128" t="n">
        <f aca="false">$D211*J211</f>
        <v>0</v>
      </c>
      <c r="AC211" s="128" t="n">
        <f aca="false">$D211*K211</f>
        <v>0</v>
      </c>
      <c r="AD211" s="128" t="n">
        <f aca="false">$D211*L211</f>
        <v>0</v>
      </c>
      <c r="AE211" s="128" t="n">
        <f aca="false">$D211*M211</f>
        <v>0</v>
      </c>
      <c r="AF211" s="128" t="n">
        <f aca="false">$D211*N211</f>
        <v>0</v>
      </c>
      <c r="AG211" s="128" t="n">
        <f aca="false">$D211*O211</f>
        <v>0</v>
      </c>
      <c r="AH211" s="128" t="n">
        <f aca="false">$D211*P211</f>
        <v>0</v>
      </c>
      <c r="AI211" s="128" t="n">
        <f aca="false">$D211*Q211</f>
        <v>0</v>
      </c>
      <c r="AJ211" s="128" t="n">
        <f aca="false">$D211*R211</f>
        <v>34.716671655002</v>
      </c>
      <c r="AK211" s="128" t="n">
        <f aca="false">$D211*S211</f>
        <v>0</v>
      </c>
      <c r="AL211" s="128" t="n">
        <f aca="false">$D211*T211</f>
        <v>0</v>
      </c>
      <c r="AN211" s="129" t="n">
        <f aca="false">SUM(W211:AL211)/4</f>
        <v>34.1159467491353</v>
      </c>
      <c r="AO211" s="130" t="n">
        <f aca="false">D211</f>
        <v>30.0750007629395</v>
      </c>
    </row>
    <row r="212" customFormat="false" ht="16.5" hidden="false" customHeight="false" outlineLevel="0" collapsed="false">
      <c r="B212" s="116" t="n">
        <f aca="false">MONTH(C212)</f>
        <v>5</v>
      </c>
      <c r="C212" s="125" t="n">
        <f aca="false">PJM_01212000!A196</f>
        <v>41395</v>
      </c>
      <c r="D212" s="126" t="n">
        <f aca="false">PJM_01212000!C196</f>
        <v>38.075</v>
      </c>
      <c r="E212" s="127" t="n">
        <f aca="false">VLOOKUP($B212,$C$6:$Z$17,E$22+1)</f>
        <v>0</v>
      </c>
      <c r="F212" s="127" t="n">
        <f aca="false">VLOOKUP($B212,$C$6:$Z$17,F$22+1)</f>
        <v>0</v>
      </c>
      <c r="G212" s="127" t="n">
        <f aca="false">VLOOKUP($B212,$C$6:$Z$17,G$22+1)</f>
        <v>1.06102662180267</v>
      </c>
      <c r="H212" s="127" t="n">
        <f aca="false">VLOOKUP($B212,$C$6:$Z$17,H$22+1)</f>
        <v>1.12549986193072</v>
      </c>
      <c r="I212" s="127" t="n">
        <f aca="false">VLOOKUP($B212,$C$6:$Z$17,I$22+1)</f>
        <v>1.11699070333514</v>
      </c>
      <c r="J212" s="127" t="n">
        <f aca="false">VLOOKUP($B212,$C$6:$Z$17,J$22+1)</f>
        <v>0</v>
      </c>
      <c r="K212" s="127" t="n">
        <f aca="false">VLOOKUP($B212,$C$6:$Z$17,K$22+1)</f>
        <v>0</v>
      </c>
      <c r="L212" s="127" t="n">
        <f aca="false">VLOOKUP($B212,$C$6:$Z$17,L$22+1)</f>
        <v>0</v>
      </c>
      <c r="M212" s="127" t="n">
        <f aca="false">VLOOKUP($B212,$C$6:$Z$17,M$22+1)</f>
        <v>0</v>
      </c>
      <c r="N212" s="127" t="n">
        <f aca="false">VLOOKUP($B212,$C$6:$Z$17,N$22+1)</f>
        <v>0</v>
      </c>
      <c r="O212" s="127" t="n">
        <f aca="false">VLOOKUP($B212,$C$6:$Z$17,O$22+1)</f>
        <v>0</v>
      </c>
      <c r="P212" s="127" t="n">
        <f aca="false">VLOOKUP($B212,$C$6:$Z$17,P$22+1)</f>
        <v>0</v>
      </c>
      <c r="Q212" s="127" t="n">
        <f aca="false">VLOOKUP($B212,$C$6:$Z$17,Q$22+1)</f>
        <v>0</v>
      </c>
      <c r="R212" s="127" t="n">
        <f aca="false">VLOOKUP($B212,$C$6:$Z$17,R$22+1)</f>
        <v>1.08769956124651</v>
      </c>
      <c r="S212" s="127" t="n">
        <f aca="false">VLOOKUP($B212,$C$6:$Z$17,S$22+1)</f>
        <v>0</v>
      </c>
      <c r="T212" s="127" t="n">
        <f aca="false">VLOOKUP($B212,$C$6:$Z$17,T$22+1)</f>
        <v>0</v>
      </c>
      <c r="U212" s="127" t="n">
        <f aca="false">VLOOKUP($B212,$C$6:$AB$17,T$22+3)-SUM(E212:T212)</f>
        <v>0</v>
      </c>
      <c r="W212" s="128" t="n">
        <f aca="false">$D212*E212</f>
        <v>0</v>
      </c>
      <c r="X212" s="128" t="n">
        <f aca="false">$D212*F212</f>
        <v>0</v>
      </c>
      <c r="Y212" s="128" t="n">
        <f aca="false">$D212*G212</f>
        <v>40.3985886251368</v>
      </c>
      <c r="Z212" s="128" t="n">
        <f aca="false">$D212*H212</f>
        <v>42.8534072430122</v>
      </c>
      <c r="AA212" s="128" t="n">
        <f aca="false">$D212*I212</f>
        <v>42.5294210294854</v>
      </c>
      <c r="AB212" s="128" t="n">
        <f aca="false">$D212*J212</f>
        <v>0</v>
      </c>
      <c r="AC212" s="128" t="n">
        <f aca="false">$D212*K212</f>
        <v>0</v>
      </c>
      <c r="AD212" s="128" t="n">
        <f aca="false">$D212*L212</f>
        <v>0</v>
      </c>
      <c r="AE212" s="128" t="n">
        <f aca="false">$D212*M212</f>
        <v>0</v>
      </c>
      <c r="AF212" s="128" t="n">
        <f aca="false">$D212*N212</f>
        <v>0</v>
      </c>
      <c r="AG212" s="128" t="n">
        <f aca="false">$D212*O212</f>
        <v>0</v>
      </c>
      <c r="AH212" s="128" t="n">
        <f aca="false">$D212*P212</f>
        <v>0</v>
      </c>
      <c r="AI212" s="128" t="n">
        <f aca="false">$D212*Q212</f>
        <v>0</v>
      </c>
      <c r="AJ212" s="128" t="n">
        <f aca="false">$D212*R212</f>
        <v>41.4141607944609</v>
      </c>
      <c r="AK212" s="128" t="n">
        <f aca="false">$D212*S212</f>
        <v>0</v>
      </c>
      <c r="AL212" s="128" t="n">
        <f aca="false">$D212*T212</f>
        <v>0</v>
      </c>
      <c r="AN212" s="129" t="n">
        <f aca="false">SUM(W212:AL212)/4</f>
        <v>41.7988944230238</v>
      </c>
      <c r="AO212" s="130" t="n">
        <f aca="false">D212</f>
        <v>38.075</v>
      </c>
    </row>
    <row r="213" customFormat="false" ht="16.5" hidden="false" customHeight="false" outlineLevel="0" collapsed="false">
      <c r="B213" s="116" t="n">
        <f aca="false">MONTH(C213)</f>
        <v>6</v>
      </c>
      <c r="C213" s="125" t="n">
        <f aca="false">PJM_01212000!A197</f>
        <v>41426</v>
      </c>
      <c r="D213" s="126" t="n">
        <f aca="false">PJM_01212000!C197</f>
        <v>64.5999984741211</v>
      </c>
      <c r="E213" s="127" t="n">
        <f aca="false">VLOOKUP($B213,$C$6:$Z$17,E$22+1)</f>
        <v>0</v>
      </c>
      <c r="F213" s="127" t="n">
        <f aca="false">VLOOKUP($B213,$C$6:$Z$17,F$22+1)</f>
        <v>0</v>
      </c>
      <c r="G213" s="127" t="n">
        <f aca="false">VLOOKUP($B213,$C$6:$Z$17,G$22+1)</f>
        <v>0</v>
      </c>
      <c r="H213" s="127" t="n">
        <f aca="false">VLOOKUP($B213,$C$6:$Z$17,H$22+1)</f>
        <v>0</v>
      </c>
      <c r="I213" s="127" t="n">
        <f aca="false">VLOOKUP($B213,$C$6:$Z$17,I$22+1)</f>
        <v>0</v>
      </c>
      <c r="J213" s="127" t="n">
        <f aca="false">VLOOKUP($B213,$C$6:$Z$17,J$22+1)</f>
        <v>0</v>
      </c>
      <c r="K213" s="127" t="n">
        <f aca="false">VLOOKUP($B213,$C$6:$Z$17,K$22+1)</f>
        <v>1.22092018621818</v>
      </c>
      <c r="L213" s="127" t="n">
        <f aca="false">VLOOKUP($B213,$C$6:$Z$17,L$22+1)</f>
        <v>1.23031497714214</v>
      </c>
      <c r="M213" s="127" t="n">
        <f aca="false">VLOOKUP($B213,$C$6:$Z$17,M$22+1)</f>
        <v>1.23232814662584</v>
      </c>
      <c r="N213" s="127" t="n">
        <f aca="false">VLOOKUP($B213,$C$6:$Z$17,N$22+1)</f>
        <v>1.25232563016399</v>
      </c>
      <c r="O213" s="127" t="n">
        <f aca="false">VLOOKUP($B213,$C$6:$Z$17,O$22+1)</f>
        <v>0</v>
      </c>
      <c r="P213" s="127" t="n">
        <f aca="false">VLOOKUP($B213,$C$6:$Z$17,P$22+1)</f>
        <v>0</v>
      </c>
      <c r="Q213" s="127" t="n">
        <f aca="false">VLOOKUP($B213,$C$6:$Z$17,Q$22+1)</f>
        <v>0</v>
      </c>
      <c r="R213" s="127" t="n">
        <f aca="false">VLOOKUP($B213,$C$6:$Z$17,R$22+1)</f>
        <v>0</v>
      </c>
      <c r="S213" s="127" t="n">
        <f aca="false">VLOOKUP($B213,$C$6:$Z$17,S$22+1)</f>
        <v>0</v>
      </c>
      <c r="T213" s="127" t="n">
        <f aca="false">VLOOKUP($B213,$C$6:$Z$17,T$22+1)</f>
        <v>0</v>
      </c>
      <c r="U213" s="127" t="n">
        <f aca="false">VLOOKUP($B213,$C$6:$AB$17,T$22+3)-SUM(E213:T213)</f>
        <v>0</v>
      </c>
      <c r="W213" s="128" t="n">
        <f aca="false">$D213*E213</f>
        <v>0</v>
      </c>
      <c r="X213" s="128" t="n">
        <f aca="false">$D213*F213</f>
        <v>0</v>
      </c>
      <c r="Y213" s="128" t="n">
        <f aca="false">$D213*G213</f>
        <v>0</v>
      </c>
      <c r="Z213" s="128" t="n">
        <f aca="false">$D213*H213</f>
        <v>0</v>
      </c>
      <c r="AA213" s="128" t="n">
        <f aca="false">$D213*I213</f>
        <v>0</v>
      </c>
      <c r="AB213" s="128" t="n">
        <f aca="false">$D213*J213</f>
        <v>0</v>
      </c>
      <c r="AC213" s="128" t="n">
        <f aca="false">$D213*K213</f>
        <v>78.8714421667179</v>
      </c>
      <c r="AD213" s="128" t="n">
        <f aca="false">$D213*L213</f>
        <v>79.4783456460705</v>
      </c>
      <c r="AE213" s="128" t="n">
        <f aca="false">$D213*M213</f>
        <v>79.608396391646</v>
      </c>
      <c r="AF213" s="128" t="n">
        <f aca="false">$D213*N213</f>
        <v>80.9002337976965</v>
      </c>
      <c r="AG213" s="128" t="n">
        <f aca="false">$D213*O213</f>
        <v>0</v>
      </c>
      <c r="AH213" s="128" t="n">
        <f aca="false">$D213*P213</f>
        <v>0</v>
      </c>
      <c r="AI213" s="128" t="n">
        <f aca="false">$D213*Q213</f>
        <v>0</v>
      </c>
      <c r="AJ213" s="128" t="n">
        <f aca="false">$D213*R213</f>
        <v>0</v>
      </c>
      <c r="AK213" s="128" t="n">
        <f aca="false">$D213*S213</f>
        <v>0</v>
      </c>
      <c r="AL213" s="128" t="n">
        <f aca="false">$D213*T213</f>
        <v>0</v>
      </c>
      <c r="AN213" s="129" t="n">
        <f aca="false">SUM(W213:AL213)/4</f>
        <v>79.7146045005327</v>
      </c>
      <c r="AO213" s="130" t="n">
        <f aca="false">D213</f>
        <v>64.5999984741211</v>
      </c>
    </row>
    <row r="214" customFormat="false" ht="16.5" hidden="false" customHeight="false" outlineLevel="0" collapsed="false">
      <c r="B214" s="116" t="n">
        <f aca="false">MONTH(C214)</f>
        <v>7</v>
      </c>
      <c r="C214" s="125" t="n">
        <f aca="false">PJM_01212000!A198</f>
        <v>41456</v>
      </c>
      <c r="D214" s="126" t="n">
        <f aca="false">PJM_01212000!C198</f>
        <v>113.699996948242</v>
      </c>
      <c r="E214" s="127" t="n">
        <f aca="false">VLOOKUP($B214,$C$6:$Z$17,E$22+1)</f>
        <v>0</v>
      </c>
      <c r="F214" s="127" t="n">
        <f aca="false">VLOOKUP($B214,$C$6:$Z$17,F$22+1)</f>
        <v>0</v>
      </c>
      <c r="G214" s="127" t="n">
        <f aca="false">VLOOKUP($B214,$C$6:$Z$17,G$22+1)</f>
        <v>0</v>
      </c>
      <c r="H214" s="127" t="n">
        <f aca="false">VLOOKUP($B214,$C$6:$Z$17,H$22+1)</f>
        <v>0</v>
      </c>
      <c r="I214" s="127" t="n">
        <f aca="false">VLOOKUP($B214,$C$6:$Z$17,I$22+1)</f>
        <v>0</v>
      </c>
      <c r="J214" s="127" t="n">
        <f aca="false">VLOOKUP($B214,$C$6:$Z$17,J$22+1)</f>
        <v>0</v>
      </c>
      <c r="K214" s="127" t="n">
        <f aca="false">VLOOKUP($B214,$C$6:$Z$17,K$22+1)</f>
        <v>0</v>
      </c>
      <c r="L214" s="127" t="n">
        <f aca="false">VLOOKUP($B214,$C$6:$Z$17,L$22+1)</f>
        <v>1.2506946851613</v>
      </c>
      <c r="M214" s="127" t="n">
        <f aca="false">VLOOKUP($B214,$C$6:$Z$17,M$22+1)</f>
        <v>1.32734019400042</v>
      </c>
      <c r="N214" s="127" t="n">
        <f aca="false">VLOOKUP($B214,$C$6:$Z$17,N$22+1)</f>
        <v>1.35388881627921</v>
      </c>
      <c r="O214" s="127" t="n">
        <f aca="false">VLOOKUP($B214,$C$6:$Z$17,O$22+1)</f>
        <v>1.32033935867348</v>
      </c>
      <c r="P214" s="127" t="n">
        <f aca="false">VLOOKUP($B214,$C$6:$Z$17,P$22+1)</f>
        <v>0</v>
      </c>
      <c r="Q214" s="127" t="n">
        <f aca="false">VLOOKUP($B214,$C$6:$Z$17,Q$22+1)</f>
        <v>0</v>
      </c>
      <c r="R214" s="127" t="n">
        <f aca="false">VLOOKUP($B214,$C$6:$Z$17,R$22+1)</f>
        <v>0</v>
      </c>
      <c r="S214" s="127" t="n">
        <f aca="false">VLOOKUP($B214,$C$6:$Z$17,S$22+1)</f>
        <v>0</v>
      </c>
      <c r="T214" s="127" t="n">
        <f aca="false">VLOOKUP($B214,$C$6:$Z$17,T$22+1)</f>
        <v>0</v>
      </c>
      <c r="U214" s="127" t="n">
        <f aca="false">VLOOKUP($B214,$C$6:$AB$17,T$22+3)-SUM(E214:T214)</f>
        <v>0</v>
      </c>
      <c r="W214" s="128" t="n">
        <f aca="false">$D214*E214</f>
        <v>0</v>
      </c>
      <c r="X214" s="128" t="n">
        <f aca="false">$D214*F214</f>
        <v>0</v>
      </c>
      <c r="Y214" s="128" t="n">
        <f aca="false">$D214*G214</f>
        <v>0</v>
      </c>
      <c r="Z214" s="128" t="n">
        <f aca="false">$D214*H214</f>
        <v>0</v>
      </c>
      <c r="AA214" s="128" t="n">
        <f aca="false">$D214*I214</f>
        <v>0</v>
      </c>
      <c r="AB214" s="128" t="n">
        <f aca="false">$D214*J214</f>
        <v>0</v>
      </c>
      <c r="AC214" s="128" t="n">
        <f aca="false">$D214*K214</f>
        <v>0</v>
      </c>
      <c r="AD214" s="128" t="n">
        <f aca="false">$D214*L214</f>
        <v>142.203981886022</v>
      </c>
      <c r="AE214" s="128" t="n">
        <f aca="false">$D214*M214</f>
        <v>150.918576007127</v>
      </c>
      <c r="AF214" s="128" t="n">
        <f aca="false">$D214*N214</f>
        <v>153.937154279206</v>
      </c>
      <c r="AG214" s="128" t="n">
        <f aca="false">$D214*O214</f>
        <v>150.122581051818</v>
      </c>
      <c r="AH214" s="128" t="n">
        <f aca="false">$D214*P214</f>
        <v>0</v>
      </c>
      <c r="AI214" s="128" t="n">
        <f aca="false">$D214*Q214</f>
        <v>0</v>
      </c>
      <c r="AJ214" s="128" t="n">
        <f aca="false">$D214*R214</f>
        <v>0</v>
      </c>
      <c r="AK214" s="128" t="n">
        <f aca="false">$D214*S214</f>
        <v>0</v>
      </c>
      <c r="AL214" s="128" t="n">
        <f aca="false">$D214*T214</f>
        <v>0</v>
      </c>
      <c r="AN214" s="129" t="n">
        <f aca="false">SUM(W214:AL214)/4</f>
        <v>149.295573306043</v>
      </c>
      <c r="AO214" s="130" t="n">
        <f aca="false">D214</f>
        <v>113.699996948242</v>
      </c>
    </row>
    <row r="215" customFormat="false" ht="16.5" hidden="false" customHeight="false" outlineLevel="0" collapsed="false">
      <c r="B215" s="116" t="n">
        <f aca="false">MONTH(C215)</f>
        <v>8</v>
      </c>
      <c r="C215" s="125" t="n">
        <f aca="false">PJM_01212000!A199</f>
        <v>41487</v>
      </c>
      <c r="D215" s="126" t="n">
        <f aca="false">PJM_01212000!C199</f>
        <v>100.699996948242</v>
      </c>
      <c r="E215" s="127" t="n">
        <f aca="false">VLOOKUP($B215,$C$6:$Z$17,E$22+1)</f>
        <v>0</v>
      </c>
      <c r="F215" s="127" t="n">
        <f aca="false">VLOOKUP($B215,$C$6:$Z$17,F$22+1)</f>
        <v>0</v>
      </c>
      <c r="G215" s="127" t="n">
        <f aca="false">VLOOKUP($B215,$C$6:$Z$17,G$22+1)</f>
        <v>0</v>
      </c>
      <c r="H215" s="127" t="n">
        <f aca="false">VLOOKUP($B215,$C$6:$Z$17,H$22+1)</f>
        <v>0</v>
      </c>
      <c r="I215" s="127" t="n">
        <f aca="false">VLOOKUP($B215,$C$6:$Z$17,I$22+1)</f>
        <v>0</v>
      </c>
      <c r="J215" s="127" t="n">
        <f aca="false">VLOOKUP($B215,$C$6:$Z$17,J$22+1)</f>
        <v>0</v>
      </c>
      <c r="K215" s="127" t="n">
        <f aca="false">VLOOKUP($B215,$C$6:$Z$17,K$22+1)</f>
        <v>1.19072909190695</v>
      </c>
      <c r="L215" s="127" t="n">
        <f aca="false">VLOOKUP($B215,$C$6:$Z$17,L$22+1)</f>
        <v>1.26057331025457</v>
      </c>
      <c r="M215" s="127" t="n">
        <f aca="false">VLOOKUP($B215,$C$6:$Z$17,M$22+1)</f>
        <v>1.24301093426774</v>
      </c>
      <c r="N215" s="127" t="n">
        <f aca="false">VLOOKUP($B215,$C$6:$Z$17,N$22+1)</f>
        <v>1.21504622788872</v>
      </c>
      <c r="O215" s="127" t="n">
        <f aca="false">VLOOKUP($B215,$C$6:$Z$17,O$22+1)</f>
        <v>0</v>
      </c>
      <c r="P215" s="127" t="n">
        <f aca="false">VLOOKUP($B215,$C$6:$Z$17,P$22+1)</f>
        <v>0</v>
      </c>
      <c r="Q215" s="127" t="n">
        <f aca="false">VLOOKUP($B215,$C$6:$Z$17,Q$22+1)</f>
        <v>0</v>
      </c>
      <c r="R215" s="127" t="n">
        <f aca="false">VLOOKUP($B215,$C$6:$Z$17,R$22+1)</f>
        <v>0</v>
      </c>
      <c r="S215" s="127" t="n">
        <f aca="false">VLOOKUP($B215,$C$6:$Z$17,S$22+1)</f>
        <v>0</v>
      </c>
      <c r="T215" s="127" t="n">
        <f aca="false">VLOOKUP($B215,$C$6:$Z$17,T$22+1)</f>
        <v>0</v>
      </c>
      <c r="U215" s="127" t="n">
        <f aca="false">VLOOKUP($B215,$C$6:$AB$17,T$22+3)-SUM(E215:T215)</f>
        <v>0</v>
      </c>
      <c r="W215" s="128" t="n">
        <f aca="false">$D215*E215</f>
        <v>0</v>
      </c>
      <c r="X215" s="128" t="n">
        <f aca="false">$D215*F215</f>
        <v>0</v>
      </c>
      <c r="Y215" s="128" t="n">
        <f aca="false">$D215*G215</f>
        <v>0</v>
      </c>
      <c r="Z215" s="128" t="n">
        <f aca="false">$D215*H215</f>
        <v>0</v>
      </c>
      <c r="AA215" s="128" t="n">
        <f aca="false">$D215*I215</f>
        <v>0</v>
      </c>
      <c r="AB215" s="128" t="n">
        <f aca="false">$D215*J215</f>
        <v>0</v>
      </c>
      <c r="AC215" s="128" t="n">
        <f aca="false">$D215*K215</f>
        <v>119.906415921213</v>
      </c>
      <c r="AD215" s="128" t="n">
        <f aca="false">$D215*L215</f>
        <v>126.939728495671</v>
      </c>
      <c r="AE215" s="128" t="n">
        <f aca="false">$D215*M215</f>
        <v>125.171197287393</v>
      </c>
      <c r="AF215" s="128" t="n">
        <f aca="false">$D215*N215</f>
        <v>122.355151440367</v>
      </c>
      <c r="AG215" s="128" t="n">
        <f aca="false">$D215*O215</f>
        <v>0</v>
      </c>
      <c r="AH215" s="128" t="n">
        <f aca="false">$D215*P215</f>
        <v>0</v>
      </c>
      <c r="AI215" s="128" t="n">
        <f aca="false">$D215*Q215</f>
        <v>0</v>
      </c>
      <c r="AJ215" s="128" t="n">
        <f aca="false">$D215*R215</f>
        <v>0</v>
      </c>
      <c r="AK215" s="128" t="n">
        <f aca="false">$D215*S215</f>
        <v>0</v>
      </c>
      <c r="AL215" s="128" t="n">
        <f aca="false">$D215*T215</f>
        <v>0</v>
      </c>
      <c r="AN215" s="129" t="n">
        <f aca="false">SUM(W215:AL215)/4</f>
        <v>123.593123286161</v>
      </c>
      <c r="AO215" s="130" t="n">
        <f aca="false">D215</f>
        <v>100.699996948242</v>
      </c>
    </row>
    <row r="216" customFormat="false" ht="16.5" hidden="false" customHeight="false" outlineLevel="0" collapsed="false">
      <c r="B216" s="116" t="n">
        <f aca="false">MONTH(C216)</f>
        <v>9</v>
      </c>
      <c r="C216" s="125" t="n">
        <f aca="false">PJM_01212000!A200</f>
        <v>41518</v>
      </c>
      <c r="D216" s="126" t="n">
        <f aca="false">PJM_01212000!C200</f>
        <v>37.9249984741211</v>
      </c>
      <c r="E216" s="127" t="n">
        <f aca="false">VLOOKUP($B216,$C$6:$Z$17,E$22+1)</f>
        <v>0</v>
      </c>
      <c r="F216" s="127" t="n">
        <f aca="false">VLOOKUP($B216,$C$6:$Z$17,F$22+1)</f>
        <v>0</v>
      </c>
      <c r="G216" s="127" t="n">
        <f aca="false">VLOOKUP($B216,$C$6:$Z$17,G$22+1)</f>
        <v>0</v>
      </c>
      <c r="H216" s="127" t="n">
        <f aca="false">VLOOKUP($B216,$C$6:$Z$17,H$22+1)</f>
        <v>0</v>
      </c>
      <c r="I216" s="127" t="n">
        <f aca="false">VLOOKUP($B216,$C$6:$Z$17,I$22+1)</f>
        <v>0</v>
      </c>
      <c r="J216" s="127" t="n">
        <f aca="false">VLOOKUP($B216,$C$6:$Z$17,J$22+1)</f>
        <v>0</v>
      </c>
      <c r="K216" s="127" t="n">
        <f aca="false">VLOOKUP($B216,$C$6:$Z$17,K$22+1)</f>
        <v>0</v>
      </c>
      <c r="L216" s="127" t="n">
        <f aca="false">VLOOKUP($B216,$C$6:$Z$17,L$22+1)</f>
        <v>0</v>
      </c>
      <c r="M216" s="127" t="n">
        <f aca="false">VLOOKUP($B216,$C$6:$Z$17,M$22+1)</f>
        <v>0</v>
      </c>
      <c r="N216" s="127" t="n">
        <f aca="false">VLOOKUP($B216,$C$6:$Z$17,N$22+1)</f>
        <v>1.13452840898687</v>
      </c>
      <c r="O216" s="127" t="n">
        <f aca="false">VLOOKUP($B216,$C$6:$Z$17,O$22+1)</f>
        <v>1.1066962078626</v>
      </c>
      <c r="P216" s="127" t="n">
        <f aca="false">VLOOKUP($B216,$C$6:$Z$17,P$22+1)</f>
        <v>0</v>
      </c>
      <c r="Q216" s="127" t="n">
        <f aca="false">VLOOKUP($B216,$C$6:$Z$17,Q$22+1)</f>
        <v>1.18462637101057</v>
      </c>
      <c r="R216" s="127" t="n">
        <f aca="false">VLOOKUP($B216,$C$6:$Z$17,R$22+1)</f>
        <v>1.1944408840386</v>
      </c>
      <c r="S216" s="127" t="n">
        <f aca="false">VLOOKUP($B216,$C$6:$Z$17,S$22+1)</f>
        <v>0</v>
      </c>
      <c r="T216" s="127" t="n">
        <f aca="false">VLOOKUP($B216,$C$6:$Z$17,T$22+1)</f>
        <v>0</v>
      </c>
      <c r="U216" s="127" t="n">
        <f aca="false">VLOOKUP($B216,$C$6:$AB$17,T$22+3)-SUM(E216:T216)</f>
        <v>0</v>
      </c>
      <c r="W216" s="128" t="n">
        <f aca="false">$D216*E216</f>
        <v>0</v>
      </c>
      <c r="X216" s="128" t="n">
        <f aca="false">$D216*F216</f>
        <v>0</v>
      </c>
      <c r="Y216" s="128" t="n">
        <f aca="false">$D216*G216</f>
        <v>0</v>
      </c>
      <c r="Z216" s="128" t="n">
        <f aca="false">$D216*H216</f>
        <v>0</v>
      </c>
      <c r="AA216" s="128" t="n">
        <f aca="false">$D216*I216</f>
        <v>0</v>
      </c>
      <c r="AB216" s="128" t="n">
        <f aca="false">$D216*J216</f>
        <v>0</v>
      </c>
      <c r="AC216" s="128" t="n">
        <f aca="false">$D216*K216</f>
        <v>0</v>
      </c>
      <c r="AD216" s="128" t="n">
        <f aca="false">$D216*L216</f>
        <v>0</v>
      </c>
      <c r="AE216" s="128" t="n">
        <f aca="false">$D216*M216</f>
        <v>0</v>
      </c>
      <c r="AF216" s="128" t="n">
        <f aca="false">$D216*N216</f>
        <v>43.0269881796742</v>
      </c>
      <c r="AG216" s="128" t="n">
        <f aca="false">$D216*O216</f>
        <v>41.9714519945046</v>
      </c>
      <c r="AH216" s="128" t="n">
        <f aca="false">$D216*P216</f>
        <v>0</v>
      </c>
      <c r="AI216" s="128" t="n">
        <f aca="false">$D216*Q216</f>
        <v>44.9269533129793</v>
      </c>
      <c r="AJ216" s="128" t="n">
        <f aca="false">$D216*R216</f>
        <v>45.2991687045917</v>
      </c>
      <c r="AK216" s="128" t="n">
        <f aca="false">$D216*S216</f>
        <v>0</v>
      </c>
      <c r="AL216" s="128" t="n">
        <f aca="false">$D216*T216</f>
        <v>0</v>
      </c>
      <c r="AN216" s="129" t="n">
        <f aca="false">SUM(W216:AL216)/4</f>
        <v>43.8061405479375</v>
      </c>
      <c r="AO216" s="130" t="n">
        <f aca="false">D216</f>
        <v>37.9249984741211</v>
      </c>
    </row>
    <row r="217" customFormat="false" ht="16.5" hidden="false" customHeight="false" outlineLevel="0" collapsed="false">
      <c r="B217" s="116" t="n">
        <f aca="false">MONTH(C217)</f>
        <v>10</v>
      </c>
      <c r="C217" s="125" t="n">
        <f aca="false">PJM_01212000!A201</f>
        <v>41548</v>
      </c>
      <c r="D217" s="126" t="n">
        <f aca="false">PJM_01212000!C201</f>
        <v>30.8250003814697</v>
      </c>
      <c r="E217" s="127" t="n">
        <f aca="false">VLOOKUP($B217,$C$6:$Z$17,E$22+1)</f>
        <v>0</v>
      </c>
      <c r="F217" s="127" t="n">
        <f aca="false">VLOOKUP($B217,$C$6:$Z$17,F$22+1)</f>
        <v>1.1326</v>
      </c>
      <c r="G217" s="127" t="n">
        <f aca="false">VLOOKUP($B217,$C$6:$Z$17,G$22+1)</f>
        <v>0</v>
      </c>
      <c r="H217" s="127" t="n">
        <f aca="false">VLOOKUP($B217,$C$6:$Z$17,H$22+1)</f>
        <v>0</v>
      </c>
      <c r="I217" s="127" t="n">
        <f aca="false">VLOOKUP($B217,$C$6:$Z$17,I$22+1)</f>
        <v>0</v>
      </c>
      <c r="J217" s="127" t="n">
        <f aca="false">VLOOKUP($B217,$C$6:$Z$17,J$22+1)</f>
        <v>0</v>
      </c>
      <c r="K217" s="127" t="n">
        <f aca="false">VLOOKUP($B217,$C$6:$Z$17,K$22+1)</f>
        <v>0</v>
      </c>
      <c r="L217" s="127" t="n">
        <f aca="false">VLOOKUP($B217,$C$6:$Z$17,L$22+1)</f>
        <v>0</v>
      </c>
      <c r="M217" s="127" t="n">
        <f aca="false">VLOOKUP($B217,$C$6:$Z$17,M$22+1)</f>
        <v>0</v>
      </c>
      <c r="N217" s="127" t="n">
        <f aca="false">VLOOKUP($B217,$C$6:$Z$17,N$22+1)</f>
        <v>0</v>
      </c>
      <c r="O217" s="127" t="n">
        <f aca="false">VLOOKUP($B217,$C$6:$Z$17,O$22+1)</f>
        <v>1.2001</v>
      </c>
      <c r="P217" s="127" t="n">
        <f aca="false">VLOOKUP($B217,$C$6:$Z$17,P$22+1)</f>
        <v>1.2095</v>
      </c>
      <c r="Q217" s="127" t="n">
        <f aca="false">VLOOKUP($B217,$C$6:$Z$17,Q$22+1)</f>
        <v>1.1567</v>
      </c>
      <c r="R217" s="127" t="n">
        <f aca="false">VLOOKUP($B217,$C$6:$Z$17,R$22+1)</f>
        <v>0</v>
      </c>
      <c r="S217" s="127" t="n">
        <f aca="false">VLOOKUP($B217,$C$6:$Z$17,S$22+1)</f>
        <v>0</v>
      </c>
      <c r="T217" s="127" t="n">
        <f aca="false">VLOOKUP($B217,$C$6:$Z$17,T$22+1)</f>
        <v>0</v>
      </c>
      <c r="U217" s="127" t="n">
        <f aca="false">VLOOKUP($B217,$C$6:$AB$17,T$22+3)-SUM(E217:T217)</f>
        <v>0</v>
      </c>
      <c r="W217" s="128" t="n">
        <f aca="false">$D217*E217</f>
        <v>0</v>
      </c>
      <c r="X217" s="128" t="n">
        <f aca="false">$D217*F217</f>
        <v>34.9123954320526</v>
      </c>
      <c r="Y217" s="128" t="n">
        <f aca="false">$D217*G217</f>
        <v>0</v>
      </c>
      <c r="Z217" s="128" t="n">
        <f aca="false">$D217*H217</f>
        <v>0</v>
      </c>
      <c r="AA217" s="128" t="n">
        <f aca="false">$D217*I217</f>
        <v>0</v>
      </c>
      <c r="AB217" s="128" t="n">
        <f aca="false">$D217*J217</f>
        <v>0</v>
      </c>
      <c r="AC217" s="128" t="n">
        <f aca="false">$D217*K217</f>
        <v>0</v>
      </c>
      <c r="AD217" s="128" t="n">
        <f aca="false">$D217*L217</f>
        <v>0</v>
      </c>
      <c r="AE217" s="128" t="n">
        <f aca="false">$D217*M217</f>
        <v>0</v>
      </c>
      <c r="AF217" s="128" t="n">
        <f aca="false">$D217*N217</f>
        <v>0</v>
      </c>
      <c r="AG217" s="128" t="n">
        <f aca="false">$D217*O217</f>
        <v>36.9930829578018</v>
      </c>
      <c r="AH217" s="128" t="n">
        <f aca="false">$D217*P217</f>
        <v>37.2828379613876</v>
      </c>
      <c r="AI217" s="128" t="n">
        <f aca="false">$D217*Q217</f>
        <v>35.655277941246</v>
      </c>
      <c r="AJ217" s="128" t="n">
        <f aca="false">$D217*R217</f>
        <v>0</v>
      </c>
      <c r="AK217" s="128" t="n">
        <f aca="false">$D217*S217</f>
        <v>0</v>
      </c>
      <c r="AL217" s="128" t="n">
        <f aca="false">$D217*T217</f>
        <v>0</v>
      </c>
      <c r="AN217" s="129" t="n">
        <f aca="false">SUM(W217:AL217)/4</f>
        <v>36.210898573122</v>
      </c>
      <c r="AO217" s="130" t="n">
        <f aca="false">D217</f>
        <v>30.8250003814697</v>
      </c>
    </row>
    <row r="218" customFormat="false" ht="16.5" hidden="false" customHeight="false" outlineLevel="0" collapsed="false">
      <c r="B218" s="116" t="n">
        <f aca="false">MONTH(C218)</f>
        <v>11</v>
      </c>
      <c r="C218" s="125" t="n">
        <f aca="false">PJM_01212000!A202</f>
        <v>41579</v>
      </c>
      <c r="D218" s="126" t="n">
        <f aca="false">PJM_01212000!C202</f>
        <v>30.4974990844727</v>
      </c>
      <c r="E218" s="127" t="n">
        <f aca="false">VLOOKUP($B218,$C$6:$Z$17,E$22+1)</f>
        <v>0</v>
      </c>
      <c r="F218" s="127" t="n">
        <f aca="false">VLOOKUP($B218,$C$6:$Z$17,F$22+1)</f>
        <v>1.1426</v>
      </c>
      <c r="G218" s="127" t="n">
        <f aca="false">VLOOKUP($B218,$C$6:$Z$17,G$22+1)</f>
        <v>0</v>
      </c>
      <c r="H218" s="127" t="n">
        <f aca="false">VLOOKUP($B218,$C$6:$Z$17,H$22+1)</f>
        <v>0</v>
      </c>
      <c r="I218" s="127" t="n">
        <f aca="false">VLOOKUP($B218,$C$6:$Z$17,I$22+1)</f>
        <v>0</v>
      </c>
      <c r="J218" s="127" t="n">
        <f aca="false">VLOOKUP($B218,$C$6:$Z$17,J$22+1)</f>
        <v>0</v>
      </c>
      <c r="K218" s="127" t="n">
        <f aca="false">VLOOKUP($B218,$C$6:$Z$17,K$22+1)</f>
        <v>0</v>
      </c>
      <c r="L218" s="127" t="n">
        <f aca="false">VLOOKUP($B218,$C$6:$Z$17,L$22+1)</f>
        <v>0</v>
      </c>
      <c r="M218" s="127" t="n">
        <f aca="false">VLOOKUP($B218,$C$6:$Z$17,M$22+1)</f>
        <v>0</v>
      </c>
      <c r="N218" s="127" t="n">
        <f aca="false">VLOOKUP($B218,$C$6:$Z$17,N$22+1)</f>
        <v>0</v>
      </c>
      <c r="O218" s="127" t="n">
        <f aca="false">VLOOKUP($B218,$C$6:$Z$17,O$22+1)</f>
        <v>1.2171</v>
      </c>
      <c r="P218" s="127" t="n">
        <f aca="false">VLOOKUP($B218,$C$6:$Z$17,P$22+1)</f>
        <v>1.2269</v>
      </c>
      <c r="Q218" s="127" t="n">
        <f aca="false">VLOOKUP($B218,$C$6:$Z$17,Q$22+1)</f>
        <v>1.1767</v>
      </c>
      <c r="R218" s="127" t="n">
        <f aca="false">VLOOKUP($B218,$C$6:$Z$17,R$22+1)</f>
        <v>0</v>
      </c>
      <c r="S218" s="127" t="n">
        <f aca="false">VLOOKUP($B218,$C$6:$Z$17,S$22+1)</f>
        <v>0</v>
      </c>
      <c r="T218" s="127" t="n">
        <f aca="false">VLOOKUP($B218,$C$6:$Z$17,T$22+1)</f>
        <v>0</v>
      </c>
      <c r="U218" s="127" t="n">
        <f aca="false">VLOOKUP($B218,$C$6:$AB$17,T$22+3)-SUM(E218:T218)</f>
        <v>0</v>
      </c>
      <c r="W218" s="128" t="n">
        <f aca="false">$D218*E218</f>
        <v>0</v>
      </c>
      <c r="X218" s="128" t="n">
        <f aca="false">$D218*F218</f>
        <v>34.8464424539185</v>
      </c>
      <c r="Y218" s="128" t="n">
        <f aca="false">$D218*G218</f>
        <v>0</v>
      </c>
      <c r="Z218" s="128" t="n">
        <f aca="false">$D218*H218</f>
        <v>0</v>
      </c>
      <c r="AA218" s="128" t="n">
        <f aca="false">$D218*I218</f>
        <v>0</v>
      </c>
      <c r="AB218" s="128" t="n">
        <f aca="false">$D218*J218</f>
        <v>0</v>
      </c>
      <c r="AC218" s="128" t="n">
        <f aca="false">$D218*K218</f>
        <v>0</v>
      </c>
      <c r="AD218" s="128" t="n">
        <f aca="false">$D218*L218</f>
        <v>0</v>
      </c>
      <c r="AE218" s="128" t="n">
        <f aca="false">$D218*M218</f>
        <v>0</v>
      </c>
      <c r="AF218" s="128" t="n">
        <f aca="false">$D218*N218</f>
        <v>0</v>
      </c>
      <c r="AG218" s="128" t="n">
        <f aca="false">$D218*O218</f>
        <v>37.1185061357117</v>
      </c>
      <c r="AH218" s="128" t="n">
        <f aca="false">$D218*P218</f>
        <v>37.4173816267395</v>
      </c>
      <c r="AI218" s="128" t="n">
        <f aca="false">$D218*Q218</f>
        <v>35.886407172699</v>
      </c>
      <c r="AJ218" s="128" t="n">
        <f aca="false">$D218*R218</f>
        <v>0</v>
      </c>
      <c r="AK218" s="128" t="n">
        <f aca="false">$D218*S218</f>
        <v>0</v>
      </c>
      <c r="AL218" s="128" t="n">
        <f aca="false">$D218*T218</f>
        <v>0</v>
      </c>
      <c r="AN218" s="129" t="n">
        <f aca="false">SUM(W218:AL218)/4</f>
        <v>36.3171843472672</v>
      </c>
      <c r="AO218" s="130" t="n">
        <f aca="false">D218</f>
        <v>30.4974990844727</v>
      </c>
    </row>
    <row r="219" customFormat="false" ht="16.5" hidden="false" customHeight="false" outlineLevel="0" collapsed="false">
      <c r="B219" s="116" t="n">
        <f aca="false">MONTH(C219)</f>
        <v>12</v>
      </c>
      <c r="C219" s="125" t="n">
        <f aca="false">PJM_01212000!A203</f>
        <v>41609</v>
      </c>
      <c r="D219" s="126" t="n">
        <f aca="false">PJM_01212000!C203</f>
        <v>32.2499996185303</v>
      </c>
      <c r="E219" s="127" t="n">
        <f aca="false">VLOOKUP($B219,$C$6:$Z$17,E$22+1)</f>
        <v>0</v>
      </c>
      <c r="F219" s="127" t="n">
        <f aca="false">VLOOKUP($B219,$C$6:$Z$17,F$22+1)</f>
        <v>1.1638</v>
      </c>
      <c r="G219" s="127" t="n">
        <f aca="false">VLOOKUP($B219,$C$6:$Z$17,G$22+1)</f>
        <v>0</v>
      </c>
      <c r="H219" s="127" t="n">
        <f aca="false">VLOOKUP($B219,$C$6:$Z$17,H$22+1)</f>
        <v>0</v>
      </c>
      <c r="I219" s="127" t="n">
        <f aca="false">VLOOKUP($B219,$C$6:$Z$17,I$22+1)</f>
        <v>0</v>
      </c>
      <c r="J219" s="127" t="n">
        <f aca="false">VLOOKUP($B219,$C$6:$Z$17,J$22+1)</f>
        <v>0</v>
      </c>
      <c r="K219" s="127" t="n">
        <f aca="false">VLOOKUP($B219,$C$6:$Z$17,K$22+1)</f>
        <v>0</v>
      </c>
      <c r="L219" s="127" t="n">
        <f aca="false">VLOOKUP($B219,$C$6:$Z$17,L$22+1)</f>
        <v>0</v>
      </c>
      <c r="M219" s="127" t="n">
        <f aca="false">VLOOKUP($B219,$C$6:$Z$17,M$22+1)</f>
        <v>0</v>
      </c>
      <c r="N219" s="127" t="n">
        <f aca="false">VLOOKUP($B219,$C$6:$Z$17,N$22+1)</f>
        <v>0</v>
      </c>
      <c r="O219" s="127" t="n">
        <f aca="false">VLOOKUP($B219,$C$6:$Z$17,O$22+1)</f>
        <v>1.23965925286319</v>
      </c>
      <c r="P219" s="127" t="n">
        <f aca="false">VLOOKUP($B219,$C$6:$Z$17,P$22+1)</f>
        <v>1.2314</v>
      </c>
      <c r="Q219" s="127" t="n">
        <f aca="false">VLOOKUP($B219,$C$6:$Z$17,Q$22+1)</f>
        <v>1.18899630831453</v>
      </c>
      <c r="R219" s="127" t="n">
        <f aca="false">VLOOKUP($B219,$C$6:$Z$17,R$22+1)</f>
        <v>0</v>
      </c>
      <c r="S219" s="127" t="n">
        <f aca="false">VLOOKUP($B219,$C$6:$Z$17,S$22+1)</f>
        <v>0</v>
      </c>
      <c r="T219" s="127" t="n">
        <f aca="false">VLOOKUP($B219,$C$6:$Z$17,T$22+1)</f>
        <v>0</v>
      </c>
      <c r="U219" s="127" t="n">
        <f aca="false">VLOOKUP($B219,$C$6:$AB$17,T$22+3)-SUM(E219:T219)</f>
        <v>0</v>
      </c>
      <c r="W219" s="128" t="n">
        <f aca="false">$D219*E219</f>
        <v>0</v>
      </c>
      <c r="X219" s="128" t="n">
        <f aca="false">$D219*F219</f>
        <v>37.5325495560455</v>
      </c>
      <c r="Y219" s="128" t="n">
        <f aca="false">$D219*G219</f>
        <v>0</v>
      </c>
      <c r="Z219" s="128" t="n">
        <f aca="false">$D219*H219</f>
        <v>0</v>
      </c>
      <c r="AA219" s="128" t="n">
        <f aca="false">$D219*I219</f>
        <v>0</v>
      </c>
      <c r="AB219" s="128" t="n">
        <f aca="false">$D219*J219</f>
        <v>0</v>
      </c>
      <c r="AC219" s="128" t="n">
        <f aca="false">$D219*K219</f>
        <v>0</v>
      </c>
      <c r="AD219" s="128" t="n">
        <f aca="false">$D219*L219</f>
        <v>0</v>
      </c>
      <c r="AE219" s="128" t="n">
        <f aca="false">$D219*M219</f>
        <v>0</v>
      </c>
      <c r="AF219" s="128" t="n">
        <f aca="false">$D219*N219</f>
        <v>0</v>
      </c>
      <c r="AG219" s="128" t="n">
        <f aca="false">$D219*O219</f>
        <v>39.9790104319454</v>
      </c>
      <c r="AH219" s="128" t="n">
        <f aca="false">$D219*P219</f>
        <v>39.7126495302582</v>
      </c>
      <c r="AI219" s="128" t="n">
        <f aca="false">$D219*Q219</f>
        <v>38.3451304895775</v>
      </c>
      <c r="AJ219" s="128" t="n">
        <f aca="false">$D219*R219</f>
        <v>0</v>
      </c>
      <c r="AK219" s="128" t="n">
        <f aca="false">$D219*S219</f>
        <v>0</v>
      </c>
      <c r="AL219" s="128" t="n">
        <f aca="false">$D219*T219</f>
        <v>0</v>
      </c>
      <c r="AN219" s="129" t="n">
        <f aca="false">SUM(W219:AL219)/4</f>
        <v>38.8923350019566</v>
      </c>
      <c r="AO219" s="130" t="n">
        <f aca="false">D219</f>
        <v>32.2499996185303</v>
      </c>
    </row>
    <row r="220" customFormat="false" ht="16.5" hidden="false" customHeight="false" outlineLevel="0" collapsed="false">
      <c r="B220" s="116" t="n">
        <f aca="false">MONTH(C220)</f>
        <v>1</v>
      </c>
      <c r="C220" s="125" t="n">
        <f aca="false">PJM_01212000!A204</f>
        <v>41640</v>
      </c>
      <c r="D220" s="126" t="n">
        <f aca="false">PJM_01212000!C204</f>
        <v>40.8249984741211</v>
      </c>
      <c r="E220" s="127" t="n">
        <f aca="false">VLOOKUP($B220,$C$6:$Z$17,E$22+1)</f>
        <v>0</v>
      </c>
      <c r="F220" s="127" t="n">
        <f aca="false">VLOOKUP($B220,$C$6:$Z$17,F$22+1)</f>
        <v>1.19981175661928</v>
      </c>
      <c r="G220" s="127" t="n">
        <f aca="false">VLOOKUP($B220,$C$6:$Z$17,G$22+1)</f>
        <v>1.19616001156207</v>
      </c>
      <c r="H220" s="127" t="n">
        <f aca="false">VLOOKUP($B220,$C$6:$Z$17,H$22+1)</f>
        <v>0</v>
      </c>
      <c r="I220" s="127" t="n">
        <f aca="false">VLOOKUP($B220,$C$6:$Z$17,I$22+1)</f>
        <v>0</v>
      </c>
      <c r="J220" s="127" t="n">
        <f aca="false">VLOOKUP($B220,$C$6:$Z$17,J$22+1)</f>
        <v>0</v>
      </c>
      <c r="K220" s="127" t="n">
        <f aca="false">VLOOKUP($B220,$C$6:$Z$17,K$22+1)</f>
        <v>0</v>
      </c>
      <c r="L220" s="127" t="n">
        <f aca="false">VLOOKUP($B220,$C$6:$Z$17,L$22+1)</f>
        <v>0</v>
      </c>
      <c r="M220" s="127" t="n">
        <f aca="false">VLOOKUP($B220,$C$6:$Z$17,M$22+1)</f>
        <v>0</v>
      </c>
      <c r="N220" s="127" t="n">
        <f aca="false">VLOOKUP($B220,$C$6:$Z$17,N$22+1)</f>
        <v>0</v>
      </c>
      <c r="O220" s="127" t="n">
        <f aca="false">VLOOKUP($B220,$C$6:$Z$17,O$22+1)</f>
        <v>0</v>
      </c>
      <c r="P220" s="127" t="n">
        <f aca="false">VLOOKUP($B220,$C$6:$Z$17,P$22+1)</f>
        <v>1.28189922894351</v>
      </c>
      <c r="Q220" s="127" t="n">
        <f aca="false">VLOOKUP($B220,$C$6:$Z$17,Q$22+1)</f>
        <v>1.227</v>
      </c>
      <c r="R220" s="127" t="n">
        <f aca="false">VLOOKUP($B220,$C$6:$Z$17,R$22+1)</f>
        <v>0</v>
      </c>
      <c r="S220" s="127" t="n">
        <f aca="false">VLOOKUP($B220,$C$6:$Z$17,S$22+1)</f>
        <v>0</v>
      </c>
      <c r="T220" s="127" t="n">
        <f aca="false">VLOOKUP($B220,$C$6:$Z$17,T$22+1)</f>
        <v>0</v>
      </c>
      <c r="U220" s="127" t="n">
        <f aca="false">VLOOKUP($B220,$C$6:$AB$17,T$22+3)-SUM(E220:T220)</f>
        <v>0</v>
      </c>
      <c r="W220" s="128" t="n">
        <f aca="false">$D220*E220</f>
        <v>0</v>
      </c>
      <c r="X220" s="128" t="n">
        <f aca="false">$D220*F220</f>
        <v>48.9823131332148</v>
      </c>
      <c r="Y220" s="128" t="n">
        <f aca="false">$D220*G220</f>
        <v>48.8332306468262</v>
      </c>
      <c r="Z220" s="128" t="n">
        <f aca="false">$D220*H220</f>
        <v>0</v>
      </c>
      <c r="AA220" s="128" t="n">
        <f aca="false">$D220*I220</f>
        <v>0</v>
      </c>
      <c r="AB220" s="128" t="n">
        <f aca="false">$D220*J220</f>
        <v>0</v>
      </c>
      <c r="AC220" s="128" t="n">
        <f aca="false">$D220*K220</f>
        <v>0</v>
      </c>
      <c r="AD220" s="128" t="n">
        <f aca="false">$D220*L220</f>
        <v>0</v>
      </c>
      <c r="AE220" s="128" t="n">
        <f aca="false">$D220*M220</f>
        <v>0</v>
      </c>
      <c r="AF220" s="128" t="n">
        <f aca="false">$D220*N220</f>
        <v>0</v>
      </c>
      <c r="AG220" s="128" t="n">
        <f aca="false">$D220*O220</f>
        <v>0</v>
      </c>
      <c r="AH220" s="128" t="n">
        <f aca="false">$D220*P220</f>
        <v>52.3335340655959</v>
      </c>
      <c r="AI220" s="128" t="n">
        <f aca="false">$D220*Q220</f>
        <v>50.0922731277466</v>
      </c>
      <c r="AJ220" s="128" t="n">
        <f aca="false">$D220*R220</f>
        <v>0</v>
      </c>
      <c r="AK220" s="128" t="n">
        <f aca="false">$D220*S220</f>
        <v>0</v>
      </c>
      <c r="AL220" s="128" t="n">
        <f aca="false">$D220*T220</f>
        <v>0</v>
      </c>
      <c r="AN220" s="129" t="n">
        <f aca="false">SUM(W220:AL220)/4</f>
        <v>50.0603377433459</v>
      </c>
      <c r="AO220" s="130" t="n">
        <f aca="false">D220</f>
        <v>40.8249984741211</v>
      </c>
    </row>
    <row r="221" customFormat="false" ht="16.5" hidden="false" customHeight="false" outlineLevel="0" collapsed="false">
      <c r="B221" s="116" t="n">
        <f aca="false">MONTH(C221)</f>
        <v>2</v>
      </c>
      <c r="C221" s="125" t="n">
        <f aca="false">PJM_01212000!A205</f>
        <v>41671</v>
      </c>
      <c r="D221" s="126" t="n">
        <f aca="false">PJM_01212000!C205</f>
        <v>40.8249984741211</v>
      </c>
      <c r="E221" s="127" t="n">
        <f aca="false">VLOOKUP($B221,$C$6:$Z$17,E$22+1)</f>
        <v>0</v>
      </c>
      <c r="F221" s="127" t="n">
        <f aca="false">VLOOKUP($B221,$C$6:$Z$17,F$22+1)</f>
        <v>1.19981175661928</v>
      </c>
      <c r="G221" s="127" t="n">
        <f aca="false">VLOOKUP($B221,$C$6:$Z$17,G$22+1)</f>
        <v>1.19616001156207</v>
      </c>
      <c r="H221" s="127" t="n">
        <f aca="false">VLOOKUP($B221,$C$6:$Z$17,H$22+1)</f>
        <v>0</v>
      </c>
      <c r="I221" s="127" t="n">
        <f aca="false">VLOOKUP($B221,$C$6:$Z$17,I$22+1)</f>
        <v>0</v>
      </c>
      <c r="J221" s="127" t="n">
        <f aca="false">VLOOKUP($B221,$C$6:$Z$17,J$22+1)</f>
        <v>0</v>
      </c>
      <c r="K221" s="127" t="n">
        <f aca="false">VLOOKUP($B221,$C$6:$Z$17,K$22+1)</f>
        <v>0</v>
      </c>
      <c r="L221" s="127" t="n">
        <f aca="false">VLOOKUP($B221,$C$6:$Z$17,L$22+1)</f>
        <v>0</v>
      </c>
      <c r="M221" s="127" t="n">
        <f aca="false">VLOOKUP($B221,$C$6:$Z$17,M$22+1)</f>
        <v>0</v>
      </c>
      <c r="N221" s="127" t="n">
        <f aca="false">VLOOKUP($B221,$C$6:$Z$17,N$22+1)</f>
        <v>0</v>
      </c>
      <c r="O221" s="127" t="n">
        <f aca="false">VLOOKUP($B221,$C$6:$Z$17,O$22+1)</f>
        <v>0</v>
      </c>
      <c r="P221" s="127" t="n">
        <f aca="false">VLOOKUP($B221,$C$6:$Z$17,P$22+1)</f>
        <v>1.28189922894351</v>
      </c>
      <c r="Q221" s="127" t="n">
        <f aca="false">VLOOKUP($B221,$C$6:$Z$17,Q$22+1)</f>
        <v>1.227</v>
      </c>
      <c r="R221" s="127" t="n">
        <f aca="false">VLOOKUP($B221,$C$6:$Z$17,R$22+1)</f>
        <v>0</v>
      </c>
      <c r="S221" s="127" t="n">
        <f aca="false">VLOOKUP($B221,$C$6:$Z$17,S$22+1)</f>
        <v>0</v>
      </c>
      <c r="T221" s="127" t="n">
        <f aca="false">VLOOKUP($B221,$C$6:$Z$17,T$22+1)</f>
        <v>0</v>
      </c>
      <c r="U221" s="127" t="n">
        <f aca="false">VLOOKUP($B221,$C$6:$AB$17,T$22+3)-SUM(E221:T221)</f>
        <v>0</v>
      </c>
      <c r="W221" s="128" t="n">
        <f aca="false">$D221*E221</f>
        <v>0</v>
      </c>
      <c r="X221" s="128" t="n">
        <f aca="false">$D221*F221</f>
        <v>48.9823131332148</v>
      </c>
      <c r="Y221" s="128" t="n">
        <f aca="false">$D221*G221</f>
        <v>48.8332306468262</v>
      </c>
      <c r="Z221" s="128" t="n">
        <f aca="false">$D221*H221</f>
        <v>0</v>
      </c>
      <c r="AA221" s="128" t="n">
        <f aca="false">$D221*I221</f>
        <v>0</v>
      </c>
      <c r="AB221" s="128" t="n">
        <f aca="false">$D221*J221</f>
        <v>0</v>
      </c>
      <c r="AC221" s="128" t="n">
        <f aca="false">$D221*K221</f>
        <v>0</v>
      </c>
      <c r="AD221" s="128" t="n">
        <f aca="false">$D221*L221</f>
        <v>0</v>
      </c>
      <c r="AE221" s="128" t="n">
        <f aca="false">$D221*M221</f>
        <v>0</v>
      </c>
      <c r="AF221" s="128" t="n">
        <f aca="false">$D221*N221</f>
        <v>0</v>
      </c>
      <c r="AG221" s="128" t="n">
        <f aca="false">$D221*O221</f>
        <v>0</v>
      </c>
      <c r="AH221" s="128" t="n">
        <f aca="false">$D221*P221</f>
        <v>52.3335340655959</v>
      </c>
      <c r="AI221" s="128" t="n">
        <f aca="false">$D221*Q221</f>
        <v>50.0922731277466</v>
      </c>
      <c r="AJ221" s="128" t="n">
        <f aca="false">$D221*R221</f>
        <v>0</v>
      </c>
      <c r="AK221" s="128" t="n">
        <f aca="false">$D221*S221</f>
        <v>0</v>
      </c>
      <c r="AL221" s="128" t="n">
        <f aca="false">$D221*T221</f>
        <v>0</v>
      </c>
      <c r="AN221" s="129" t="n">
        <f aca="false">SUM(W221:AL221)/4</f>
        <v>50.0603377433459</v>
      </c>
      <c r="AO221" s="130" t="n">
        <f aca="false">D221</f>
        <v>40.8249984741211</v>
      </c>
    </row>
    <row r="222" customFormat="false" ht="16.5" hidden="false" customHeight="false" outlineLevel="0" collapsed="false">
      <c r="B222" s="116" t="n">
        <f aca="false">MONTH(C222)</f>
        <v>3</v>
      </c>
      <c r="C222" s="125" t="n">
        <f aca="false">PJM_01212000!A206</f>
        <v>41699</v>
      </c>
      <c r="D222" s="126" t="n">
        <f aca="false">PJM_01212000!C206</f>
        <v>30.5500007629395</v>
      </c>
      <c r="E222" s="127" t="n">
        <f aca="false">VLOOKUP($B222,$C$6:$Z$17,E$22+1)</f>
        <v>0</v>
      </c>
      <c r="F222" s="127" t="n">
        <f aca="false">VLOOKUP($B222,$C$6:$Z$17,F$22+1)</f>
        <v>1.1898</v>
      </c>
      <c r="G222" s="127" t="n">
        <f aca="false">VLOOKUP($B222,$C$6:$Z$17,G$22+1)</f>
        <v>1.1862</v>
      </c>
      <c r="H222" s="127" t="n">
        <f aca="false">VLOOKUP($B222,$C$6:$Z$17,H$22+1)</f>
        <v>0</v>
      </c>
      <c r="I222" s="127" t="n">
        <f aca="false">VLOOKUP($B222,$C$6:$Z$17,I$22+1)</f>
        <v>0</v>
      </c>
      <c r="J222" s="127" t="n">
        <f aca="false">VLOOKUP($B222,$C$6:$Z$17,J$22+1)</f>
        <v>0</v>
      </c>
      <c r="K222" s="127" t="n">
        <f aca="false">VLOOKUP($B222,$C$6:$Z$17,K$22+1)</f>
        <v>0</v>
      </c>
      <c r="L222" s="127" t="n">
        <f aca="false">VLOOKUP($B222,$C$6:$Z$17,L$22+1)</f>
        <v>0</v>
      </c>
      <c r="M222" s="127" t="n">
        <f aca="false">VLOOKUP($B222,$C$6:$Z$17,M$22+1)</f>
        <v>0</v>
      </c>
      <c r="N222" s="127" t="n">
        <f aca="false">VLOOKUP($B222,$C$6:$Z$17,N$22+1)</f>
        <v>0</v>
      </c>
      <c r="O222" s="127" t="n">
        <f aca="false">VLOOKUP($B222,$C$6:$Z$17,O$22+1)</f>
        <v>0</v>
      </c>
      <c r="P222" s="127" t="n">
        <f aca="false">VLOOKUP($B222,$C$6:$Z$17,P$22+1)</f>
        <v>1.2719</v>
      </c>
      <c r="Q222" s="127" t="n">
        <f aca="false">VLOOKUP($B222,$C$6:$Z$17,Q$22+1)</f>
        <v>1.217</v>
      </c>
      <c r="R222" s="127" t="n">
        <f aca="false">VLOOKUP($B222,$C$6:$Z$17,R$22+1)</f>
        <v>0</v>
      </c>
      <c r="S222" s="127" t="n">
        <f aca="false">VLOOKUP($B222,$C$6:$Z$17,S$22+1)</f>
        <v>0</v>
      </c>
      <c r="T222" s="127" t="n">
        <f aca="false">VLOOKUP($B222,$C$6:$Z$17,T$22+1)</f>
        <v>0</v>
      </c>
      <c r="U222" s="127" t="n">
        <f aca="false">VLOOKUP($B222,$C$6:$AB$17,T$22+3)-SUM(E222:T222)</f>
        <v>0</v>
      </c>
      <c r="W222" s="128" t="n">
        <f aca="false">$D222*E222</f>
        <v>0</v>
      </c>
      <c r="X222" s="128" t="n">
        <f aca="false">$D222*F222</f>
        <v>36.3483909077454</v>
      </c>
      <c r="Y222" s="128" t="n">
        <f aca="false">$D222*G222</f>
        <v>36.2384109049988</v>
      </c>
      <c r="Z222" s="128" t="n">
        <f aca="false">$D222*H222</f>
        <v>0</v>
      </c>
      <c r="AA222" s="128" t="n">
        <f aca="false">$D222*I222</f>
        <v>0</v>
      </c>
      <c r="AB222" s="128" t="n">
        <f aca="false">$D222*J222</f>
        <v>0</v>
      </c>
      <c r="AC222" s="128" t="n">
        <f aca="false">$D222*K222</f>
        <v>0</v>
      </c>
      <c r="AD222" s="128" t="n">
        <f aca="false">$D222*L222</f>
        <v>0</v>
      </c>
      <c r="AE222" s="128" t="n">
        <f aca="false">$D222*M222</f>
        <v>0</v>
      </c>
      <c r="AF222" s="128" t="n">
        <f aca="false">$D222*N222</f>
        <v>0</v>
      </c>
      <c r="AG222" s="128" t="n">
        <f aca="false">$D222*O222</f>
        <v>0</v>
      </c>
      <c r="AH222" s="128" t="n">
        <f aca="false">$D222*P222</f>
        <v>38.8565459703827</v>
      </c>
      <c r="AI222" s="128" t="n">
        <f aca="false">$D222*Q222</f>
        <v>37.1793509284973</v>
      </c>
      <c r="AJ222" s="128" t="n">
        <f aca="false">$D222*R222</f>
        <v>0</v>
      </c>
      <c r="AK222" s="128" t="n">
        <f aca="false">$D222*S222</f>
        <v>0</v>
      </c>
      <c r="AL222" s="128" t="n">
        <f aca="false">$D222*T222</f>
        <v>0</v>
      </c>
      <c r="AN222" s="129" t="n">
        <f aca="false">SUM(W222:AL222)/4</f>
        <v>37.155674677906</v>
      </c>
      <c r="AO222" s="130" t="n">
        <f aca="false">D222</f>
        <v>30.5500007629395</v>
      </c>
    </row>
    <row r="223" customFormat="false" ht="16.5" hidden="false" customHeight="false" outlineLevel="0" collapsed="false">
      <c r="B223" s="116" t="n">
        <f aca="false">MONTH(C223)</f>
        <v>4</v>
      </c>
      <c r="C223" s="125" t="n">
        <f aca="false">PJM_01212000!A207</f>
        <v>41730</v>
      </c>
      <c r="D223" s="126" t="n">
        <f aca="false">PJM_01212000!C207</f>
        <v>30.3250007629395</v>
      </c>
      <c r="E223" s="127" t="n">
        <f aca="false">VLOOKUP($B223,$C$6:$Z$17,E$22+1)</f>
        <v>1.1232726508202</v>
      </c>
      <c r="F223" s="127" t="n">
        <f aca="false">VLOOKUP($B223,$C$6:$Z$17,F$22+1)</f>
        <v>1.14131544612562</v>
      </c>
      <c r="G223" s="127" t="n">
        <f aca="false">VLOOKUP($B223,$C$6:$Z$17,G$22+1)</f>
        <v>0</v>
      </c>
      <c r="H223" s="127" t="n">
        <f aca="false">VLOOKUP($B223,$C$6:$Z$17,H$22+1)</f>
        <v>0</v>
      </c>
      <c r="I223" s="127" t="n">
        <f aca="false">VLOOKUP($B223,$C$6:$Z$17,I$22+1)</f>
        <v>1.11852454679246</v>
      </c>
      <c r="J223" s="127" t="n">
        <f aca="false">VLOOKUP($B223,$C$6:$Z$17,J$22+1)</f>
        <v>0</v>
      </c>
      <c r="K223" s="127" t="n">
        <f aca="false">VLOOKUP($B223,$C$6:$Z$17,K$22+1)</f>
        <v>0</v>
      </c>
      <c r="L223" s="127" t="n">
        <f aca="false">VLOOKUP($B223,$C$6:$Z$17,L$22+1)</f>
        <v>0</v>
      </c>
      <c r="M223" s="127" t="n">
        <f aca="false">VLOOKUP($B223,$C$6:$Z$17,M$22+1)</f>
        <v>0</v>
      </c>
      <c r="N223" s="127" t="n">
        <f aca="false">VLOOKUP($B223,$C$6:$Z$17,N$22+1)</f>
        <v>0</v>
      </c>
      <c r="O223" s="127" t="n">
        <f aca="false">VLOOKUP($B223,$C$6:$Z$17,O$22+1)</f>
        <v>0</v>
      </c>
      <c r="P223" s="127" t="n">
        <f aca="false">VLOOKUP($B223,$C$6:$Z$17,P$22+1)</f>
        <v>0</v>
      </c>
      <c r="Q223" s="127" t="n">
        <f aca="false">VLOOKUP($B223,$C$6:$Z$17,Q$22+1)</f>
        <v>0</v>
      </c>
      <c r="R223" s="127" t="n">
        <f aca="false">VLOOKUP($B223,$C$6:$Z$17,R$22+1)</f>
        <v>1.15433651784915</v>
      </c>
      <c r="S223" s="127" t="n">
        <f aca="false">VLOOKUP($B223,$C$6:$Z$17,S$22+1)</f>
        <v>0</v>
      </c>
      <c r="T223" s="127" t="n">
        <f aca="false">VLOOKUP($B223,$C$6:$Z$17,T$22+1)</f>
        <v>0</v>
      </c>
      <c r="U223" s="127" t="n">
        <f aca="false">VLOOKUP($B223,$C$6:$AB$17,T$22+3)-SUM(E223:T223)</f>
        <v>0</v>
      </c>
      <c r="W223" s="128" t="n">
        <f aca="false">$D223*E223</f>
        <v>34.0632439931117</v>
      </c>
      <c r="X223" s="128" t="n">
        <f aca="false">$D223*F223</f>
        <v>34.6103917745139</v>
      </c>
      <c r="Y223" s="128" t="n">
        <f aca="false">$D223*G223</f>
        <v>0</v>
      </c>
      <c r="Z223" s="128" t="n">
        <f aca="false">$D223*H223</f>
        <v>0</v>
      </c>
      <c r="AA223" s="128" t="n">
        <f aca="false">$D223*I223</f>
        <v>33.919257734848</v>
      </c>
      <c r="AB223" s="128" t="n">
        <f aca="false">$D223*J223</f>
        <v>0</v>
      </c>
      <c r="AC223" s="128" t="n">
        <f aca="false">$D223*K223</f>
        <v>0</v>
      </c>
      <c r="AD223" s="128" t="n">
        <f aca="false">$D223*L223</f>
        <v>0</v>
      </c>
      <c r="AE223" s="128" t="n">
        <f aca="false">$D223*M223</f>
        <v>0</v>
      </c>
      <c r="AF223" s="128" t="n">
        <f aca="false">$D223*N223</f>
        <v>0</v>
      </c>
      <c r="AG223" s="128" t="n">
        <f aca="false">$D223*O223</f>
        <v>0</v>
      </c>
      <c r="AH223" s="128" t="n">
        <f aca="false">$D223*P223</f>
        <v>0</v>
      </c>
      <c r="AI223" s="128" t="n">
        <f aca="false">$D223*Q223</f>
        <v>0</v>
      </c>
      <c r="AJ223" s="128" t="n">
        <f aca="false">$D223*R223</f>
        <v>35.0052557844643</v>
      </c>
      <c r="AK223" s="128" t="n">
        <f aca="false">$D223*S223</f>
        <v>0</v>
      </c>
      <c r="AL223" s="128" t="n">
        <f aca="false">$D223*T223</f>
        <v>0</v>
      </c>
      <c r="AN223" s="129" t="n">
        <f aca="false">SUM(W223:AL223)/4</f>
        <v>34.3995373217345</v>
      </c>
      <c r="AO223" s="130" t="n">
        <f aca="false">D223</f>
        <v>30.3250007629395</v>
      </c>
    </row>
    <row r="224" customFormat="false" ht="16.5" hidden="false" customHeight="false" outlineLevel="0" collapsed="false">
      <c r="B224" s="116" t="n">
        <f aca="false">MONTH(C224)</f>
        <v>5</v>
      </c>
      <c r="C224" s="125" t="n">
        <f aca="false">PJM_01212000!A208</f>
        <v>41760</v>
      </c>
      <c r="D224" s="126" t="n">
        <f aca="false">PJM_01212000!C208</f>
        <v>38.325</v>
      </c>
      <c r="E224" s="127" t="n">
        <f aca="false">VLOOKUP($B224,$C$6:$Z$17,E$22+1)</f>
        <v>0</v>
      </c>
      <c r="F224" s="127" t="n">
        <f aca="false">VLOOKUP($B224,$C$6:$Z$17,F$22+1)</f>
        <v>0</v>
      </c>
      <c r="G224" s="127" t="n">
        <f aca="false">VLOOKUP($B224,$C$6:$Z$17,G$22+1)</f>
        <v>1.06102662180267</v>
      </c>
      <c r="H224" s="127" t="n">
        <f aca="false">VLOOKUP($B224,$C$6:$Z$17,H$22+1)</f>
        <v>1.12549986193072</v>
      </c>
      <c r="I224" s="127" t="n">
        <f aca="false">VLOOKUP($B224,$C$6:$Z$17,I$22+1)</f>
        <v>1.11699070333514</v>
      </c>
      <c r="J224" s="127" t="n">
        <f aca="false">VLOOKUP($B224,$C$6:$Z$17,J$22+1)</f>
        <v>0</v>
      </c>
      <c r="K224" s="127" t="n">
        <f aca="false">VLOOKUP($B224,$C$6:$Z$17,K$22+1)</f>
        <v>0</v>
      </c>
      <c r="L224" s="127" t="n">
        <f aca="false">VLOOKUP($B224,$C$6:$Z$17,L$22+1)</f>
        <v>0</v>
      </c>
      <c r="M224" s="127" t="n">
        <f aca="false">VLOOKUP($B224,$C$6:$Z$17,M$22+1)</f>
        <v>0</v>
      </c>
      <c r="N224" s="127" t="n">
        <f aca="false">VLOOKUP($B224,$C$6:$Z$17,N$22+1)</f>
        <v>0</v>
      </c>
      <c r="O224" s="127" t="n">
        <f aca="false">VLOOKUP($B224,$C$6:$Z$17,O$22+1)</f>
        <v>0</v>
      </c>
      <c r="P224" s="127" t="n">
        <f aca="false">VLOOKUP($B224,$C$6:$Z$17,P$22+1)</f>
        <v>0</v>
      </c>
      <c r="Q224" s="127" t="n">
        <f aca="false">VLOOKUP($B224,$C$6:$Z$17,Q$22+1)</f>
        <v>0</v>
      </c>
      <c r="R224" s="127" t="n">
        <f aca="false">VLOOKUP($B224,$C$6:$Z$17,R$22+1)</f>
        <v>1.08769956124651</v>
      </c>
      <c r="S224" s="127" t="n">
        <f aca="false">VLOOKUP($B224,$C$6:$Z$17,S$22+1)</f>
        <v>0</v>
      </c>
      <c r="T224" s="127" t="n">
        <f aca="false">VLOOKUP($B224,$C$6:$Z$17,T$22+1)</f>
        <v>0</v>
      </c>
      <c r="U224" s="127" t="n">
        <f aca="false">VLOOKUP($B224,$C$6:$AB$17,T$22+3)-SUM(E224:T224)</f>
        <v>0</v>
      </c>
      <c r="W224" s="128" t="n">
        <f aca="false">$D224*E224</f>
        <v>0</v>
      </c>
      <c r="X224" s="128" t="n">
        <f aca="false">$D224*F224</f>
        <v>0</v>
      </c>
      <c r="Y224" s="128" t="n">
        <f aca="false">$D224*G224</f>
        <v>40.6638452805875</v>
      </c>
      <c r="Z224" s="128" t="n">
        <f aca="false">$D224*H224</f>
        <v>43.1347822084948</v>
      </c>
      <c r="AA224" s="128" t="n">
        <f aca="false">$D224*I224</f>
        <v>42.8086687053192</v>
      </c>
      <c r="AB224" s="128" t="n">
        <f aca="false">$D224*J224</f>
        <v>0</v>
      </c>
      <c r="AC224" s="128" t="n">
        <f aca="false">$D224*K224</f>
        <v>0</v>
      </c>
      <c r="AD224" s="128" t="n">
        <f aca="false">$D224*L224</f>
        <v>0</v>
      </c>
      <c r="AE224" s="128" t="n">
        <f aca="false">$D224*M224</f>
        <v>0</v>
      </c>
      <c r="AF224" s="128" t="n">
        <f aca="false">$D224*N224</f>
        <v>0</v>
      </c>
      <c r="AG224" s="128" t="n">
        <f aca="false">$D224*O224</f>
        <v>0</v>
      </c>
      <c r="AH224" s="128" t="n">
        <f aca="false">$D224*P224</f>
        <v>0</v>
      </c>
      <c r="AI224" s="128" t="n">
        <f aca="false">$D224*Q224</f>
        <v>0</v>
      </c>
      <c r="AJ224" s="128" t="n">
        <f aca="false">$D224*R224</f>
        <v>41.6860856847725</v>
      </c>
      <c r="AK224" s="128" t="n">
        <f aca="false">$D224*S224</f>
        <v>0</v>
      </c>
      <c r="AL224" s="128" t="n">
        <f aca="false">$D224*T224</f>
        <v>0</v>
      </c>
      <c r="AN224" s="129" t="n">
        <f aca="false">SUM(W224:AL224)/4</f>
        <v>42.0733454697935</v>
      </c>
      <c r="AO224" s="130" t="n">
        <f aca="false">D224</f>
        <v>38.325</v>
      </c>
    </row>
    <row r="225" customFormat="false" ht="16.5" hidden="false" customHeight="false" outlineLevel="0" collapsed="false">
      <c r="B225" s="116" t="n">
        <f aca="false">MONTH(C225)</f>
        <v>6</v>
      </c>
      <c r="C225" s="125" t="n">
        <f aca="false">PJM_01212000!A209</f>
        <v>41791</v>
      </c>
      <c r="D225" s="126" t="n">
        <f aca="false">PJM_01212000!C209</f>
        <v>65.3499984741211</v>
      </c>
      <c r="E225" s="127" t="n">
        <f aca="false">VLOOKUP($B225,$C$6:$Z$17,E$22+1)</f>
        <v>0</v>
      </c>
      <c r="F225" s="127" t="n">
        <f aca="false">VLOOKUP($B225,$C$6:$Z$17,F$22+1)</f>
        <v>0</v>
      </c>
      <c r="G225" s="127" t="n">
        <f aca="false">VLOOKUP($B225,$C$6:$Z$17,G$22+1)</f>
        <v>0</v>
      </c>
      <c r="H225" s="127" t="n">
        <f aca="false">VLOOKUP($B225,$C$6:$Z$17,H$22+1)</f>
        <v>0</v>
      </c>
      <c r="I225" s="127" t="n">
        <f aca="false">VLOOKUP($B225,$C$6:$Z$17,I$22+1)</f>
        <v>0</v>
      </c>
      <c r="J225" s="127" t="n">
        <f aca="false">VLOOKUP($B225,$C$6:$Z$17,J$22+1)</f>
        <v>0</v>
      </c>
      <c r="K225" s="127" t="n">
        <f aca="false">VLOOKUP($B225,$C$6:$Z$17,K$22+1)</f>
        <v>1.22092018621818</v>
      </c>
      <c r="L225" s="127" t="n">
        <f aca="false">VLOOKUP($B225,$C$6:$Z$17,L$22+1)</f>
        <v>1.23031497714214</v>
      </c>
      <c r="M225" s="127" t="n">
        <f aca="false">VLOOKUP($B225,$C$6:$Z$17,M$22+1)</f>
        <v>1.23232814662584</v>
      </c>
      <c r="N225" s="127" t="n">
        <f aca="false">VLOOKUP($B225,$C$6:$Z$17,N$22+1)</f>
        <v>1.25232563016399</v>
      </c>
      <c r="O225" s="127" t="n">
        <f aca="false">VLOOKUP($B225,$C$6:$Z$17,O$22+1)</f>
        <v>0</v>
      </c>
      <c r="P225" s="127" t="n">
        <f aca="false">VLOOKUP($B225,$C$6:$Z$17,P$22+1)</f>
        <v>0</v>
      </c>
      <c r="Q225" s="127" t="n">
        <f aca="false">VLOOKUP($B225,$C$6:$Z$17,Q$22+1)</f>
        <v>0</v>
      </c>
      <c r="R225" s="127" t="n">
        <f aca="false">VLOOKUP($B225,$C$6:$Z$17,R$22+1)</f>
        <v>0</v>
      </c>
      <c r="S225" s="127" t="n">
        <f aca="false">VLOOKUP($B225,$C$6:$Z$17,S$22+1)</f>
        <v>0</v>
      </c>
      <c r="T225" s="127" t="n">
        <f aca="false">VLOOKUP($B225,$C$6:$Z$17,T$22+1)</f>
        <v>0</v>
      </c>
      <c r="U225" s="127" t="n">
        <f aca="false">VLOOKUP($B225,$C$6:$AB$17,T$22+3)-SUM(E225:T225)</f>
        <v>0</v>
      </c>
      <c r="W225" s="128" t="n">
        <f aca="false">$D225*E225</f>
        <v>0</v>
      </c>
      <c r="X225" s="128" t="n">
        <f aca="false">$D225*F225</f>
        <v>0</v>
      </c>
      <c r="Y225" s="128" t="n">
        <f aca="false">$D225*G225</f>
        <v>0</v>
      </c>
      <c r="Z225" s="128" t="n">
        <f aca="false">$D225*H225</f>
        <v>0</v>
      </c>
      <c r="AA225" s="128" t="n">
        <f aca="false">$D225*I225</f>
        <v>0</v>
      </c>
      <c r="AB225" s="128" t="n">
        <f aca="false">$D225*J225</f>
        <v>0</v>
      </c>
      <c r="AC225" s="128" t="n">
        <f aca="false">$D225*K225</f>
        <v>79.7871323063815</v>
      </c>
      <c r="AD225" s="128" t="n">
        <f aca="false">$D225*L225</f>
        <v>80.4010818789271</v>
      </c>
      <c r="AE225" s="128" t="n">
        <f aca="false">$D225*M225</f>
        <v>80.5326425016154</v>
      </c>
      <c r="AF225" s="128" t="n">
        <f aca="false">$D225*N225</f>
        <v>81.8394780203195</v>
      </c>
      <c r="AG225" s="128" t="n">
        <f aca="false">$D225*O225</f>
        <v>0</v>
      </c>
      <c r="AH225" s="128" t="n">
        <f aca="false">$D225*P225</f>
        <v>0</v>
      </c>
      <c r="AI225" s="128" t="n">
        <f aca="false">$D225*Q225</f>
        <v>0</v>
      </c>
      <c r="AJ225" s="128" t="n">
        <f aca="false">$D225*R225</f>
        <v>0</v>
      </c>
      <c r="AK225" s="128" t="n">
        <f aca="false">$D225*S225</f>
        <v>0</v>
      </c>
      <c r="AL225" s="128" t="n">
        <f aca="false">$D225*T225</f>
        <v>0</v>
      </c>
      <c r="AN225" s="129" t="n">
        <f aca="false">SUM(W225:AL225)/4</f>
        <v>80.6400836768109</v>
      </c>
      <c r="AO225" s="130" t="n">
        <f aca="false">D225</f>
        <v>65.3499984741211</v>
      </c>
    </row>
    <row r="226" customFormat="false" ht="16.5" hidden="false" customHeight="false" outlineLevel="0" collapsed="false">
      <c r="B226" s="116" t="n">
        <f aca="false">MONTH(C226)</f>
        <v>7</v>
      </c>
      <c r="C226" s="125" t="n">
        <f aca="false">PJM_01212000!A210</f>
        <v>41821</v>
      </c>
      <c r="D226" s="126" t="n">
        <f aca="false">PJM_01212000!C210</f>
        <v>115.949996948242</v>
      </c>
      <c r="E226" s="127" t="n">
        <f aca="false">VLOOKUP($B226,$C$6:$Z$17,E$22+1)</f>
        <v>0</v>
      </c>
      <c r="F226" s="127" t="n">
        <f aca="false">VLOOKUP($B226,$C$6:$Z$17,F$22+1)</f>
        <v>0</v>
      </c>
      <c r="G226" s="127" t="n">
        <f aca="false">VLOOKUP($B226,$C$6:$Z$17,G$22+1)</f>
        <v>0</v>
      </c>
      <c r="H226" s="127" t="n">
        <f aca="false">VLOOKUP($B226,$C$6:$Z$17,H$22+1)</f>
        <v>0</v>
      </c>
      <c r="I226" s="127" t="n">
        <f aca="false">VLOOKUP($B226,$C$6:$Z$17,I$22+1)</f>
        <v>0</v>
      </c>
      <c r="J226" s="127" t="n">
        <f aca="false">VLOOKUP($B226,$C$6:$Z$17,J$22+1)</f>
        <v>0</v>
      </c>
      <c r="K226" s="127" t="n">
        <f aca="false">VLOOKUP($B226,$C$6:$Z$17,K$22+1)</f>
        <v>0</v>
      </c>
      <c r="L226" s="127" t="n">
        <f aca="false">VLOOKUP($B226,$C$6:$Z$17,L$22+1)</f>
        <v>1.2506946851613</v>
      </c>
      <c r="M226" s="127" t="n">
        <f aca="false">VLOOKUP($B226,$C$6:$Z$17,M$22+1)</f>
        <v>1.32734019400042</v>
      </c>
      <c r="N226" s="127" t="n">
        <f aca="false">VLOOKUP($B226,$C$6:$Z$17,N$22+1)</f>
        <v>1.35388881627921</v>
      </c>
      <c r="O226" s="127" t="n">
        <f aca="false">VLOOKUP($B226,$C$6:$Z$17,O$22+1)</f>
        <v>1.32033935867348</v>
      </c>
      <c r="P226" s="127" t="n">
        <f aca="false">VLOOKUP($B226,$C$6:$Z$17,P$22+1)</f>
        <v>0</v>
      </c>
      <c r="Q226" s="127" t="n">
        <f aca="false">VLOOKUP($B226,$C$6:$Z$17,Q$22+1)</f>
        <v>0</v>
      </c>
      <c r="R226" s="127" t="n">
        <f aca="false">VLOOKUP($B226,$C$6:$Z$17,R$22+1)</f>
        <v>0</v>
      </c>
      <c r="S226" s="127" t="n">
        <f aca="false">VLOOKUP($B226,$C$6:$Z$17,S$22+1)</f>
        <v>0</v>
      </c>
      <c r="T226" s="127" t="n">
        <f aca="false">VLOOKUP($B226,$C$6:$Z$17,T$22+1)</f>
        <v>0</v>
      </c>
      <c r="U226" s="127" t="n">
        <f aca="false">VLOOKUP($B226,$C$6:$AB$17,T$22+3)-SUM(E226:T226)</f>
        <v>0</v>
      </c>
      <c r="W226" s="128" t="n">
        <f aca="false">$D226*E226</f>
        <v>0</v>
      </c>
      <c r="X226" s="128" t="n">
        <f aca="false">$D226*F226</f>
        <v>0</v>
      </c>
      <c r="Y226" s="128" t="n">
        <f aca="false">$D226*G226</f>
        <v>0</v>
      </c>
      <c r="Z226" s="128" t="n">
        <f aca="false">$D226*H226</f>
        <v>0</v>
      </c>
      <c r="AA226" s="128" t="n">
        <f aca="false">$D226*I226</f>
        <v>0</v>
      </c>
      <c r="AB226" s="128" t="n">
        <f aca="false">$D226*J226</f>
        <v>0</v>
      </c>
      <c r="AC226" s="128" t="n">
        <f aca="false">$D226*K226</f>
        <v>0</v>
      </c>
      <c r="AD226" s="128" t="n">
        <f aca="false">$D226*L226</f>
        <v>145.018044927635</v>
      </c>
      <c r="AE226" s="128" t="n">
        <f aca="false">$D226*M226</f>
        <v>153.905091443628</v>
      </c>
      <c r="AF226" s="128" t="n">
        <f aca="false">$D226*N226</f>
        <v>156.983404115834</v>
      </c>
      <c r="AG226" s="128" t="n">
        <f aca="false">$D226*O226</f>
        <v>153.093344608834</v>
      </c>
      <c r="AH226" s="128" t="n">
        <f aca="false">$D226*P226</f>
        <v>0</v>
      </c>
      <c r="AI226" s="128" t="n">
        <f aca="false">$D226*Q226</f>
        <v>0</v>
      </c>
      <c r="AJ226" s="128" t="n">
        <f aca="false">$D226*R226</f>
        <v>0</v>
      </c>
      <c r="AK226" s="128" t="n">
        <f aca="false">$D226*S226</f>
        <v>0</v>
      </c>
      <c r="AL226" s="128" t="n">
        <f aca="false">$D226*T226</f>
        <v>0</v>
      </c>
      <c r="AN226" s="129" t="n">
        <f aca="false">SUM(W226:AL226)/4</f>
        <v>152.249971273983</v>
      </c>
      <c r="AO226" s="130" t="n">
        <f aca="false">D226</f>
        <v>115.949996948242</v>
      </c>
    </row>
    <row r="227" customFormat="false" ht="16.5" hidden="false" customHeight="false" outlineLevel="0" collapsed="false">
      <c r="B227" s="116" t="n">
        <f aca="false">MONTH(C227)</f>
        <v>8</v>
      </c>
      <c r="C227" s="125" t="n">
        <f aca="false">PJM_01212000!A211</f>
        <v>41852</v>
      </c>
      <c r="D227" s="126" t="n">
        <f aca="false">PJM_01212000!C211</f>
        <v>102.949996948242</v>
      </c>
      <c r="E227" s="127" t="n">
        <f aca="false">VLOOKUP($B227,$C$6:$Z$17,E$22+1)</f>
        <v>0</v>
      </c>
      <c r="F227" s="127" t="n">
        <f aca="false">VLOOKUP($B227,$C$6:$Z$17,F$22+1)</f>
        <v>0</v>
      </c>
      <c r="G227" s="127" t="n">
        <f aca="false">VLOOKUP($B227,$C$6:$Z$17,G$22+1)</f>
        <v>0</v>
      </c>
      <c r="H227" s="127" t="n">
        <f aca="false">VLOOKUP($B227,$C$6:$Z$17,H$22+1)</f>
        <v>0</v>
      </c>
      <c r="I227" s="127" t="n">
        <f aca="false">VLOOKUP($B227,$C$6:$Z$17,I$22+1)</f>
        <v>0</v>
      </c>
      <c r="J227" s="127" t="n">
        <f aca="false">VLOOKUP($B227,$C$6:$Z$17,J$22+1)</f>
        <v>0</v>
      </c>
      <c r="K227" s="127" t="n">
        <f aca="false">VLOOKUP($B227,$C$6:$Z$17,K$22+1)</f>
        <v>1.19072909190695</v>
      </c>
      <c r="L227" s="127" t="n">
        <f aca="false">VLOOKUP($B227,$C$6:$Z$17,L$22+1)</f>
        <v>1.26057331025457</v>
      </c>
      <c r="M227" s="127" t="n">
        <f aca="false">VLOOKUP($B227,$C$6:$Z$17,M$22+1)</f>
        <v>1.24301093426774</v>
      </c>
      <c r="N227" s="127" t="n">
        <f aca="false">VLOOKUP($B227,$C$6:$Z$17,N$22+1)</f>
        <v>1.21504622788872</v>
      </c>
      <c r="O227" s="127" t="n">
        <f aca="false">VLOOKUP($B227,$C$6:$Z$17,O$22+1)</f>
        <v>0</v>
      </c>
      <c r="P227" s="127" t="n">
        <f aca="false">VLOOKUP($B227,$C$6:$Z$17,P$22+1)</f>
        <v>0</v>
      </c>
      <c r="Q227" s="127" t="n">
        <f aca="false">VLOOKUP($B227,$C$6:$Z$17,Q$22+1)</f>
        <v>0</v>
      </c>
      <c r="R227" s="127" t="n">
        <f aca="false">VLOOKUP($B227,$C$6:$Z$17,R$22+1)</f>
        <v>0</v>
      </c>
      <c r="S227" s="127" t="n">
        <f aca="false">VLOOKUP($B227,$C$6:$Z$17,S$22+1)</f>
        <v>0</v>
      </c>
      <c r="T227" s="127" t="n">
        <f aca="false">VLOOKUP($B227,$C$6:$Z$17,T$22+1)</f>
        <v>0</v>
      </c>
      <c r="U227" s="127" t="n">
        <f aca="false">VLOOKUP($B227,$C$6:$AB$17,T$22+3)-SUM(E227:T227)</f>
        <v>0</v>
      </c>
      <c r="W227" s="128" t="n">
        <f aca="false">$D227*E227</f>
        <v>0</v>
      </c>
      <c r="X227" s="128" t="n">
        <f aca="false">$D227*F227</f>
        <v>0</v>
      </c>
      <c r="Y227" s="128" t="n">
        <f aca="false">$D227*G227</f>
        <v>0</v>
      </c>
      <c r="Z227" s="128" t="n">
        <f aca="false">$D227*H227</f>
        <v>0</v>
      </c>
      <c r="AA227" s="128" t="n">
        <f aca="false">$D227*I227</f>
        <v>0</v>
      </c>
      <c r="AB227" s="128" t="n">
        <f aca="false">$D227*J227</f>
        <v>0</v>
      </c>
      <c r="AC227" s="128" t="n">
        <f aca="false">$D227*K227</f>
        <v>122.585556378004</v>
      </c>
      <c r="AD227" s="128" t="n">
        <f aca="false">$D227*L227</f>
        <v>129.776018443744</v>
      </c>
      <c r="AE227" s="128" t="n">
        <f aca="false">$D227*M227</f>
        <v>127.967971889496</v>
      </c>
      <c r="AF227" s="128" t="n">
        <f aca="false">$D227*N227</f>
        <v>125.089005453116</v>
      </c>
      <c r="AG227" s="128" t="n">
        <f aca="false">$D227*O227</f>
        <v>0</v>
      </c>
      <c r="AH227" s="128" t="n">
        <f aca="false">$D227*P227</f>
        <v>0</v>
      </c>
      <c r="AI227" s="128" t="n">
        <f aca="false">$D227*Q227</f>
        <v>0</v>
      </c>
      <c r="AJ227" s="128" t="n">
        <f aca="false">$D227*R227</f>
        <v>0</v>
      </c>
      <c r="AK227" s="128" t="n">
        <f aca="false">$D227*S227</f>
        <v>0</v>
      </c>
      <c r="AL227" s="128" t="n">
        <f aca="false">$D227*T227</f>
        <v>0</v>
      </c>
      <c r="AN227" s="129" t="n">
        <f aca="false">SUM(W227:AL227)/4</f>
        <v>126.35463804109</v>
      </c>
      <c r="AO227" s="130" t="n">
        <f aca="false">D227</f>
        <v>102.949996948242</v>
      </c>
    </row>
    <row r="228" customFormat="false" ht="16.5" hidden="false" customHeight="false" outlineLevel="0" collapsed="false">
      <c r="B228" s="116" t="n">
        <f aca="false">MONTH(C228)</f>
        <v>9</v>
      </c>
      <c r="C228" s="125" t="n">
        <f aca="false">PJM_01212000!A212</f>
        <v>41883</v>
      </c>
      <c r="D228" s="126" t="n">
        <f aca="false">PJM_01212000!C212</f>
        <v>38.4249984741211</v>
      </c>
      <c r="E228" s="127" t="n">
        <f aca="false">VLOOKUP($B228,$C$6:$Z$17,E$22+1)</f>
        <v>0</v>
      </c>
      <c r="F228" s="127" t="n">
        <f aca="false">VLOOKUP($B228,$C$6:$Z$17,F$22+1)</f>
        <v>0</v>
      </c>
      <c r="G228" s="127" t="n">
        <f aca="false">VLOOKUP($B228,$C$6:$Z$17,G$22+1)</f>
        <v>0</v>
      </c>
      <c r="H228" s="127" t="n">
        <f aca="false">VLOOKUP($B228,$C$6:$Z$17,H$22+1)</f>
        <v>0</v>
      </c>
      <c r="I228" s="127" t="n">
        <f aca="false">VLOOKUP($B228,$C$6:$Z$17,I$22+1)</f>
        <v>0</v>
      </c>
      <c r="J228" s="127" t="n">
        <f aca="false">VLOOKUP($B228,$C$6:$Z$17,J$22+1)</f>
        <v>0</v>
      </c>
      <c r="K228" s="127" t="n">
        <f aca="false">VLOOKUP($B228,$C$6:$Z$17,K$22+1)</f>
        <v>0</v>
      </c>
      <c r="L228" s="127" t="n">
        <f aca="false">VLOOKUP($B228,$C$6:$Z$17,L$22+1)</f>
        <v>0</v>
      </c>
      <c r="M228" s="127" t="n">
        <f aca="false">VLOOKUP($B228,$C$6:$Z$17,M$22+1)</f>
        <v>0</v>
      </c>
      <c r="N228" s="127" t="n">
        <f aca="false">VLOOKUP($B228,$C$6:$Z$17,N$22+1)</f>
        <v>1.13452840898687</v>
      </c>
      <c r="O228" s="127" t="n">
        <f aca="false">VLOOKUP($B228,$C$6:$Z$17,O$22+1)</f>
        <v>1.1066962078626</v>
      </c>
      <c r="P228" s="127" t="n">
        <f aca="false">VLOOKUP($B228,$C$6:$Z$17,P$22+1)</f>
        <v>0</v>
      </c>
      <c r="Q228" s="127" t="n">
        <f aca="false">VLOOKUP($B228,$C$6:$Z$17,Q$22+1)</f>
        <v>1.18462637101057</v>
      </c>
      <c r="R228" s="127" t="n">
        <f aca="false">VLOOKUP($B228,$C$6:$Z$17,R$22+1)</f>
        <v>1.1944408840386</v>
      </c>
      <c r="S228" s="127" t="n">
        <f aca="false">VLOOKUP($B228,$C$6:$Z$17,S$22+1)</f>
        <v>0</v>
      </c>
      <c r="T228" s="127" t="n">
        <f aca="false">VLOOKUP($B228,$C$6:$Z$17,T$22+1)</f>
        <v>0</v>
      </c>
      <c r="U228" s="127" t="n">
        <f aca="false">VLOOKUP($B228,$C$6:$AB$17,T$22+3)-SUM(E228:T228)</f>
        <v>0</v>
      </c>
      <c r="W228" s="128" t="n">
        <f aca="false">$D228*E228</f>
        <v>0</v>
      </c>
      <c r="X228" s="128" t="n">
        <f aca="false">$D228*F228</f>
        <v>0</v>
      </c>
      <c r="Y228" s="128" t="n">
        <f aca="false">$D228*G228</f>
        <v>0</v>
      </c>
      <c r="Z228" s="128" t="n">
        <f aca="false">$D228*H228</f>
        <v>0</v>
      </c>
      <c r="AA228" s="128" t="n">
        <f aca="false">$D228*I228</f>
        <v>0</v>
      </c>
      <c r="AB228" s="128" t="n">
        <f aca="false">$D228*J228</f>
        <v>0</v>
      </c>
      <c r="AC228" s="128" t="n">
        <f aca="false">$D228*K228</f>
        <v>0</v>
      </c>
      <c r="AD228" s="128" t="n">
        <f aca="false">$D228*L228</f>
        <v>0</v>
      </c>
      <c r="AE228" s="128" t="n">
        <f aca="false">$D228*M228</f>
        <v>0</v>
      </c>
      <c r="AF228" s="128" t="n">
        <f aca="false">$D228*N228</f>
        <v>43.5942523841676</v>
      </c>
      <c r="AG228" s="128" t="n">
        <f aca="false">$D228*O228</f>
        <v>42.5248000984359</v>
      </c>
      <c r="AH228" s="128" t="n">
        <f aca="false">$D228*P228</f>
        <v>0</v>
      </c>
      <c r="AI228" s="128" t="n">
        <f aca="false">$D228*Q228</f>
        <v>45.5192664984846</v>
      </c>
      <c r="AJ228" s="128" t="n">
        <f aca="false">$D228*R228</f>
        <v>45.896389146611</v>
      </c>
      <c r="AK228" s="128" t="n">
        <f aca="false">$D228*S228</f>
        <v>0</v>
      </c>
      <c r="AL228" s="128" t="n">
        <f aca="false">$D228*T228</f>
        <v>0</v>
      </c>
      <c r="AN228" s="129" t="n">
        <f aca="false">SUM(W228:AL228)/4</f>
        <v>44.3836770319248</v>
      </c>
      <c r="AO228" s="130" t="n">
        <f aca="false">D228</f>
        <v>38.4249984741211</v>
      </c>
    </row>
    <row r="229" customFormat="false" ht="16.5" hidden="false" customHeight="false" outlineLevel="0" collapsed="false">
      <c r="B229" s="116" t="n">
        <f aca="false">MONTH(C229)</f>
        <v>10</v>
      </c>
      <c r="C229" s="125" t="n">
        <f aca="false">PJM_01212000!A213</f>
        <v>41913</v>
      </c>
      <c r="D229" s="126" t="n">
        <f aca="false">PJM_01212000!C213</f>
        <v>31.0750003814697</v>
      </c>
      <c r="E229" s="127" t="n">
        <f aca="false">VLOOKUP($B229,$C$6:$Z$17,E$22+1)</f>
        <v>0</v>
      </c>
      <c r="F229" s="127" t="n">
        <f aca="false">VLOOKUP($B229,$C$6:$Z$17,F$22+1)</f>
        <v>1.1326</v>
      </c>
      <c r="G229" s="127" t="n">
        <f aca="false">VLOOKUP($B229,$C$6:$Z$17,G$22+1)</f>
        <v>0</v>
      </c>
      <c r="H229" s="127" t="n">
        <f aca="false">VLOOKUP($B229,$C$6:$Z$17,H$22+1)</f>
        <v>0</v>
      </c>
      <c r="I229" s="127" t="n">
        <f aca="false">VLOOKUP($B229,$C$6:$Z$17,I$22+1)</f>
        <v>0</v>
      </c>
      <c r="J229" s="127" t="n">
        <f aca="false">VLOOKUP($B229,$C$6:$Z$17,J$22+1)</f>
        <v>0</v>
      </c>
      <c r="K229" s="127" t="n">
        <f aca="false">VLOOKUP($B229,$C$6:$Z$17,K$22+1)</f>
        <v>0</v>
      </c>
      <c r="L229" s="127" t="n">
        <f aca="false">VLOOKUP($B229,$C$6:$Z$17,L$22+1)</f>
        <v>0</v>
      </c>
      <c r="M229" s="127" t="n">
        <f aca="false">VLOOKUP($B229,$C$6:$Z$17,M$22+1)</f>
        <v>0</v>
      </c>
      <c r="N229" s="127" t="n">
        <f aca="false">VLOOKUP($B229,$C$6:$Z$17,N$22+1)</f>
        <v>0</v>
      </c>
      <c r="O229" s="127" t="n">
        <f aca="false">VLOOKUP($B229,$C$6:$Z$17,O$22+1)</f>
        <v>1.2001</v>
      </c>
      <c r="P229" s="127" t="n">
        <f aca="false">VLOOKUP($B229,$C$6:$Z$17,P$22+1)</f>
        <v>1.2095</v>
      </c>
      <c r="Q229" s="127" t="n">
        <f aca="false">VLOOKUP($B229,$C$6:$Z$17,Q$22+1)</f>
        <v>1.1567</v>
      </c>
      <c r="R229" s="127" t="n">
        <f aca="false">VLOOKUP($B229,$C$6:$Z$17,R$22+1)</f>
        <v>0</v>
      </c>
      <c r="S229" s="127" t="n">
        <f aca="false">VLOOKUP($B229,$C$6:$Z$17,S$22+1)</f>
        <v>0</v>
      </c>
      <c r="T229" s="127" t="n">
        <f aca="false">VLOOKUP($B229,$C$6:$Z$17,T$22+1)</f>
        <v>0</v>
      </c>
      <c r="U229" s="127" t="n">
        <f aca="false">VLOOKUP($B229,$C$6:$AB$17,T$22+3)-SUM(E229:T229)</f>
        <v>0</v>
      </c>
      <c r="W229" s="128" t="n">
        <f aca="false">$D229*E229</f>
        <v>0</v>
      </c>
      <c r="X229" s="128" t="n">
        <f aca="false">$D229*F229</f>
        <v>35.1955454320526</v>
      </c>
      <c r="Y229" s="128" t="n">
        <f aca="false">$D229*G229</f>
        <v>0</v>
      </c>
      <c r="Z229" s="128" t="n">
        <f aca="false">$D229*H229</f>
        <v>0</v>
      </c>
      <c r="AA229" s="128" t="n">
        <f aca="false">$D229*I229</f>
        <v>0</v>
      </c>
      <c r="AB229" s="128" t="n">
        <f aca="false">$D229*J229</f>
        <v>0</v>
      </c>
      <c r="AC229" s="128" t="n">
        <f aca="false">$D229*K229</f>
        <v>0</v>
      </c>
      <c r="AD229" s="128" t="n">
        <f aca="false">$D229*L229</f>
        <v>0</v>
      </c>
      <c r="AE229" s="128" t="n">
        <f aca="false">$D229*M229</f>
        <v>0</v>
      </c>
      <c r="AF229" s="128" t="n">
        <f aca="false">$D229*N229</f>
        <v>0</v>
      </c>
      <c r="AG229" s="128" t="n">
        <f aca="false">$D229*O229</f>
        <v>37.2931079578018</v>
      </c>
      <c r="AH229" s="128" t="n">
        <f aca="false">$D229*P229</f>
        <v>37.5852129613876</v>
      </c>
      <c r="AI229" s="128" t="n">
        <f aca="false">$D229*Q229</f>
        <v>35.944452941246</v>
      </c>
      <c r="AJ229" s="128" t="n">
        <f aca="false">$D229*R229</f>
        <v>0</v>
      </c>
      <c r="AK229" s="128" t="n">
        <f aca="false">$D229*S229</f>
        <v>0</v>
      </c>
      <c r="AL229" s="128" t="n">
        <f aca="false">$D229*T229</f>
        <v>0</v>
      </c>
      <c r="AN229" s="129" t="n">
        <f aca="false">SUM(W229:AL229)/4</f>
        <v>36.504579823122</v>
      </c>
      <c r="AO229" s="130" t="n">
        <f aca="false">D229</f>
        <v>31.0750003814697</v>
      </c>
    </row>
    <row r="230" customFormat="false" ht="16.5" hidden="false" customHeight="false" outlineLevel="0" collapsed="false">
      <c r="B230" s="116" t="n">
        <f aca="false">MONTH(C230)</f>
        <v>11</v>
      </c>
      <c r="C230" s="125" t="n">
        <f aca="false">PJM_01212000!A214</f>
        <v>41944</v>
      </c>
      <c r="D230" s="126" t="n">
        <f aca="false">PJM_01212000!C214</f>
        <v>30.7474990844727</v>
      </c>
      <c r="E230" s="127" t="n">
        <f aca="false">VLOOKUP($B230,$C$6:$Z$17,E$22+1)</f>
        <v>0</v>
      </c>
      <c r="F230" s="127" t="n">
        <f aca="false">VLOOKUP($B230,$C$6:$Z$17,F$22+1)</f>
        <v>1.1426</v>
      </c>
      <c r="G230" s="127" t="n">
        <f aca="false">VLOOKUP($B230,$C$6:$Z$17,G$22+1)</f>
        <v>0</v>
      </c>
      <c r="H230" s="127" t="n">
        <f aca="false">VLOOKUP($B230,$C$6:$Z$17,H$22+1)</f>
        <v>0</v>
      </c>
      <c r="I230" s="127" t="n">
        <f aca="false">VLOOKUP($B230,$C$6:$Z$17,I$22+1)</f>
        <v>0</v>
      </c>
      <c r="J230" s="127" t="n">
        <f aca="false">VLOOKUP($B230,$C$6:$Z$17,J$22+1)</f>
        <v>0</v>
      </c>
      <c r="K230" s="127" t="n">
        <f aca="false">VLOOKUP($B230,$C$6:$Z$17,K$22+1)</f>
        <v>0</v>
      </c>
      <c r="L230" s="127" t="n">
        <f aca="false">VLOOKUP($B230,$C$6:$Z$17,L$22+1)</f>
        <v>0</v>
      </c>
      <c r="M230" s="127" t="n">
        <f aca="false">VLOOKUP($B230,$C$6:$Z$17,M$22+1)</f>
        <v>0</v>
      </c>
      <c r="N230" s="127" t="n">
        <f aca="false">VLOOKUP($B230,$C$6:$Z$17,N$22+1)</f>
        <v>0</v>
      </c>
      <c r="O230" s="127" t="n">
        <f aca="false">VLOOKUP($B230,$C$6:$Z$17,O$22+1)</f>
        <v>1.2171</v>
      </c>
      <c r="P230" s="127" t="n">
        <f aca="false">VLOOKUP($B230,$C$6:$Z$17,P$22+1)</f>
        <v>1.2269</v>
      </c>
      <c r="Q230" s="127" t="n">
        <f aca="false">VLOOKUP($B230,$C$6:$Z$17,Q$22+1)</f>
        <v>1.1767</v>
      </c>
      <c r="R230" s="127" t="n">
        <f aca="false">VLOOKUP($B230,$C$6:$Z$17,R$22+1)</f>
        <v>0</v>
      </c>
      <c r="S230" s="127" t="n">
        <f aca="false">VLOOKUP($B230,$C$6:$Z$17,S$22+1)</f>
        <v>0</v>
      </c>
      <c r="T230" s="127" t="n">
        <f aca="false">VLOOKUP($B230,$C$6:$Z$17,T$22+1)</f>
        <v>0</v>
      </c>
      <c r="U230" s="127" t="n">
        <f aca="false">VLOOKUP($B230,$C$6:$AB$17,T$22+3)-SUM(E230:T230)</f>
        <v>0</v>
      </c>
      <c r="W230" s="128" t="n">
        <f aca="false">$D230*E230</f>
        <v>0</v>
      </c>
      <c r="X230" s="128" t="n">
        <f aca="false">$D230*F230</f>
        <v>35.1320924539185</v>
      </c>
      <c r="Y230" s="128" t="n">
        <f aca="false">$D230*G230</f>
        <v>0</v>
      </c>
      <c r="Z230" s="128" t="n">
        <f aca="false">$D230*H230</f>
        <v>0</v>
      </c>
      <c r="AA230" s="128" t="n">
        <f aca="false">$D230*I230</f>
        <v>0</v>
      </c>
      <c r="AB230" s="128" t="n">
        <f aca="false">$D230*J230</f>
        <v>0</v>
      </c>
      <c r="AC230" s="128" t="n">
        <f aca="false">$D230*K230</f>
        <v>0</v>
      </c>
      <c r="AD230" s="128" t="n">
        <f aca="false">$D230*L230</f>
        <v>0</v>
      </c>
      <c r="AE230" s="128" t="n">
        <f aca="false">$D230*M230</f>
        <v>0</v>
      </c>
      <c r="AF230" s="128" t="n">
        <f aca="false">$D230*N230</f>
        <v>0</v>
      </c>
      <c r="AG230" s="128" t="n">
        <f aca="false">$D230*O230</f>
        <v>37.4227811357117</v>
      </c>
      <c r="AH230" s="128" t="n">
        <f aca="false">$D230*P230</f>
        <v>37.7241066267395</v>
      </c>
      <c r="AI230" s="128" t="n">
        <f aca="false">$D230*Q230</f>
        <v>36.180582172699</v>
      </c>
      <c r="AJ230" s="128" t="n">
        <f aca="false">$D230*R230</f>
        <v>0</v>
      </c>
      <c r="AK230" s="128" t="n">
        <f aca="false">$D230*S230</f>
        <v>0</v>
      </c>
      <c r="AL230" s="128" t="n">
        <f aca="false">$D230*T230</f>
        <v>0</v>
      </c>
      <c r="AN230" s="129" t="n">
        <f aca="false">SUM(W230:AL230)/4</f>
        <v>36.6148905972672</v>
      </c>
      <c r="AO230" s="130" t="n">
        <f aca="false">D230</f>
        <v>30.7474990844727</v>
      </c>
    </row>
    <row r="231" customFormat="false" ht="16.5" hidden="false" customHeight="false" outlineLevel="0" collapsed="false">
      <c r="B231" s="116" t="n">
        <f aca="false">MONTH(C231)</f>
        <v>12</v>
      </c>
      <c r="C231" s="125" t="n">
        <f aca="false">PJM_01212000!A215</f>
        <v>41974</v>
      </c>
      <c r="D231" s="126" t="n">
        <f aca="false">PJM_01212000!C215</f>
        <v>32.4999996185303</v>
      </c>
      <c r="E231" s="127" t="n">
        <f aca="false">VLOOKUP($B231,$C$6:$Z$17,E$22+1)</f>
        <v>0</v>
      </c>
      <c r="F231" s="127" t="n">
        <f aca="false">VLOOKUP($B231,$C$6:$Z$17,F$22+1)</f>
        <v>1.1638</v>
      </c>
      <c r="G231" s="127" t="n">
        <f aca="false">VLOOKUP($B231,$C$6:$Z$17,G$22+1)</f>
        <v>0</v>
      </c>
      <c r="H231" s="127" t="n">
        <f aca="false">VLOOKUP($B231,$C$6:$Z$17,H$22+1)</f>
        <v>0</v>
      </c>
      <c r="I231" s="127" t="n">
        <f aca="false">VLOOKUP($B231,$C$6:$Z$17,I$22+1)</f>
        <v>0</v>
      </c>
      <c r="J231" s="127" t="n">
        <f aca="false">VLOOKUP($B231,$C$6:$Z$17,J$22+1)</f>
        <v>0</v>
      </c>
      <c r="K231" s="127" t="n">
        <f aca="false">VLOOKUP($B231,$C$6:$Z$17,K$22+1)</f>
        <v>0</v>
      </c>
      <c r="L231" s="127" t="n">
        <f aca="false">VLOOKUP($B231,$C$6:$Z$17,L$22+1)</f>
        <v>0</v>
      </c>
      <c r="M231" s="127" t="n">
        <f aca="false">VLOOKUP($B231,$C$6:$Z$17,M$22+1)</f>
        <v>0</v>
      </c>
      <c r="N231" s="127" t="n">
        <f aca="false">VLOOKUP($B231,$C$6:$Z$17,N$22+1)</f>
        <v>0</v>
      </c>
      <c r="O231" s="127" t="n">
        <f aca="false">VLOOKUP($B231,$C$6:$Z$17,O$22+1)</f>
        <v>1.23965925286319</v>
      </c>
      <c r="P231" s="127" t="n">
        <f aca="false">VLOOKUP($B231,$C$6:$Z$17,P$22+1)</f>
        <v>1.2314</v>
      </c>
      <c r="Q231" s="127" t="n">
        <f aca="false">VLOOKUP($B231,$C$6:$Z$17,Q$22+1)</f>
        <v>1.18899630831453</v>
      </c>
      <c r="R231" s="127" t="n">
        <f aca="false">VLOOKUP($B231,$C$6:$Z$17,R$22+1)</f>
        <v>0</v>
      </c>
      <c r="S231" s="127" t="n">
        <f aca="false">VLOOKUP($B231,$C$6:$Z$17,S$22+1)</f>
        <v>0</v>
      </c>
      <c r="T231" s="127" t="n">
        <f aca="false">VLOOKUP($B231,$C$6:$Z$17,T$22+1)</f>
        <v>0</v>
      </c>
      <c r="U231" s="127" t="n">
        <f aca="false">VLOOKUP($B231,$C$6:$AB$17,T$22+3)-SUM(E231:T231)</f>
        <v>0</v>
      </c>
      <c r="W231" s="128" t="n">
        <f aca="false">$D231*E231</f>
        <v>0</v>
      </c>
      <c r="X231" s="128" t="n">
        <f aca="false">$D231*F231</f>
        <v>37.8234995560455</v>
      </c>
      <c r="Y231" s="128" t="n">
        <f aca="false">$D231*G231</f>
        <v>0</v>
      </c>
      <c r="Z231" s="128" t="n">
        <f aca="false">$D231*H231</f>
        <v>0</v>
      </c>
      <c r="AA231" s="128" t="n">
        <f aca="false">$D231*I231</f>
        <v>0</v>
      </c>
      <c r="AB231" s="128" t="n">
        <f aca="false">$D231*J231</f>
        <v>0</v>
      </c>
      <c r="AC231" s="128" t="n">
        <f aca="false">$D231*K231</f>
        <v>0</v>
      </c>
      <c r="AD231" s="128" t="n">
        <f aca="false">$D231*L231</f>
        <v>0</v>
      </c>
      <c r="AE231" s="128" t="n">
        <f aca="false">$D231*M231</f>
        <v>0</v>
      </c>
      <c r="AF231" s="128" t="n">
        <f aca="false">$D231*N231</f>
        <v>0</v>
      </c>
      <c r="AG231" s="128" t="n">
        <f aca="false">$D231*O231</f>
        <v>40.2889252451612</v>
      </c>
      <c r="AH231" s="128" t="n">
        <f aca="false">$D231*P231</f>
        <v>40.0204995302582</v>
      </c>
      <c r="AI231" s="128" t="n">
        <f aca="false">$D231*Q231</f>
        <v>38.6423795666561</v>
      </c>
      <c r="AJ231" s="128" t="n">
        <f aca="false">$D231*R231</f>
        <v>0</v>
      </c>
      <c r="AK231" s="128" t="n">
        <f aca="false">$D231*S231</f>
        <v>0</v>
      </c>
      <c r="AL231" s="128" t="n">
        <f aca="false">$D231*T231</f>
        <v>0</v>
      </c>
      <c r="AN231" s="129" t="n">
        <f aca="false">SUM(W231:AL231)/4</f>
        <v>39.1938259745303</v>
      </c>
      <c r="AO231" s="130" t="n">
        <f aca="false">D231</f>
        <v>32.4999996185303</v>
      </c>
    </row>
    <row r="232" customFormat="false" ht="16.5" hidden="false" customHeight="false" outlineLevel="0" collapsed="false">
      <c r="B232" s="116" t="n">
        <f aca="false">MONTH(C232)</f>
        <v>1</v>
      </c>
      <c r="C232" s="125" t="n">
        <f aca="false">PJM_01212000!A216</f>
        <v>42005</v>
      </c>
      <c r="D232" s="126" t="n">
        <f aca="false">PJM_01212000!C216</f>
        <v>41.0749984741211</v>
      </c>
      <c r="E232" s="127" t="n">
        <f aca="false">VLOOKUP($B232,$C$6:$Z$17,E$22+1)</f>
        <v>0</v>
      </c>
      <c r="F232" s="127" t="n">
        <f aca="false">VLOOKUP($B232,$C$6:$Z$17,F$22+1)</f>
        <v>1.19981175661928</v>
      </c>
      <c r="G232" s="127" t="n">
        <f aca="false">VLOOKUP($B232,$C$6:$Z$17,G$22+1)</f>
        <v>1.19616001156207</v>
      </c>
      <c r="H232" s="127" t="n">
        <f aca="false">VLOOKUP($B232,$C$6:$Z$17,H$22+1)</f>
        <v>0</v>
      </c>
      <c r="I232" s="127" t="n">
        <f aca="false">VLOOKUP($B232,$C$6:$Z$17,I$22+1)</f>
        <v>0</v>
      </c>
      <c r="J232" s="127" t="n">
        <f aca="false">VLOOKUP($B232,$C$6:$Z$17,J$22+1)</f>
        <v>0</v>
      </c>
      <c r="K232" s="127" t="n">
        <f aca="false">VLOOKUP($B232,$C$6:$Z$17,K$22+1)</f>
        <v>0</v>
      </c>
      <c r="L232" s="127" t="n">
        <f aca="false">VLOOKUP($B232,$C$6:$Z$17,L$22+1)</f>
        <v>0</v>
      </c>
      <c r="M232" s="127" t="n">
        <f aca="false">VLOOKUP($B232,$C$6:$Z$17,M$22+1)</f>
        <v>0</v>
      </c>
      <c r="N232" s="127" t="n">
        <f aca="false">VLOOKUP($B232,$C$6:$Z$17,N$22+1)</f>
        <v>0</v>
      </c>
      <c r="O232" s="127" t="n">
        <f aca="false">VLOOKUP($B232,$C$6:$Z$17,O$22+1)</f>
        <v>0</v>
      </c>
      <c r="P232" s="127" t="n">
        <f aca="false">VLOOKUP($B232,$C$6:$Z$17,P$22+1)</f>
        <v>1.28189922894351</v>
      </c>
      <c r="Q232" s="127" t="n">
        <f aca="false">VLOOKUP($B232,$C$6:$Z$17,Q$22+1)</f>
        <v>1.227</v>
      </c>
      <c r="R232" s="127" t="n">
        <f aca="false">VLOOKUP($B232,$C$6:$Z$17,R$22+1)</f>
        <v>0</v>
      </c>
      <c r="S232" s="127" t="n">
        <f aca="false">VLOOKUP($B232,$C$6:$Z$17,S$22+1)</f>
        <v>0</v>
      </c>
      <c r="T232" s="127" t="n">
        <f aca="false">VLOOKUP($B232,$C$6:$Z$17,T$22+1)</f>
        <v>0</v>
      </c>
      <c r="U232" s="127" t="n">
        <f aca="false">VLOOKUP($B232,$C$6:$AB$17,T$22+3)-SUM(E232:T232)</f>
        <v>0</v>
      </c>
      <c r="W232" s="128" t="n">
        <f aca="false">$D232*E232</f>
        <v>0</v>
      </c>
      <c r="X232" s="128" t="n">
        <f aca="false">$D232*F232</f>
        <v>49.2822660723696</v>
      </c>
      <c r="Y232" s="128" t="n">
        <f aca="false">$D232*G232</f>
        <v>49.1322706497168</v>
      </c>
      <c r="Z232" s="128" t="n">
        <f aca="false">$D232*H232</f>
        <v>0</v>
      </c>
      <c r="AA232" s="128" t="n">
        <f aca="false">$D232*I232</f>
        <v>0</v>
      </c>
      <c r="AB232" s="128" t="n">
        <f aca="false">$D232*J232</f>
        <v>0</v>
      </c>
      <c r="AC232" s="128" t="n">
        <f aca="false">$D232*K232</f>
        <v>0</v>
      </c>
      <c r="AD232" s="128" t="n">
        <f aca="false">$D232*L232</f>
        <v>0</v>
      </c>
      <c r="AE232" s="128" t="n">
        <f aca="false">$D232*M232</f>
        <v>0</v>
      </c>
      <c r="AF232" s="128" t="n">
        <f aca="false">$D232*N232</f>
        <v>0</v>
      </c>
      <c r="AG232" s="128" t="n">
        <f aca="false">$D232*O232</f>
        <v>0</v>
      </c>
      <c r="AH232" s="128" t="n">
        <f aca="false">$D232*P232</f>
        <v>52.6540088728317</v>
      </c>
      <c r="AI232" s="128" t="n">
        <f aca="false">$D232*Q232</f>
        <v>50.3990231277466</v>
      </c>
      <c r="AJ232" s="128" t="n">
        <f aca="false">$D232*R232</f>
        <v>0</v>
      </c>
      <c r="AK232" s="128" t="n">
        <f aca="false">$D232*S232</f>
        <v>0</v>
      </c>
      <c r="AL232" s="128" t="n">
        <f aca="false">$D232*T232</f>
        <v>0</v>
      </c>
      <c r="AN232" s="129" t="n">
        <f aca="false">SUM(W232:AL232)/4</f>
        <v>50.3668921806662</v>
      </c>
      <c r="AO232" s="130" t="n">
        <f aca="false">D232</f>
        <v>41.0749984741211</v>
      </c>
    </row>
    <row r="233" customFormat="false" ht="16.5" hidden="false" customHeight="false" outlineLevel="0" collapsed="false">
      <c r="B233" s="116" t="n">
        <f aca="false">MONTH(C233)</f>
        <v>2</v>
      </c>
      <c r="C233" s="125" t="n">
        <f aca="false">PJM_01212000!A217</f>
        <v>42036</v>
      </c>
      <c r="D233" s="126" t="n">
        <f aca="false">PJM_01212000!C217</f>
        <v>41.0749984741211</v>
      </c>
      <c r="E233" s="127" t="n">
        <f aca="false">VLOOKUP($B233,$C$6:$Z$17,E$22+1)</f>
        <v>0</v>
      </c>
      <c r="F233" s="127" t="n">
        <f aca="false">VLOOKUP($B233,$C$6:$Z$17,F$22+1)</f>
        <v>1.19981175661928</v>
      </c>
      <c r="G233" s="127" t="n">
        <f aca="false">VLOOKUP($B233,$C$6:$Z$17,G$22+1)</f>
        <v>1.19616001156207</v>
      </c>
      <c r="H233" s="127" t="n">
        <f aca="false">VLOOKUP($B233,$C$6:$Z$17,H$22+1)</f>
        <v>0</v>
      </c>
      <c r="I233" s="127" t="n">
        <f aca="false">VLOOKUP($B233,$C$6:$Z$17,I$22+1)</f>
        <v>0</v>
      </c>
      <c r="J233" s="127" t="n">
        <f aca="false">VLOOKUP($B233,$C$6:$Z$17,J$22+1)</f>
        <v>0</v>
      </c>
      <c r="K233" s="127" t="n">
        <f aca="false">VLOOKUP($B233,$C$6:$Z$17,K$22+1)</f>
        <v>0</v>
      </c>
      <c r="L233" s="127" t="n">
        <f aca="false">VLOOKUP($B233,$C$6:$Z$17,L$22+1)</f>
        <v>0</v>
      </c>
      <c r="M233" s="127" t="n">
        <f aca="false">VLOOKUP($B233,$C$6:$Z$17,M$22+1)</f>
        <v>0</v>
      </c>
      <c r="N233" s="127" t="n">
        <f aca="false">VLOOKUP($B233,$C$6:$Z$17,N$22+1)</f>
        <v>0</v>
      </c>
      <c r="O233" s="127" t="n">
        <f aca="false">VLOOKUP($B233,$C$6:$Z$17,O$22+1)</f>
        <v>0</v>
      </c>
      <c r="P233" s="127" t="n">
        <f aca="false">VLOOKUP($B233,$C$6:$Z$17,P$22+1)</f>
        <v>1.28189922894351</v>
      </c>
      <c r="Q233" s="127" t="n">
        <f aca="false">VLOOKUP($B233,$C$6:$Z$17,Q$22+1)</f>
        <v>1.227</v>
      </c>
      <c r="R233" s="127" t="n">
        <f aca="false">VLOOKUP($B233,$C$6:$Z$17,R$22+1)</f>
        <v>0</v>
      </c>
      <c r="S233" s="127" t="n">
        <f aca="false">VLOOKUP($B233,$C$6:$Z$17,S$22+1)</f>
        <v>0</v>
      </c>
      <c r="T233" s="127" t="n">
        <f aca="false">VLOOKUP($B233,$C$6:$Z$17,T$22+1)</f>
        <v>0</v>
      </c>
      <c r="U233" s="127" t="n">
        <f aca="false">VLOOKUP($B233,$C$6:$AB$17,T$22+3)-SUM(E233:T233)</f>
        <v>0</v>
      </c>
      <c r="W233" s="128" t="n">
        <f aca="false">$D233*E233</f>
        <v>0</v>
      </c>
      <c r="X233" s="128" t="n">
        <f aca="false">$D233*F233</f>
        <v>49.2822660723696</v>
      </c>
      <c r="Y233" s="128" t="n">
        <f aca="false">$D233*G233</f>
        <v>49.1322706497168</v>
      </c>
      <c r="Z233" s="128" t="n">
        <f aca="false">$D233*H233</f>
        <v>0</v>
      </c>
      <c r="AA233" s="128" t="n">
        <f aca="false">$D233*I233</f>
        <v>0</v>
      </c>
      <c r="AB233" s="128" t="n">
        <f aca="false">$D233*J233</f>
        <v>0</v>
      </c>
      <c r="AC233" s="128" t="n">
        <f aca="false">$D233*K233</f>
        <v>0</v>
      </c>
      <c r="AD233" s="128" t="n">
        <f aca="false">$D233*L233</f>
        <v>0</v>
      </c>
      <c r="AE233" s="128" t="n">
        <f aca="false">$D233*M233</f>
        <v>0</v>
      </c>
      <c r="AF233" s="128" t="n">
        <f aca="false">$D233*N233</f>
        <v>0</v>
      </c>
      <c r="AG233" s="128" t="n">
        <f aca="false">$D233*O233</f>
        <v>0</v>
      </c>
      <c r="AH233" s="128" t="n">
        <f aca="false">$D233*P233</f>
        <v>52.6540088728317</v>
      </c>
      <c r="AI233" s="128" t="n">
        <f aca="false">$D233*Q233</f>
        <v>50.3990231277466</v>
      </c>
      <c r="AJ233" s="128" t="n">
        <f aca="false">$D233*R233</f>
        <v>0</v>
      </c>
      <c r="AK233" s="128" t="n">
        <f aca="false">$D233*S233</f>
        <v>0</v>
      </c>
      <c r="AL233" s="128" t="n">
        <f aca="false">$D233*T233</f>
        <v>0</v>
      </c>
      <c r="AN233" s="129" t="n">
        <f aca="false">SUM(W233:AL233)/4</f>
        <v>50.3668921806662</v>
      </c>
      <c r="AO233" s="130" t="n">
        <f aca="false">D233</f>
        <v>41.0749984741211</v>
      </c>
    </row>
    <row r="234" customFormat="false" ht="16.5" hidden="false" customHeight="false" outlineLevel="0" collapsed="false">
      <c r="B234" s="116" t="n">
        <f aca="false">MONTH(C234)</f>
        <v>3</v>
      </c>
      <c r="C234" s="125" t="n">
        <f aca="false">PJM_01212000!A218</f>
        <v>42064</v>
      </c>
      <c r="D234" s="126" t="n">
        <f aca="false">PJM_01212000!C218</f>
        <v>30.8000007629395</v>
      </c>
      <c r="E234" s="127" t="n">
        <f aca="false">VLOOKUP($B234,$C$6:$Z$17,E$22+1)</f>
        <v>0</v>
      </c>
      <c r="F234" s="127" t="n">
        <f aca="false">VLOOKUP($B234,$C$6:$Z$17,F$22+1)</f>
        <v>1.1898</v>
      </c>
      <c r="G234" s="127" t="n">
        <f aca="false">VLOOKUP($B234,$C$6:$Z$17,G$22+1)</f>
        <v>1.1862</v>
      </c>
      <c r="H234" s="127" t="n">
        <f aca="false">VLOOKUP($B234,$C$6:$Z$17,H$22+1)</f>
        <v>0</v>
      </c>
      <c r="I234" s="127" t="n">
        <f aca="false">VLOOKUP($B234,$C$6:$Z$17,I$22+1)</f>
        <v>0</v>
      </c>
      <c r="J234" s="127" t="n">
        <f aca="false">VLOOKUP($B234,$C$6:$Z$17,J$22+1)</f>
        <v>0</v>
      </c>
      <c r="K234" s="127" t="n">
        <f aca="false">VLOOKUP($B234,$C$6:$Z$17,K$22+1)</f>
        <v>0</v>
      </c>
      <c r="L234" s="127" t="n">
        <f aca="false">VLOOKUP($B234,$C$6:$Z$17,L$22+1)</f>
        <v>0</v>
      </c>
      <c r="M234" s="127" t="n">
        <f aca="false">VLOOKUP($B234,$C$6:$Z$17,M$22+1)</f>
        <v>0</v>
      </c>
      <c r="N234" s="127" t="n">
        <f aca="false">VLOOKUP($B234,$C$6:$Z$17,N$22+1)</f>
        <v>0</v>
      </c>
      <c r="O234" s="127" t="n">
        <f aca="false">VLOOKUP($B234,$C$6:$Z$17,O$22+1)</f>
        <v>0</v>
      </c>
      <c r="P234" s="127" t="n">
        <f aca="false">VLOOKUP($B234,$C$6:$Z$17,P$22+1)</f>
        <v>1.2719</v>
      </c>
      <c r="Q234" s="127" t="n">
        <f aca="false">VLOOKUP($B234,$C$6:$Z$17,Q$22+1)</f>
        <v>1.217</v>
      </c>
      <c r="R234" s="127" t="n">
        <f aca="false">VLOOKUP($B234,$C$6:$Z$17,R$22+1)</f>
        <v>0</v>
      </c>
      <c r="S234" s="127" t="n">
        <f aca="false">VLOOKUP($B234,$C$6:$Z$17,S$22+1)</f>
        <v>0</v>
      </c>
      <c r="T234" s="127" t="n">
        <f aca="false">VLOOKUP($B234,$C$6:$Z$17,T$22+1)</f>
        <v>0</v>
      </c>
      <c r="U234" s="127" t="n">
        <f aca="false">VLOOKUP($B234,$C$6:$AB$17,T$22+3)-SUM(E234:T234)</f>
        <v>0</v>
      </c>
      <c r="W234" s="128" t="n">
        <f aca="false">$D234*E234</f>
        <v>0</v>
      </c>
      <c r="X234" s="128" t="n">
        <f aca="false">$D234*F234</f>
        <v>36.6458409077454</v>
      </c>
      <c r="Y234" s="128" t="n">
        <f aca="false">$D234*G234</f>
        <v>36.5349609049988</v>
      </c>
      <c r="Z234" s="128" t="n">
        <f aca="false">$D234*H234</f>
        <v>0</v>
      </c>
      <c r="AA234" s="128" t="n">
        <f aca="false">$D234*I234</f>
        <v>0</v>
      </c>
      <c r="AB234" s="128" t="n">
        <f aca="false">$D234*J234</f>
        <v>0</v>
      </c>
      <c r="AC234" s="128" t="n">
        <f aca="false">$D234*K234</f>
        <v>0</v>
      </c>
      <c r="AD234" s="128" t="n">
        <f aca="false">$D234*L234</f>
        <v>0</v>
      </c>
      <c r="AE234" s="128" t="n">
        <f aca="false">$D234*M234</f>
        <v>0</v>
      </c>
      <c r="AF234" s="128" t="n">
        <f aca="false">$D234*N234</f>
        <v>0</v>
      </c>
      <c r="AG234" s="128" t="n">
        <f aca="false">$D234*O234</f>
        <v>0</v>
      </c>
      <c r="AH234" s="128" t="n">
        <f aca="false">$D234*P234</f>
        <v>39.1745209703827</v>
      </c>
      <c r="AI234" s="128" t="n">
        <f aca="false">$D234*Q234</f>
        <v>37.4836009284973</v>
      </c>
      <c r="AJ234" s="128" t="n">
        <f aca="false">$D234*R234</f>
        <v>0</v>
      </c>
      <c r="AK234" s="128" t="n">
        <f aca="false">$D234*S234</f>
        <v>0</v>
      </c>
      <c r="AL234" s="128" t="n">
        <f aca="false">$D234*T234</f>
        <v>0</v>
      </c>
      <c r="AN234" s="129" t="n">
        <f aca="false">SUM(W234:AL234)/4</f>
        <v>37.459730927906</v>
      </c>
      <c r="AO234" s="130" t="n">
        <f aca="false">D234</f>
        <v>30.8000007629395</v>
      </c>
    </row>
    <row r="235" customFormat="false" ht="16.5" hidden="false" customHeight="false" outlineLevel="0" collapsed="false">
      <c r="B235" s="116" t="n">
        <f aca="false">MONTH(C235)</f>
        <v>4</v>
      </c>
      <c r="C235" s="125" t="n">
        <f aca="false">PJM_01212000!A219</f>
        <v>42095</v>
      </c>
      <c r="D235" s="126" t="n">
        <f aca="false">PJM_01212000!C219</f>
        <v>30.5750007629395</v>
      </c>
      <c r="E235" s="127" t="n">
        <f aca="false">VLOOKUP($B235,$C$6:$Z$17,E$22+1)</f>
        <v>1.1232726508202</v>
      </c>
      <c r="F235" s="127" t="n">
        <f aca="false">VLOOKUP($B235,$C$6:$Z$17,F$22+1)</f>
        <v>1.14131544612562</v>
      </c>
      <c r="G235" s="127" t="n">
        <f aca="false">VLOOKUP($B235,$C$6:$Z$17,G$22+1)</f>
        <v>0</v>
      </c>
      <c r="H235" s="127" t="n">
        <f aca="false">VLOOKUP($B235,$C$6:$Z$17,H$22+1)</f>
        <v>0</v>
      </c>
      <c r="I235" s="127" t="n">
        <f aca="false">VLOOKUP($B235,$C$6:$Z$17,I$22+1)</f>
        <v>1.11852454679246</v>
      </c>
      <c r="J235" s="127" t="n">
        <f aca="false">VLOOKUP($B235,$C$6:$Z$17,J$22+1)</f>
        <v>0</v>
      </c>
      <c r="K235" s="127" t="n">
        <f aca="false">VLOOKUP($B235,$C$6:$Z$17,K$22+1)</f>
        <v>0</v>
      </c>
      <c r="L235" s="127" t="n">
        <f aca="false">VLOOKUP($B235,$C$6:$Z$17,L$22+1)</f>
        <v>0</v>
      </c>
      <c r="M235" s="127" t="n">
        <f aca="false">VLOOKUP($B235,$C$6:$Z$17,M$22+1)</f>
        <v>0</v>
      </c>
      <c r="N235" s="127" t="n">
        <f aca="false">VLOOKUP($B235,$C$6:$Z$17,N$22+1)</f>
        <v>0</v>
      </c>
      <c r="O235" s="127" t="n">
        <f aca="false">VLOOKUP($B235,$C$6:$Z$17,O$22+1)</f>
        <v>0</v>
      </c>
      <c r="P235" s="127" t="n">
        <f aca="false">VLOOKUP($B235,$C$6:$Z$17,P$22+1)</f>
        <v>0</v>
      </c>
      <c r="Q235" s="127" t="n">
        <f aca="false">VLOOKUP($B235,$C$6:$Z$17,Q$22+1)</f>
        <v>0</v>
      </c>
      <c r="R235" s="127" t="n">
        <f aca="false">VLOOKUP($B235,$C$6:$Z$17,R$22+1)</f>
        <v>1.15433651784915</v>
      </c>
      <c r="S235" s="127" t="n">
        <f aca="false">VLOOKUP($B235,$C$6:$Z$17,S$22+1)</f>
        <v>0</v>
      </c>
      <c r="T235" s="127" t="n">
        <f aca="false">VLOOKUP($B235,$C$6:$Z$17,T$22+1)</f>
        <v>0</v>
      </c>
      <c r="U235" s="127" t="n">
        <f aca="false">VLOOKUP($B235,$C$6:$AB$17,T$22+3)-SUM(E235:T235)</f>
        <v>0</v>
      </c>
      <c r="W235" s="128" t="n">
        <f aca="false">$D235*E235</f>
        <v>34.3440621558168</v>
      </c>
      <c r="X235" s="128" t="n">
        <f aca="false">$D235*F235</f>
        <v>34.8957206360453</v>
      </c>
      <c r="Y235" s="128" t="n">
        <f aca="false">$D235*G235</f>
        <v>0</v>
      </c>
      <c r="Z235" s="128" t="n">
        <f aca="false">$D235*H235</f>
        <v>0</v>
      </c>
      <c r="AA235" s="128" t="n">
        <f aca="false">$D235*I235</f>
        <v>34.1988888715461</v>
      </c>
      <c r="AB235" s="128" t="n">
        <f aca="false">$D235*J235</f>
        <v>0</v>
      </c>
      <c r="AC235" s="128" t="n">
        <f aca="false">$D235*K235</f>
        <v>0</v>
      </c>
      <c r="AD235" s="128" t="n">
        <f aca="false">$D235*L235</f>
        <v>0</v>
      </c>
      <c r="AE235" s="128" t="n">
        <f aca="false">$D235*M235</f>
        <v>0</v>
      </c>
      <c r="AF235" s="128" t="n">
        <f aca="false">$D235*N235</f>
        <v>0</v>
      </c>
      <c r="AG235" s="128" t="n">
        <f aca="false">$D235*O235</f>
        <v>0</v>
      </c>
      <c r="AH235" s="128" t="n">
        <f aca="false">$D235*P235</f>
        <v>0</v>
      </c>
      <c r="AI235" s="128" t="n">
        <f aca="false">$D235*Q235</f>
        <v>0</v>
      </c>
      <c r="AJ235" s="128" t="n">
        <f aca="false">$D235*R235</f>
        <v>35.2938399139266</v>
      </c>
      <c r="AK235" s="128" t="n">
        <f aca="false">$D235*S235</f>
        <v>0</v>
      </c>
      <c r="AL235" s="128" t="n">
        <f aca="false">$D235*T235</f>
        <v>0</v>
      </c>
      <c r="AN235" s="129" t="n">
        <f aca="false">SUM(W235:AL235)/4</f>
        <v>34.6831278943337</v>
      </c>
      <c r="AO235" s="130" t="n">
        <f aca="false">D235</f>
        <v>30.5750007629395</v>
      </c>
    </row>
    <row r="236" customFormat="false" ht="16.5" hidden="false" customHeight="false" outlineLevel="0" collapsed="false">
      <c r="B236" s="116" t="n">
        <f aca="false">MONTH(C236)</f>
        <v>5</v>
      </c>
      <c r="C236" s="125" t="n">
        <f aca="false">PJM_01212000!A220</f>
        <v>42125</v>
      </c>
      <c r="D236" s="126" t="n">
        <f aca="false">PJM_01212000!C220</f>
        <v>38.575</v>
      </c>
      <c r="E236" s="127" t="n">
        <f aca="false">VLOOKUP($B236,$C$6:$Z$17,E$22+1)</f>
        <v>0</v>
      </c>
      <c r="F236" s="127" t="n">
        <f aca="false">VLOOKUP($B236,$C$6:$Z$17,F$22+1)</f>
        <v>0</v>
      </c>
      <c r="G236" s="127" t="n">
        <f aca="false">VLOOKUP($B236,$C$6:$Z$17,G$22+1)</f>
        <v>1.06102662180267</v>
      </c>
      <c r="H236" s="127" t="n">
        <f aca="false">VLOOKUP($B236,$C$6:$Z$17,H$22+1)</f>
        <v>1.12549986193072</v>
      </c>
      <c r="I236" s="127" t="n">
        <f aca="false">VLOOKUP($B236,$C$6:$Z$17,I$22+1)</f>
        <v>1.11699070333514</v>
      </c>
      <c r="J236" s="127" t="n">
        <f aca="false">VLOOKUP($B236,$C$6:$Z$17,J$22+1)</f>
        <v>0</v>
      </c>
      <c r="K236" s="127" t="n">
        <f aca="false">VLOOKUP($B236,$C$6:$Z$17,K$22+1)</f>
        <v>0</v>
      </c>
      <c r="L236" s="127" t="n">
        <f aca="false">VLOOKUP($B236,$C$6:$Z$17,L$22+1)</f>
        <v>0</v>
      </c>
      <c r="M236" s="127" t="n">
        <f aca="false">VLOOKUP($B236,$C$6:$Z$17,M$22+1)</f>
        <v>0</v>
      </c>
      <c r="N236" s="127" t="n">
        <f aca="false">VLOOKUP($B236,$C$6:$Z$17,N$22+1)</f>
        <v>0</v>
      </c>
      <c r="O236" s="127" t="n">
        <f aca="false">VLOOKUP($B236,$C$6:$Z$17,O$22+1)</f>
        <v>0</v>
      </c>
      <c r="P236" s="127" t="n">
        <f aca="false">VLOOKUP($B236,$C$6:$Z$17,P$22+1)</f>
        <v>0</v>
      </c>
      <c r="Q236" s="127" t="n">
        <f aca="false">VLOOKUP($B236,$C$6:$Z$17,Q$22+1)</f>
        <v>0</v>
      </c>
      <c r="R236" s="127" t="n">
        <f aca="false">VLOOKUP($B236,$C$6:$Z$17,R$22+1)</f>
        <v>1.08769956124651</v>
      </c>
      <c r="S236" s="127" t="n">
        <f aca="false">VLOOKUP($B236,$C$6:$Z$17,S$22+1)</f>
        <v>0</v>
      </c>
      <c r="T236" s="127" t="n">
        <f aca="false">VLOOKUP($B236,$C$6:$Z$17,T$22+1)</f>
        <v>0</v>
      </c>
      <c r="U236" s="127" t="n">
        <f aca="false">VLOOKUP($B236,$C$6:$AB$17,T$22+3)-SUM(E236:T236)</f>
        <v>0</v>
      </c>
      <c r="W236" s="128" t="n">
        <f aca="false">$D236*E236</f>
        <v>0</v>
      </c>
      <c r="X236" s="128" t="n">
        <f aca="false">$D236*F236</f>
        <v>0</v>
      </c>
      <c r="Y236" s="128" t="n">
        <f aca="false">$D236*G236</f>
        <v>40.9291019360381</v>
      </c>
      <c r="Z236" s="128" t="n">
        <f aca="false">$D236*H236</f>
        <v>43.4161571739775</v>
      </c>
      <c r="AA236" s="128" t="n">
        <f aca="false">$D236*I236</f>
        <v>43.087916381153</v>
      </c>
      <c r="AB236" s="128" t="n">
        <f aca="false">$D236*J236</f>
        <v>0</v>
      </c>
      <c r="AC236" s="128" t="n">
        <f aca="false">$D236*K236</f>
        <v>0</v>
      </c>
      <c r="AD236" s="128" t="n">
        <f aca="false">$D236*L236</f>
        <v>0</v>
      </c>
      <c r="AE236" s="128" t="n">
        <f aca="false">$D236*M236</f>
        <v>0</v>
      </c>
      <c r="AF236" s="128" t="n">
        <f aca="false">$D236*N236</f>
        <v>0</v>
      </c>
      <c r="AG236" s="128" t="n">
        <f aca="false">$D236*O236</f>
        <v>0</v>
      </c>
      <c r="AH236" s="128" t="n">
        <f aca="false">$D236*P236</f>
        <v>0</v>
      </c>
      <c r="AI236" s="128" t="n">
        <f aca="false">$D236*Q236</f>
        <v>0</v>
      </c>
      <c r="AJ236" s="128" t="n">
        <f aca="false">$D236*R236</f>
        <v>41.9580105750841</v>
      </c>
      <c r="AK236" s="128" t="n">
        <f aca="false">$D236*S236</f>
        <v>0</v>
      </c>
      <c r="AL236" s="128" t="n">
        <f aca="false">$D236*T236</f>
        <v>0</v>
      </c>
      <c r="AN236" s="129" t="n">
        <f aca="false">SUM(W236:AL236)/4</f>
        <v>42.3477965165632</v>
      </c>
      <c r="AO236" s="130" t="n">
        <f aca="false">D236</f>
        <v>38.575</v>
      </c>
    </row>
    <row r="237" customFormat="false" ht="16.5" hidden="false" customHeight="false" outlineLevel="0" collapsed="false">
      <c r="B237" s="116" t="n">
        <f aca="false">MONTH(C237)</f>
        <v>6</v>
      </c>
      <c r="C237" s="125" t="n">
        <f aca="false">PJM_01212000!A221</f>
        <v>42156</v>
      </c>
      <c r="D237" s="126" t="n">
        <f aca="false">PJM_01212000!C221</f>
        <v>66.0999984741211</v>
      </c>
      <c r="E237" s="127" t="n">
        <f aca="false">VLOOKUP($B237,$C$6:$Z$17,E$22+1)</f>
        <v>0</v>
      </c>
      <c r="F237" s="127" t="n">
        <f aca="false">VLOOKUP($B237,$C$6:$Z$17,F$22+1)</f>
        <v>0</v>
      </c>
      <c r="G237" s="127" t="n">
        <f aca="false">VLOOKUP($B237,$C$6:$Z$17,G$22+1)</f>
        <v>0</v>
      </c>
      <c r="H237" s="127" t="n">
        <f aca="false">VLOOKUP($B237,$C$6:$Z$17,H$22+1)</f>
        <v>0</v>
      </c>
      <c r="I237" s="127" t="n">
        <f aca="false">VLOOKUP($B237,$C$6:$Z$17,I$22+1)</f>
        <v>0</v>
      </c>
      <c r="J237" s="127" t="n">
        <f aca="false">VLOOKUP($B237,$C$6:$Z$17,J$22+1)</f>
        <v>0</v>
      </c>
      <c r="K237" s="127" t="n">
        <f aca="false">VLOOKUP($B237,$C$6:$Z$17,K$22+1)</f>
        <v>1.22092018621818</v>
      </c>
      <c r="L237" s="127" t="n">
        <f aca="false">VLOOKUP($B237,$C$6:$Z$17,L$22+1)</f>
        <v>1.23031497714214</v>
      </c>
      <c r="M237" s="127" t="n">
        <f aca="false">VLOOKUP($B237,$C$6:$Z$17,M$22+1)</f>
        <v>1.23232814662584</v>
      </c>
      <c r="N237" s="127" t="n">
        <f aca="false">VLOOKUP($B237,$C$6:$Z$17,N$22+1)</f>
        <v>1.25232563016399</v>
      </c>
      <c r="O237" s="127" t="n">
        <f aca="false">VLOOKUP($B237,$C$6:$Z$17,O$22+1)</f>
        <v>0</v>
      </c>
      <c r="P237" s="127" t="n">
        <f aca="false">VLOOKUP($B237,$C$6:$Z$17,P$22+1)</f>
        <v>0</v>
      </c>
      <c r="Q237" s="127" t="n">
        <f aca="false">VLOOKUP($B237,$C$6:$Z$17,Q$22+1)</f>
        <v>0</v>
      </c>
      <c r="R237" s="127" t="n">
        <f aca="false">VLOOKUP($B237,$C$6:$Z$17,R$22+1)</f>
        <v>0</v>
      </c>
      <c r="S237" s="127" t="n">
        <f aca="false">VLOOKUP($B237,$C$6:$Z$17,S$22+1)</f>
        <v>0</v>
      </c>
      <c r="T237" s="127" t="n">
        <f aca="false">VLOOKUP($B237,$C$6:$Z$17,T$22+1)</f>
        <v>0</v>
      </c>
      <c r="U237" s="127" t="n">
        <f aca="false">VLOOKUP($B237,$C$6:$AB$17,T$22+3)-SUM(E237:T237)</f>
        <v>0</v>
      </c>
      <c r="W237" s="128" t="n">
        <f aca="false">$D237*E237</f>
        <v>0</v>
      </c>
      <c r="X237" s="128" t="n">
        <f aca="false">$D237*F237</f>
        <v>0</v>
      </c>
      <c r="Y237" s="128" t="n">
        <f aca="false">$D237*G237</f>
        <v>0</v>
      </c>
      <c r="Z237" s="128" t="n">
        <f aca="false">$D237*H237</f>
        <v>0</v>
      </c>
      <c r="AA237" s="128" t="n">
        <f aca="false">$D237*I237</f>
        <v>0</v>
      </c>
      <c r="AB237" s="128" t="n">
        <f aca="false">$D237*J237</f>
        <v>0</v>
      </c>
      <c r="AC237" s="128" t="n">
        <f aca="false">$D237*K237</f>
        <v>80.7028224460452</v>
      </c>
      <c r="AD237" s="128" t="n">
        <f aca="false">$D237*L237</f>
        <v>81.3238181117837</v>
      </c>
      <c r="AE237" s="128" t="n">
        <f aca="false">$D237*M237</f>
        <v>81.4568886115847</v>
      </c>
      <c r="AF237" s="128" t="n">
        <f aca="false">$D237*N237</f>
        <v>82.7787222429425</v>
      </c>
      <c r="AG237" s="128" t="n">
        <f aca="false">$D237*O237</f>
        <v>0</v>
      </c>
      <c r="AH237" s="128" t="n">
        <f aca="false">$D237*P237</f>
        <v>0</v>
      </c>
      <c r="AI237" s="128" t="n">
        <f aca="false">$D237*Q237</f>
        <v>0</v>
      </c>
      <c r="AJ237" s="128" t="n">
        <f aca="false">$D237*R237</f>
        <v>0</v>
      </c>
      <c r="AK237" s="128" t="n">
        <f aca="false">$D237*S237</f>
        <v>0</v>
      </c>
      <c r="AL237" s="128" t="n">
        <f aca="false">$D237*T237</f>
        <v>0</v>
      </c>
      <c r="AN237" s="129" t="n">
        <f aca="false">SUM(W237:AL237)/4</f>
        <v>81.565562853089</v>
      </c>
      <c r="AO237" s="130" t="n">
        <f aca="false">D237</f>
        <v>66.0999984741211</v>
      </c>
    </row>
    <row r="238" customFormat="false" ht="16.5" hidden="false" customHeight="false" outlineLevel="0" collapsed="false">
      <c r="B238" s="116" t="n">
        <f aca="false">MONTH(C238)</f>
        <v>7</v>
      </c>
      <c r="C238" s="125" t="n">
        <f aca="false">PJM_01212000!A222</f>
        <v>42186</v>
      </c>
      <c r="D238" s="126" t="n">
        <f aca="false">PJM_01212000!C222</f>
        <v>118.199996948242</v>
      </c>
      <c r="E238" s="127" t="n">
        <f aca="false">VLOOKUP($B238,$C$6:$Z$17,E$22+1)</f>
        <v>0</v>
      </c>
      <c r="F238" s="127" t="n">
        <f aca="false">VLOOKUP($B238,$C$6:$Z$17,F$22+1)</f>
        <v>0</v>
      </c>
      <c r="G238" s="127" t="n">
        <f aca="false">VLOOKUP($B238,$C$6:$Z$17,G$22+1)</f>
        <v>0</v>
      </c>
      <c r="H238" s="127" t="n">
        <f aca="false">VLOOKUP($B238,$C$6:$Z$17,H$22+1)</f>
        <v>0</v>
      </c>
      <c r="I238" s="127" t="n">
        <f aca="false">VLOOKUP($B238,$C$6:$Z$17,I$22+1)</f>
        <v>0</v>
      </c>
      <c r="J238" s="127" t="n">
        <f aca="false">VLOOKUP($B238,$C$6:$Z$17,J$22+1)</f>
        <v>0</v>
      </c>
      <c r="K238" s="127" t="n">
        <f aca="false">VLOOKUP($B238,$C$6:$Z$17,K$22+1)</f>
        <v>0</v>
      </c>
      <c r="L238" s="127" t="n">
        <f aca="false">VLOOKUP($B238,$C$6:$Z$17,L$22+1)</f>
        <v>1.2506946851613</v>
      </c>
      <c r="M238" s="127" t="n">
        <f aca="false">VLOOKUP($B238,$C$6:$Z$17,M$22+1)</f>
        <v>1.32734019400042</v>
      </c>
      <c r="N238" s="127" t="n">
        <f aca="false">VLOOKUP($B238,$C$6:$Z$17,N$22+1)</f>
        <v>1.35388881627921</v>
      </c>
      <c r="O238" s="127" t="n">
        <f aca="false">VLOOKUP($B238,$C$6:$Z$17,O$22+1)</f>
        <v>1.32033935867348</v>
      </c>
      <c r="P238" s="127" t="n">
        <f aca="false">VLOOKUP($B238,$C$6:$Z$17,P$22+1)</f>
        <v>0</v>
      </c>
      <c r="Q238" s="127" t="n">
        <f aca="false">VLOOKUP($B238,$C$6:$Z$17,Q$22+1)</f>
        <v>0</v>
      </c>
      <c r="R238" s="127" t="n">
        <f aca="false">VLOOKUP($B238,$C$6:$Z$17,R$22+1)</f>
        <v>0</v>
      </c>
      <c r="S238" s="127" t="n">
        <f aca="false">VLOOKUP($B238,$C$6:$Z$17,S$22+1)</f>
        <v>0</v>
      </c>
      <c r="T238" s="127" t="n">
        <f aca="false">VLOOKUP($B238,$C$6:$Z$17,T$22+1)</f>
        <v>0</v>
      </c>
      <c r="U238" s="127" t="n">
        <f aca="false">VLOOKUP($B238,$C$6:$AB$17,T$22+3)-SUM(E238:T238)</f>
        <v>0</v>
      </c>
      <c r="W238" s="128" t="n">
        <f aca="false">$D238*E238</f>
        <v>0</v>
      </c>
      <c r="X238" s="128" t="n">
        <f aca="false">$D238*F238</f>
        <v>0</v>
      </c>
      <c r="Y238" s="128" t="n">
        <f aca="false">$D238*G238</f>
        <v>0</v>
      </c>
      <c r="Z238" s="128" t="n">
        <f aca="false">$D238*H238</f>
        <v>0</v>
      </c>
      <c r="AA238" s="128" t="n">
        <f aca="false">$D238*I238</f>
        <v>0</v>
      </c>
      <c r="AB238" s="128" t="n">
        <f aca="false">$D238*J238</f>
        <v>0</v>
      </c>
      <c r="AC238" s="128" t="n">
        <f aca="false">$D238*K238</f>
        <v>0</v>
      </c>
      <c r="AD238" s="128" t="n">
        <f aca="false">$D238*L238</f>
        <v>147.832107969248</v>
      </c>
      <c r="AE238" s="128" t="n">
        <f aca="false">$D238*M238</f>
        <v>156.891606880129</v>
      </c>
      <c r="AF238" s="128" t="n">
        <f aca="false">$D238*N238</f>
        <v>160.029653952462</v>
      </c>
      <c r="AG238" s="128" t="n">
        <f aca="false">$D238*O238</f>
        <v>156.064108165849</v>
      </c>
      <c r="AH238" s="128" t="n">
        <f aca="false">$D238*P238</f>
        <v>0</v>
      </c>
      <c r="AI238" s="128" t="n">
        <f aca="false">$D238*Q238</f>
        <v>0</v>
      </c>
      <c r="AJ238" s="128" t="n">
        <f aca="false">$D238*R238</f>
        <v>0</v>
      </c>
      <c r="AK238" s="128" t="n">
        <f aca="false">$D238*S238</f>
        <v>0</v>
      </c>
      <c r="AL238" s="128" t="n">
        <f aca="false">$D238*T238</f>
        <v>0</v>
      </c>
      <c r="AN238" s="129" t="n">
        <f aca="false">SUM(W238:AL238)/4</f>
        <v>155.204369241922</v>
      </c>
      <c r="AO238" s="130" t="n">
        <f aca="false">D238</f>
        <v>118.199996948242</v>
      </c>
    </row>
    <row r="239" customFormat="false" ht="16.5" hidden="false" customHeight="false" outlineLevel="0" collapsed="false">
      <c r="B239" s="116" t="n">
        <f aca="false">MONTH(C239)</f>
        <v>8</v>
      </c>
      <c r="C239" s="125" t="n">
        <f aca="false">PJM_01212000!A223</f>
        <v>42217</v>
      </c>
      <c r="D239" s="126" t="n">
        <f aca="false">PJM_01212000!C223</f>
        <v>105.199996948242</v>
      </c>
      <c r="E239" s="127" t="n">
        <f aca="false">VLOOKUP($B239,$C$6:$Z$17,E$22+1)</f>
        <v>0</v>
      </c>
      <c r="F239" s="127" t="n">
        <f aca="false">VLOOKUP($B239,$C$6:$Z$17,F$22+1)</f>
        <v>0</v>
      </c>
      <c r="G239" s="127" t="n">
        <f aca="false">VLOOKUP($B239,$C$6:$Z$17,G$22+1)</f>
        <v>0</v>
      </c>
      <c r="H239" s="127" t="n">
        <f aca="false">VLOOKUP($B239,$C$6:$Z$17,H$22+1)</f>
        <v>0</v>
      </c>
      <c r="I239" s="127" t="n">
        <f aca="false">VLOOKUP($B239,$C$6:$Z$17,I$22+1)</f>
        <v>0</v>
      </c>
      <c r="J239" s="127" t="n">
        <f aca="false">VLOOKUP($B239,$C$6:$Z$17,J$22+1)</f>
        <v>0</v>
      </c>
      <c r="K239" s="127" t="n">
        <f aca="false">VLOOKUP($B239,$C$6:$Z$17,K$22+1)</f>
        <v>1.19072909190695</v>
      </c>
      <c r="L239" s="127" t="n">
        <f aca="false">VLOOKUP($B239,$C$6:$Z$17,L$22+1)</f>
        <v>1.26057331025457</v>
      </c>
      <c r="M239" s="127" t="n">
        <f aca="false">VLOOKUP($B239,$C$6:$Z$17,M$22+1)</f>
        <v>1.24301093426774</v>
      </c>
      <c r="N239" s="127" t="n">
        <f aca="false">VLOOKUP($B239,$C$6:$Z$17,N$22+1)</f>
        <v>1.21504622788872</v>
      </c>
      <c r="O239" s="127" t="n">
        <f aca="false">VLOOKUP($B239,$C$6:$Z$17,O$22+1)</f>
        <v>0</v>
      </c>
      <c r="P239" s="127" t="n">
        <f aca="false">VLOOKUP($B239,$C$6:$Z$17,P$22+1)</f>
        <v>0</v>
      </c>
      <c r="Q239" s="127" t="n">
        <f aca="false">VLOOKUP($B239,$C$6:$Z$17,Q$22+1)</f>
        <v>0</v>
      </c>
      <c r="R239" s="127" t="n">
        <f aca="false">VLOOKUP($B239,$C$6:$Z$17,R$22+1)</f>
        <v>0</v>
      </c>
      <c r="S239" s="127" t="n">
        <f aca="false">VLOOKUP($B239,$C$6:$Z$17,S$22+1)</f>
        <v>0</v>
      </c>
      <c r="T239" s="127" t="n">
        <f aca="false">VLOOKUP($B239,$C$6:$Z$17,T$22+1)</f>
        <v>0</v>
      </c>
      <c r="U239" s="127" t="n">
        <f aca="false">VLOOKUP($B239,$C$6:$AB$17,T$22+3)-SUM(E239:T239)</f>
        <v>0</v>
      </c>
      <c r="W239" s="128" t="n">
        <f aca="false">$D239*E239</f>
        <v>0</v>
      </c>
      <c r="X239" s="128" t="n">
        <f aca="false">$D239*F239</f>
        <v>0</v>
      </c>
      <c r="Y239" s="128" t="n">
        <f aca="false">$D239*G239</f>
        <v>0</v>
      </c>
      <c r="Z239" s="128" t="n">
        <f aca="false">$D239*H239</f>
        <v>0</v>
      </c>
      <c r="AA239" s="128" t="n">
        <f aca="false">$D239*I239</f>
        <v>0</v>
      </c>
      <c r="AB239" s="128" t="n">
        <f aca="false">$D239*J239</f>
        <v>0</v>
      </c>
      <c r="AC239" s="128" t="n">
        <f aca="false">$D239*K239</f>
        <v>125.264696834795</v>
      </c>
      <c r="AD239" s="128" t="n">
        <f aca="false">$D239*L239</f>
        <v>132.612308391816</v>
      </c>
      <c r="AE239" s="128" t="n">
        <f aca="false">$D239*M239</f>
        <v>130.764746491598</v>
      </c>
      <c r="AF239" s="128" t="n">
        <f aca="false">$D239*N239</f>
        <v>127.822859465866</v>
      </c>
      <c r="AG239" s="128" t="n">
        <f aca="false">$D239*O239</f>
        <v>0</v>
      </c>
      <c r="AH239" s="128" t="n">
        <f aca="false">$D239*P239</f>
        <v>0</v>
      </c>
      <c r="AI239" s="128" t="n">
        <f aca="false">$D239*Q239</f>
        <v>0</v>
      </c>
      <c r="AJ239" s="128" t="n">
        <f aca="false">$D239*R239</f>
        <v>0</v>
      </c>
      <c r="AK239" s="128" t="n">
        <f aca="false">$D239*S239</f>
        <v>0</v>
      </c>
      <c r="AL239" s="128" t="n">
        <f aca="false">$D239*T239</f>
        <v>0</v>
      </c>
      <c r="AN239" s="129" t="n">
        <f aca="false">SUM(W239:AL239)/4</f>
        <v>129.116152796019</v>
      </c>
      <c r="AO239" s="130" t="n">
        <f aca="false">D239</f>
        <v>105.199996948242</v>
      </c>
    </row>
    <row r="240" customFormat="false" ht="16.5" hidden="false" customHeight="false" outlineLevel="0" collapsed="false">
      <c r="B240" s="116" t="n">
        <f aca="false">MONTH(C240)</f>
        <v>9</v>
      </c>
      <c r="C240" s="125" t="n">
        <f aca="false">PJM_01212000!A224</f>
        <v>42248</v>
      </c>
      <c r="D240" s="126" t="n">
        <f aca="false">PJM_01212000!C224</f>
        <v>38.9249984741211</v>
      </c>
      <c r="E240" s="127" t="n">
        <f aca="false">VLOOKUP($B240,$C$6:$Z$17,E$22+1)</f>
        <v>0</v>
      </c>
      <c r="F240" s="127" t="n">
        <f aca="false">VLOOKUP($B240,$C$6:$Z$17,F$22+1)</f>
        <v>0</v>
      </c>
      <c r="G240" s="127" t="n">
        <f aca="false">VLOOKUP($B240,$C$6:$Z$17,G$22+1)</f>
        <v>0</v>
      </c>
      <c r="H240" s="127" t="n">
        <f aca="false">VLOOKUP($B240,$C$6:$Z$17,H$22+1)</f>
        <v>0</v>
      </c>
      <c r="I240" s="127" t="n">
        <f aca="false">VLOOKUP($B240,$C$6:$Z$17,I$22+1)</f>
        <v>0</v>
      </c>
      <c r="J240" s="127" t="n">
        <f aca="false">VLOOKUP($B240,$C$6:$Z$17,J$22+1)</f>
        <v>0</v>
      </c>
      <c r="K240" s="127" t="n">
        <f aca="false">VLOOKUP($B240,$C$6:$Z$17,K$22+1)</f>
        <v>0</v>
      </c>
      <c r="L240" s="127" t="n">
        <f aca="false">VLOOKUP($B240,$C$6:$Z$17,L$22+1)</f>
        <v>0</v>
      </c>
      <c r="M240" s="127" t="n">
        <f aca="false">VLOOKUP($B240,$C$6:$Z$17,M$22+1)</f>
        <v>0</v>
      </c>
      <c r="N240" s="127" t="n">
        <f aca="false">VLOOKUP($B240,$C$6:$Z$17,N$22+1)</f>
        <v>1.13452840898687</v>
      </c>
      <c r="O240" s="127" t="n">
        <f aca="false">VLOOKUP($B240,$C$6:$Z$17,O$22+1)</f>
        <v>1.1066962078626</v>
      </c>
      <c r="P240" s="127" t="n">
        <f aca="false">VLOOKUP($B240,$C$6:$Z$17,P$22+1)</f>
        <v>0</v>
      </c>
      <c r="Q240" s="127" t="n">
        <f aca="false">VLOOKUP($B240,$C$6:$Z$17,Q$22+1)</f>
        <v>1.18462637101057</v>
      </c>
      <c r="R240" s="127" t="n">
        <f aca="false">VLOOKUP($B240,$C$6:$Z$17,R$22+1)</f>
        <v>1.1944408840386</v>
      </c>
      <c r="S240" s="127" t="n">
        <f aca="false">VLOOKUP($B240,$C$6:$Z$17,S$22+1)</f>
        <v>0</v>
      </c>
      <c r="T240" s="127" t="n">
        <f aca="false">VLOOKUP($B240,$C$6:$Z$17,T$22+1)</f>
        <v>0</v>
      </c>
      <c r="U240" s="127" t="n">
        <f aca="false">VLOOKUP($B240,$C$6:$AB$17,T$22+3)-SUM(E240:T240)</f>
        <v>0</v>
      </c>
      <c r="W240" s="128" t="n">
        <f aca="false">$D240*E240</f>
        <v>0</v>
      </c>
      <c r="X240" s="128" t="n">
        <f aca="false">$D240*F240</f>
        <v>0</v>
      </c>
      <c r="Y240" s="128" t="n">
        <f aca="false">$D240*G240</f>
        <v>0</v>
      </c>
      <c r="Z240" s="128" t="n">
        <f aca="false">$D240*H240</f>
        <v>0</v>
      </c>
      <c r="AA240" s="128" t="n">
        <f aca="false">$D240*I240</f>
        <v>0</v>
      </c>
      <c r="AB240" s="128" t="n">
        <f aca="false">$D240*J240</f>
        <v>0</v>
      </c>
      <c r="AC240" s="128" t="n">
        <f aca="false">$D240*K240</f>
        <v>0</v>
      </c>
      <c r="AD240" s="128" t="n">
        <f aca="false">$D240*L240</f>
        <v>0</v>
      </c>
      <c r="AE240" s="128" t="n">
        <f aca="false">$D240*M240</f>
        <v>0</v>
      </c>
      <c r="AF240" s="128" t="n">
        <f aca="false">$D240*N240</f>
        <v>44.161516588661</v>
      </c>
      <c r="AG240" s="128" t="n">
        <f aca="false">$D240*O240</f>
        <v>43.0781482023672</v>
      </c>
      <c r="AH240" s="128" t="n">
        <f aca="false">$D240*P240</f>
        <v>0</v>
      </c>
      <c r="AI240" s="128" t="n">
        <f aca="false">$D240*Q240</f>
        <v>46.1115796839899</v>
      </c>
      <c r="AJ240" s="128" t="n">
        <f aca="false">$D240*R240</f>
        <v>46.4936095886303</v>
      </c>
      <c r="AK240" s="128" t="n">
        <f aca="false">$D240*S240</f>
        <v>0</v>
      </c>
      <c r="AL240" s="128" t="n">
        <f aca="false">$D240*T240</f>
        <v>0</v>
      </c>
      <c r="AN240" s="129" t="n">
        <f aca="false">SUM(W240:AL240)/4</f>
        <v>44.9612135159121</v>
      </c>
      <c r="AO240" s="130" t="n">
        <f aca="false">D240</f>
        <v>38.9249984741211</v>
      </c>
    </row>
    <row r="241" customFormat="false" ht="16.5" hidden="false" customHeight="false" outlineLevel="0" collapsed="false">
      <c r="B241" s="116" t="n">
        <f aca="false">MONTH(C241)</f>
        <v>10</v>
      </c>
      <c r="C241" s="125" t="n">
        <f aca="false">PJM_01212000!A225</f>
        <v>42278</v>
      </c>
      <c r="D241" s="126" t="n">
        <f aca="false">PJM_01212000!C225</f>
        <v>31.3250003814697</v>
      </c>
      <c r="E241" s="127" t="n">
        <f aca="false">VLOOKUP($B241,$C$6:$Z$17,E$22+1)</f>
        <v>0</v>
      </c>
      <c r="F241" s="127" t="n">
        <f aca="false">VLOOKUP($B241,$C$6:$Z$17,F$22+1)</f>
        <v>1.1326</v>
      </c>
      <c r="G241" s="127" t="n">
        <f aca="false">VLOOKUP($B241,$C$6:$Z$17,G$22+1)</f>
        <v>0</v>
      </c>
      <c r="H241" s="127" t="n">
        <f aca="false">VLOOKUP($B241,$C$6:$Z$17,H$22+1)</f>
        <v>0</v>
      </c>
      <c r="I241" s="127" t="n">
        <f aca="false">VLOOKUP($B241,$C$6:$Z$17,I$22+1)</f>
        <v>0</v>
      </c>
      <c r="J241" s="127" t="n">
        <f aca="false">VLOOKUP($B241,$C$6:$Z$17,J$22+1)</f>
        <v>0</v>
      </c>
      <c r="K241" s="127" t="n">
        <f aca="false">VLOOKUP($B241,$C$6:$Z$17,K$22+1)</f>
        <v>0</v>
      </c>
      <c r="L241" s="127" t="n">
        <f aca="false">VLOOKUP($B241,$C$6:$Z$17,L$22+1)</f>
        <v>0</v>
      </c>
      <c r="M241" s="127" t="n">
        <f aca="false">VLOOKUP($B241,$C$6:$Z$17,M$22+1)</f>
        <v>0</v>
      </c>
      <c r="N241" s="127" t="n">
        <f aca="false">VLOOKUP($B241,$C$6:$Z$17,N$22+1)</f>
        <v>0</v>
      </c>
      <c r="O241" s="127" t="n">
        <f aca="false">VLOOKUP($B241,$C$6:$Z$17,O$22+1)</f>
        <v>1.2001</v>
      </c>
      <c r="P241" s="127" t="n">
        <f aca="false">VLOOKUP($B241,$C$6:$Z$17,P$22+1)</f>
        <v>1.2095</v>
      </c>
      <c r="Q241" s="127" t="n">
        <f aca="false">VLOOKUP($B241,$C$6:$Z$17,Q$22+1)</f>
        <v>1.1567</v>
      </c>
      <c r="R241" s="127" t="n">
        <f aca="false">VLOOKUP($B241,$C$6:$Z$17,R$22+1)</f>
        <v>0</v>
      </c>
      <c r="S241" s="127" t="n">
        <f aca="false">VLOOKUP($B241,$C$6:$Z$17,S$22+1)</f>
        <v>0</v>
      </c>
      <c r="T241" s="127" t="n">
        <f aca="false">VLOOKUP($B241,$C$6:$Z$17,T$22+1)</f>
        <v>0</v>
      </c>
      <c r="U241" s="127" t="n">
        <f aca="false">VLOOKUP($B241,$C$6:$AB$17,T$22+3)-SUM(E241:T241)</f>
        <v>0</v>
      </c>
      <c r="W241" s="128" t="n">
        <f aca="false">$D241*E241</f>
        <v>0</v>
      </c>
      <c r="X241" s="128" t="n">
        <f aca="false">$D241*F241</f>
        <v>35.4786954320526</v>
      </c>
      <c r="Y241" s="128" t="n">
        <f aca="false">$D241*G241</f>
        <v>0</v>
      </c>
      <c r="Z241" s="128" t="n">
        <f aca="false">$D241*H241</f>
        <v>0</v>
      </c>
      <c r="AA241" s="128" t="n">
        <f aca="false">$D241*I241</f>
        <v>0</v>
      </c>
      <c r="AB241" s="128" t="n">
        <f aca="false">$D241*J241</f>
        <v>0</v>
      </c>
      <c r="AC241" s="128" t="n">
        <f aca="false">$D241*K241</f>
        <v>0</v>
      </c>
      <c r="AD241" s="128" t="n">
        <f aca="false">$D241*L241</f>
        <v>0</v>
      </c>
      <c r="AE241" s="128" t="n">
        <f aca="false">$D241*M241</f>
        <v>0</v>
      </c>
      <c r="AF241" s="128" t="n">
        <f aca="false">$D241*N241</f>
        <v>0</v>
      </c>
      <c r="AG241" s="128" t="n">
        <f aca="false">$D241*O241</f>
        <v>37.5931329578018</v>
      </c>
      <c r="AH241" s="128" t="n">
        <f aca="false">$D241*P241</f>
        <v>37.8875879613876</v>
      </c>
      <c r="AI241" s="128" t="n">
        <f aca="false">$D241*Q241</f>
        <v>36.233627941246</v>
      </c>
      <c r="AJ241" s="128" t="n">
        <f aca="false">$D241*R241</f>
        <v>0</v>
      </c>
      <c r="AK241" s="128" t="n">
        <f aca="false">$D241*S241</f>
        <v>0</v>
      </c>
      <c r="AL241" s="128" t="n">
        <f aca="false">$D241*T241</f>
        <v>0</v>
      </c>
      <c r="AN241" s="129" t="n">
        <f aca="false">SUM(W241:AL241)/4</f>
        <v>36.798261073122</v>
      </c>
      <c r="AO241" s="130" t="n">
        <f aca="false">D241</f>
        <v>31.3250003814697</v>
      </c>
    </row>
    <row r="242" customFormat="false" ht="16.5" hidden="false" customHeight="false" outlineLevel="0" collapsed="false">
      <c r="B242" s="116" t="n">
        <f aca="false">MONTH(C242)</f>
        <v>11</v>
      </c>
      <c r="C242" s="125" t="n">
        <f aca="false">PJM_01212000!A226</f>
        <v>42309</v>
      </c>
      <c r="D242" s="126" t="n">
        <f aca="false">PJM_01212000!C226</f>
        <v>30.9974990844727</v>
      </c>
      <c r="E242" s="127" t="n">
        <f aca="false">VLOOKUP($B242,$C$6:$Z$17,E$22+1)</f>
        <v>0</v>
      </c>
      <c r="F242" s="127" t="n">
        <f aca="false">VLOOKUP($B242,$C$6:$Z$17,F$22+1)</f>
        <v>1.1426</v>
      </c>
      <c r="G242" s="127" t="n">
        <f aca="false">VLOOKUP($B242,$C$6:$Z$17,G$22+1)</f>
        <v>0</v>
      </c>
      <c r="H242" s="127" t="n">
        <f aca="false">VLOOKUP($B242,$C$6:$Z$17,H$22+1)</f>
        <v>0</v>
      </c>
      <c r="I242" s="127" t="n">
        <f aca="false">VLOOKUP($B242,$C$6:$Z$17,I$22+1)</f>
        <v>0</v>
      </c>
      <c r="J242" s="127" t="n">
        <f aca="false">VLOOKUP($B242,$C$6:$Z$17,J$22+1)</f>
        <v>0</v>
      </c>
      <c r="K242" s="127" t="n">
        <f aca="false">VLOOKUP($B242,$C$6:$Z$17,K$22+1)</f>
        <v>0</v>
      </c>
      <c r="L242" s="127" t="n">
        <f aca="false">VLOOKUP($B242,$C$6:$Z$17,L$22+1)</f>
        <v>0</v>
      </c>
      <c r="M242" s="127" t="n">
        <f aca="false">VLOOKUP($B242,$C$6:$Z$17,M$22+1)</f>
        <v>0</v>
      </c>
      <c r="N242" s="127" t="n">
        <f aca="false">VLOOKUP($B242,$C$6:$Z$17,N$22+1)</f>
        <v>0</v>
      </c>
      <c r="O242" s="127" t="n">
        <f aca="false">VLOOKUP($B242,$C$6:$Z$17,O$22+1)</f>
        <v>1.2171</v>
      </c>
      <c r="P242" s="127" t="n">
        <f aca="false">VLOOKUP($B242,$C$6:$Z$17,P$22+1)</f>
        <v>1.2269</v>
      </c>
      <c r="Q242" s="127" t="n">
        <f aca="false">VLOOKUP($B242,$C$6:$Z$17,Q$22+1)</f>
        <v>1.1767</v>
      </c>
      <c r="R242" s="127" t="n">
        <f aca="false">VLOOKUP($B242,$C$6:$Z$17,R$22+1)</f>
        <v>0</v>
      </c>
      <c r="S242" s="127" t="n">
        <f aca="false">VLOOKUP($B242,$C$6:$Z$17,S$22+1)</f>
        <v>0</v>
      </c>
      <c r="T242" s="127" t="n">
        <f aca="false">VLOOKUP($B242,$C$6:$Z$17,T$22+1)</f>
        <v>0</v>
      </c>
      <c r="U242" s="127" t="n">
        <f aca="false">VLOOKUP($B242,$C$6:$AB$17,T$22+3)-SUM(E242:T242)</f>
        <v>0</v>
      </c>
      <c r="W242" s="128" t="n">
        <f aca="false">$D242*E242</f>
        <v>0</v>
      </c>
      <c r="X242" s="128" t="n">
        <f aca="false">$D242*F242</f>
        <v>35.4177424539185</v>
      </c>
      <c r="Y242" s="128" t="n">
        <f aca="false">$D242*G242</f>
        <v>0</v>
      </c>
      <c r="Z242" s="128" t="n">
        <f aca="false">$D242*H242</f>
        <v>0</v>
      </c>
      <c r="AA242" s="128" t="n">
        <f aca="false">$D242*I242</f>
        <v>0</v>
      </c>
      <c r="AB242" s="128" t="n">
        <f aca="false">$D242*J242</f>
        <v>0</v>
      </c>
      <c r="AC242" s="128" t="n">
        <f aca="false">$D242*K242</f>
        <v>0</v>
      </c>
      <c r="AD242" s="128" t="n">
        <f aca="false">$D242*L242</f>
        <v>0</v>
      </c>
      <c r="AE242" s="128" t="n">
        <f aca="false">$D242*M242</f>
        <v>0</v>
      </c>
      <c r="AF242" s="128" t="n">
        <f aca="false">$D242*N242</f>
        <v>0</v>
      </c>
      <c r="AG242" s="128" t="n">
        <f aca="false">$D242*O242</f>
        <v>37.7270561357117</v>
      </c>
      <c r="AH242" s="128" t="n">
        <f aca="false">$D242*P242</f>
        <v>38.0308316267395</v>
      </c>
      <c r="AI242" s="128" t="n">
        <f aca="false">$D242*Q242</f>
        <v>36.474757172699</v>
      </c>
      <c r="AJ242" s="128" t="n">
        <f aca="false">$D242*R242</f>
        <v>0</v>
      </c>
      <c r="AK242" s="128" t="n">
        <f aca="false">$D242*S242</f>
        <v>0</v>
      </c>
      <c r="AL242" s="128" t="n">
        <f aca="false">$D242*T242</f>
        <v>0</v>
      </c>
      <c r="AN242" s="129" t="n">
        <f aca="false">SUM(W242:AL242)/4</f>
        <v>36.9125968472672</v>
      </c>
      <c r="AO242" s="130" t="n">
        <f aca="false">D242</f>
        <v>30.9974990844727</v>
      </c>
    </row>
    <row r="243" customFormat="false" ht="16.5" hidden="false" customHeight="false" outlineLevel="0" collapsed="false">
      <c r="B243" s="116" t="n">
        <f aca="false">MONTH(C243)</f>
        <v>12</v>
      </c>
      <c r="C243" s="125" t="n">
        <f aca="false">PJM_01212000!A227</f>
        <v>42339</v>
      </c>
      <c r="D243" s="126" t="n">
        <f aca="false">PJM_01212000!C227</f>
        <v>32.7499996185303</v>
      </c>
      <c r="E243" s="127" t="n">
        <f aca="false">VLOOKUP($B243,$C$6:$Z$17,E$22+1)</f>
        <v>0</v>
      </c>
      <c r="F243" s="127" t="n">
        <f aca="false">VLOOKUP($B243,$C$6:$Z$17,F$22+1)</f>
        <v>1.1638</v>
      </c>
      <c r="G243" s="127" t="n">
        <f aca="false">VLOOKUP($B243,$C$6:$Z$17,G$22+1)</f>
        <v>0</v>
      </c>
      <c r="H243" s="127" t="n">
        <f aca="false">VLOOKUP($B243,$C$6:$Z$17,H$22+1)</f>
        <v>0</v>
      </c>
      <c r="I243" s="127" t="n">
        <f aca="false">VLOOKUP($B243,$C$6:$Z$17,I$22+1)</f>
        <v>0</v>
      </c>
      <c r="J243" s="127" t="n">
        <f aca="false">VLOOKUP($B243,$C$6:$Z$17,J$22+1)</f>
        <v>0</v>
      </c>
      <c r="K243" s="127" t="n">
        <f aca="false">VLOOKUP($B243,$C$6:$Z$17,K$22+1)</f>
        <v>0</v>
      </c>
      <c r="L243" s="127" t="n">
        <f aca="false">VLOOKUP($B243,$C$6:$Z$17,L$22+1)</f>
        <v>0</v>
      </c>
      <c r="M243" s="127" t="n">
        <f aca="false">VLOOKUP($B243,$C$6:$Z$17,M$22+1)</f>
        <v>0</v>
      </c>
      <c r="N243" s="127" t="n">
        <f aca="false">VLOOKUP($B243,$C$6:$Z$17,N$22+1)</f>
        <v>0</v>
      </c>
      <c r="O243" s="127" t="n">
        <f aca="false">VLOOKUP($B243,$C$6:$Z$17,O$22+1)</f>
        <v>1.23965925286319</v>
      </c>
      <c r="P243" s="127" t="n">
        <f aca="false">VLOOKUP($B243,$C$6:$Z$17,P$22+1)</f>
        <v>1.2314</v>
      </c>
      <c r="Q243" s="127" t="n">
        <f aca="false">VLOOKUP($B243,$C$6:$Z$17,Q$22+1)</f>
        <v>1.18899630831453</v>
      </c>
      <c r="R243" s="127" t="n">
        <f aca="false">VLOOKUP($B243,$C$6:$Z$17,R$22+1)</f>
        <v>0</v>
      </c>
      <c r="S243" s="127" t="n">
        <f aca="false">VLOOKUP($B243,$C$6:$Z$17,S$22+1)</f>
        <v>0</v>
      </c>
      <c r="T243" s="127" t="n">
        <f aca="false">VLOOKUP($B243,$C$6:$Z$17,T$22+1)</f>
        <v>0</v>
      </c>
      <c r="U243" s="127" t="n">
        <f aca="false">VLOOKUP($B243,$C$6:$AB$17,T$22+3)-SUM(E243:T243)</f>
        <v>0</v>
      </c>
      <c r="W243" s="128" t="n">
        <f aca="false">$D243*E243</f>
        <v>0</v>
      </c>
      <c r="X243" s="128" t="n">
        <f aca="false">$D243*F243</f>
        <v>38.1144495560455</v>
      </c>
      <c r="Y243" s="128" t="n">
        <f aca="false">$D243*G243</f>
        <v>0</v>
      </c>
      <c r="Z243" s="128" t="n">
        <f aca="false">$D243*H243</f>
        <v>0</v>
      </c>
      <c r="AA243" s="128" t="n">
        <f aca="false">$D243*I243</f>
        <v>0</v>
      </c>
      <c r="AB243" s="128" t="n">
        <f aca="false">$D243*J243</f>
        <v>0</v>
      </c>
      <c r="AC243" s="128" t="n">
        <f aca="false">$D243*K243</f>
        <v>0</v>
      </c>
      <c r="AD243" s="128" t="n">
        <f aca="false">$D243*L243</f>
        <v>0</v>
      </c>
      <c r="AE243" s="128" t="n">
        <f aca="false">$D243*M243</f>
        <v>0</v>
      </c>
      <c r="AF243" s="128" t="n">
        <f aca="false">$D243*N243</f>
        <v>0</v>
      </c>
      <c r="AG243" s="128" t="n">
        <f aca="false">$D243*O243</f>
        <v>40.598840058377</v>
      </c>
      <c r="AH243" s="128" t="n">
        <f aca="false">$D243*P243</f>
        <v>40.3283495302582</v>
      </c>
      <c r="AI243" s="128" t="n">
        <f aca="false">$D243*Q243</f>
        <v>38.9396286437348</v>
      </c>
      <c r="AJ243" s="128" t="n">
        <f aca="false">$D243*R243</f>
        <v>0</v>
      </c>
      <c r="AK243" s="128" t="n">
        <f aca="false">$D243*S243</f>
        <v>0</v>
      </c>
      <c r="AL243" s="128" t="n">
        <f aca="false">$D243*T243</f>
        <v>0</v>
      </c>
      <c r="AN243" s="129" t="n">
        <f aca="false">SUM(W243:AL243)/4</f>
        <v>39.4953169471039</v>
      </c>
      <c r="AO243" s="130" t="n">
        <f aca="false">D243</f>
        <v>32.7499996185303</v>
      </c>
    </row>
    <row r="244" customFormat="false" ht="16.5" hidden="false" customHeight="false" outlineLevel="0" collapsed="false">
      <c r="B244" s="116" t="n">
        <f aca="false">MONTH(C244)</f>
        <v>1</v>
      </c>
      <c r="C244" s="125" t="n">
        <f aca="false">PJM_01212000!A228</f>
        <v>42370</v>
      </c>
      <c r="D244" s="126" t="n">
        <f aca="false">PJM_01212000!C228</f>
        <v>41.3249984741211</v>
      </c>
      <c r="E244" s="127" t="n">
        <f aca="false">VLOOKUP($B244,$C$6:$Z$17,E$22+1)</f>
        <v>0</v>
      </c>
      <c r="F244" s="127" t="n">
        <f aca="false">VLOOKUP($B244,$C$6:$Z$17,F$22+1)</f>
        <v>1.19981175661928</v>
      </c>
      <c r="G244" s="127" t="n">
        <f aca="false">VLOOKUP($B244,$C$6:$Z$17,G$22+1)</f>
        <v>1.19616001156207</v>
      </c>
      <c r="H244" s="127" t="n">
        <f aca="false">VLOOKUP($B244,$C$6:$Z$17,H$22+1)</f>
        <v>0</v>
      </c>
      <c r="I244" s="127" t="n">
        <f aca="false">VLOOKUP($B244,$C$6:$Z$17,I$22+1)</f>
        <v>0</v>
      </c>
      <c r="J244" s="127" t="n">
        <f aca="false">VLOOKUP($B244,$C$6:$Z$17,J$22+1)</f>
        <v>0</v>
      </c>
      <c r="K244" s="127" t="n">
        <f aca="false">VLOOKUP($B244,$C$6:$Z$17,K$22+1)</f>
        <v>0</v>
      </c>
      <c r="L244" s="127" t="n">
        <f aca="false">VLOOKUP($B244,$C$6:$Z$17,L$22+1)</f>
        <v>0</v>
      </c>
      <c r="M244" s="127" t="n">
        <f aca="false">VLOOKUP($B244,$C$6:$Z$17,M$22+1)</f>
        <v>0</v>
      </c>
      <c r="N244" s="127" t="n">
        <f aca="false">VLOOKUP($B244,$C$6:$Z$17,N$22+1)</f>
        <v>0</v>
      </c>
      <c r="O244" s="127" t="n">
        <f aca="false">VLOOKUP($B244,$C$6:$Z$17,O$22+1)</f>
        <v>0</v>
      </c>
      <c r="P244" s="127" t="n">
        <f aca="false">VLOOKUP($B244,$C$6:$Z$17,P$22+1)</f>
        <v>1.28189922894351</v>
      </c>
      <c r="Q244" s="127" t="n">
        <f aca="false">VLOOKUP($B244,$C$6:$Z$17,Q$22+1)</f>
        <v>1.227</v>
      </c>
      <c r="R244" s="127" t="n">
        <f aca="false">VLOOKUP($B244,$C$6:$Z$17,R$22+1)</f>
        <v>0</v>
      </c>
      <c r="S244" s="127" t="n">
        <f aca="false">VLOOKUP($B244,$C$6:$Z$17,S$22+1)</f>
        <v>0</v>
      </c>
      <c r="T244" s="127" t="n">
        <f aca="false">VLOOKUP($B244,$C$6:$Z$17,T$22+1)</f>
        <v>0</v>
      </c>
      <c r="U244" s="127" t="n">
        <f aca="false">VLOOKUP($B244,$C$6:$AB$17,T$22+3)-SUM(E244:T244)</f>
        <v>0</v>
      </c>
      <c r="W244" s="128" t="n">
        <f aca="false">$D244*E244</f>
        <v>0</v>
      </c>
      <c r="X244" s="128" t="n">
        <f aca="false">$D244*F244</f>
        <v>49.5822190115244</v>
      </c>
      <c r="Y244" s="128" t="n">
        <f aca="false">$D244*G244</f>
        <v>49.4313106526073</v>
      </c>
      <c r="Z244" s="128" t="n">
        <f aca="false">$D244*H244</f>
        <v>0</v>
      </c>
      <c r="AA244" s="128" t="n">
        <f aca="false">$D244*I244</f>
        <v>0</v>
      </c>
      <c r="AB244" s="128" t="n">
        <f aca="false">$D244*J244</f>
        <v>0</v>
      </c>
      <c r="AC244" s="128" t="n">
        <f aca="false">$D244*K244</f>
        <v>0</v>
      </c>
      <c r="AD244" s="128" t="n">
        <f aca="false">$D244*L244</f>
        <v>0</v>
      </c>
      <c r="AE244" s="128" t="n">
        <f aca="false">$D244*M244</f>
        <v>0</v>
      </c>
      <c r="AF244" s="128" t="n">
        <f aca="false">$D244*N244</f>
        <v>0</v>
      </c>
      <c r="AG244" s="128" t="n">
        <f aca="false">$D244*O244</f>
        <v>0</v>
      </c>
      <c r="AH244" s="128" t="n">
        <f aca="false">$D244*P244</f>
        <v>52.9744836800676</v>
      </c>
      <c r="AI244" s="128" t="n">
        <f aca="false">$D244*Q244</f>
        <v>50.7057731277466</v>
      </c>
      <c r="AJ244" s="128" t="n">
        <f aca="false">$D244*R244</f>
        <v>0</v>
      </c>
      <c r="AK244" s="128" t="n">
        <f aca="false">$D244*S244</f>
        <v>0</v>
      </c>
      <c r="AL244" s="128" t="n">
        <f aca="false">$D244*T244</f>
        <v>0</v>
      </c>
      <c r="AN244" s="129" t="n">
        <f aca="false">SUM(W244:AL244)/4</f>
        <v>50.6734466179865</v>
      </c>
      <c r="AO244" s="130" t="n">
        <f aca="false">D244</f>
        <v>41.3249984741211</v>
      </c>
    </row>
    <row r="245" customFormat="false" ht="16.5" hidden="false" customHeight="false" outlineLevel="0" collapsed="false">
      <c r="B245" s="116" t="n">
        <f aca="false">MONTH(C245)</f>
        <v>2</v>
      </c>
      <c r="C245" s="125" t="n">
        <f aca="false">PJM_01212000!A229</f>
        <v>42401</v>
      </c>
      <c r="D245" s="126" t="n">
        <f aca="false">PJM_01212000!C229</f>
        <v>41.3249984741211</v>
      </c>
      <c r="E245" s="127" t="n">
        <f aca="false">VLOOKUP($B245,$C$6:$Z$17,E$22+1)</f>
        <v>0</v>
      </c>
      <c r="F245" s="127" t="n">
        <f aca="false">VLOOKUP($B245,$C$6:$Z$17,F$22+1)</f>
        <v>1.19981175661928</v>
      </c>
      <c r="G245" s="127" t="n">
        <f aca="false">VLOOKUP($B245,$C$6:$Z$17,G$22+1)</f>
        <v>1.19616001156207</v>
      </c>
      <c r="H245" s="127" t="n">
        <f aca="false">VLOOKUP($B245,$C$6:$Z$17,H$22+1)</f>
        <v>0</v>
      </c>
      <c r="I245" s="127" t="n">
        <f aca="false">VLOOKUP($B245,$C$6:$Z$17,I$22+1)</f>
        <v>0</v>
      </c>
      <c r="J245" s="127" t="n">
        <f aca="false">VLOOKUP($B245,$C$6:$Z$17,J$22+1)</f>
        <v>0</v>
      </c>
      <c r="K245" s="127" t="n">
        <f aca="false">VLOOKUP($B245,$C$6:$Z$17,K$22+1)</f>
        <v>0</v>
      </c>
      <c r="L245" s="127" t="n">
        <f aca="false">VLOOKUP($B245,$C$6:$Z$17,L$22+1)</f>
        <v>0</v>
      </c>
      <c r="M245" s="127" t="n">
        <f aca="false">VLOOKUP($B245,$C$6:$Z$17,M$22+1)</f>
        <v>0</v>
      </c>
      <c r="N245" s="127" t="n">
        <f aca="false">VLOOKUP($B245,$C$6:$Z$17,N$22+1)</f>
        <v>0</v>
      </c>
      <c r="O245" s="127" t="n">
        <f aca="false">VLOOKUP($B245,$C$6:$Z$17,O$22+1)</f>
        <v>0</v>
      </c>
      <c r="P245" s="127" t="n">
        <f aca="false">VLOOKUP($B245,$C$6:$Z$17,P$22+1)</f>
        <v>1.28189922894351</v>
      </c>
      <c r="Q245" s="127" t="n">
        <f aca="false">VLOOKUP($B245,$C$6:$Z$17,Q$22+1)</f>
        <v>1.227</v>
      </c>
      <c r="R245" s="127" t="n">
        <f aca="false">VLOOKUP($B245,$C$6:$Z$17,R$22+1)</f>
        <v>0</v>
      </c>
      <c r="S245" s="127" t="n">
        <f aca="false">VLOOKUP($B245,$C$6:$Z$17,S$22+1)</f>
        <v>0</v>
      </c>
      <c r="T245" s="127" t="n">
        <f aca="false">VLOOKUP($B245,$C$6:$Z$17,T$22+1)</f>
        <v>0</v>
      </c>
      <c r="U245" s="127" t="n">
        <f aca="false">VLOOKUP($B245,$C$6:$AB$17,T$22+3)-SUM(E245:T245)</f>
        <v>0</v>
      </c>
      <c r="W245" s="128" t="n">
        <f aca="false">$D245*E245</f>
        <v>0</v>
      </c>
      <c r="X245" s="128" t="n">
        <f aca="false">$D245*F245</f>
        <v>49.5822190115244</v>
      </c>
      <c r="Y245" s="128" t="n">
        <f aca="false">$D245*G245</f>
        <v>49.4313106526073</v>
      </c>
      <c r="Z245" s="128" t="n">
        <f aca="false">$D245*H245</f>
        <v>0</v>
      </c>
      <c r="AA245" s="128" t="n">
        <f aca="false">$D245*I245</f>
        <v>0</v>
      </c>
      <c r="AB245" s="128" t="n">
        <f aca="false">$D245*J245</f>
        <v>0</v>
      </c>
      <c r="AC245" s="128" t="n">
        <f aca="false">$D245*K245</f>
        <v>0</v>
      </c>
      <c r="AD245" s="128" t="n">
        <f aca="false">$D245*L245</f>
        <v>0</v>
      </c>
      <c r="AE245" s="128" t="n">
        <f aca="false">$D245*M245</f>
        <v>0</v>
      </c>
      <c r="AF245" s="128" t="n">
        <f aca="false">$D245*N245</f>
        <v>0</v>
      </c>
      <c r="AG245" s="128" t="n">
        <f aca="false">$D245*O245</f>
        <v>0</v>
      </c>
      <c r="AH245" s="128" t="n">
        <f aca="false">$D245*P245</f>
        <v>52.9744836800676</v>
      </c>
      <c r="AI245" s="128" t="n">
        <f aca="false">$D245*Q245</f>
        <v>50.7057731277466</v>
      </c>
      <c r="AJ245" s="128" t="n">
        <f aca="false">$D245*R245</f>
        <v>0</v>
      </c>
      <c r="AK245" s="128" t="n">
        <f aca="false">$D245*S245</f>
        <v>0</v>
      </c>
      <c r="AL245" s="128" t="n">
        <f aca="false">$D245*T245</f>
        <v>0</v>
      </c>
      <c r="AN245" s="129" t="n">
        <f aca="false">SUM(W245:AL245)/4</f>
        <v>50.6734466179865</v>
      </c>
      <c r="AO245" s="130" t="n">
        <f aca="false">D245</f>
        <v>41.3249984741211</v>
      </c>
    </row>
    <row r="246" customFormat="false" ht="16.5" hidden="false" customHeight="false" outlineLevel="0" collapsed="false">
      <c r="B246" s="116" t="n">
        <f aca="false">MONTH(C246)</f>
        <v>3</v>
      </c>
      <c r="C246" s="125" t="n">
        <f aca="false">PJM_01212000!A230</f>
        <v>42430</v>
      </c>
      <c r="D246" s="126" t="n">
        <f aca="false">PJM_01212000!C230</f>
        <v>31.0500007629395</v>
      </c>
      <c r="E246" s="127" t="n">
        <f aca="false">VLOOKUP($B246,$C$6:$Z$17,E$22+1)</f>
        <v>0</v>
      </c>
      <c r="F246" s="127" t="n">
        <f aca="false">VLOOKUP($B246,$C$6:$Z$17,F$22+1)</f>
        <v>1.1898</v>
      </c>
      <c r="G246" s="127" t="n">
        <f aca="false">VLOOKUP($B246,$C$6:$Z$17,G$22+1)</f>
        <v>1.1862</v>
      </c>
      <c r="H246" s="127" t="n">
        <f aca="false">VLOOKUP($B246,$C$6:$Z$17,H$22+1)</f>
        <v>0</v>
      </c>
      <c r="I246" s="127" t="n">
        <f aca="false">VLOOKUP($B246,$C$6:$Z$17,I$22+1)</f>
        <v>0</v>
      </c>
      <c r="J246" s="127" t="n">
        <f aca="false">VLOOKUP($B246,$C$6:$Z$17,J$22+1)</f>
        <v>0</v>
      </c>
      <c r="K246" s="127" t="n">
        <f aca="false">VLOOKUP($B246,$C$6:$Z$17,K$22+1)</f>
        <v>0</v>
      </c>
      <c r="L246" s="127" t="n">
        <f aca="false">VLOOKUP($B246,$C$6:$Z$17,L$22+1)</f>
        <v>0</v>
      </c>
      <c r="M246" s="127" t="n">
        <f aca="false">VLOOKUP($B246,$C$6:$Z$17,M$22+1)</f>
        <v>0</v>
      </c>
      <c r="N246" s="127" t="n">
        <f aca="false">VLOOKUP($B246,$C$6:$Z$17,N$22+1)</f>
        <v>0</v>
      </c>
      <c r="O246" s="127" t="n">
        <f aca="false">VLOOKUP($B246,$C$6:$Z$17,O$22+1)</f>
        <v>0</v>
      </c>
      <c r="P246" s="127" t="n">
        <f aca="false">VLOOKUP($B246,$C$6:$Z$17,P$22+1)</f>
        <v>1.2719</v>
      </c>
      <c r="Q246" s="127" t="n">
        <f aca="false">VLOOKUP($B246,$C$6:$Z$17,Q$22+1)</f>
        <v>1.217</v>
      </c>
      <c r="R246" s="127" t="n">
        <f aca="false">VLOOKUP($B246,$C$6:$Z$17,R$22+1)</f>
        <v>0</v>
      </c>
      <c r="S246" s="127" t="n">
        <f aca="false">VLOOKUP($B246,$C$6:$Z$17,S$22+1)</f>
        <v>0</v>
      </c>
      <c r="T246" s="127" t="n">
        <f aca="false">VLOOKUP($B246,$C$6:$Z$17,T$22+1)</f>
        <v>0</v>
      </c>
      <c r="U246" s="127" t="n">
        <f aca="false">VLOOKUP($B246,$C$6:$AB$17,T$22+3)-SUM(E246:T246)</f>
        <v>0</v>
      </c>
      <c r="W246" s="128" t="n">
        <f aca="false">$D246*E246</f>
        <v>0</v>
      </c>
      <c r="X246" s="128" t="n">
        <f aca="false">$D246*F246</f>
        <v>36.9432909077454</v>
      </c>
      <c r="Y246" s="128" t="n">
        <f aca="false">$D246*G246</f>
        <v>36.8315109049988</v>
      </c>
      <c r="Z246" s="128" t="n">
        <f aca="false">$D246*H246</f>
        <v>0</v>
      </c>
      <c r="AA246" s="128" t="n">
        <f aca="false">$D246*I246</f>
        <v>0</v>
      </c>
      <c r="AB246" s="128" t="n">
        <f aca="false">$D246*J246</f>
        <v>0</v>
      </c>
      <c r="AC246" s="128" t="n">
        <f aca="false">$D246*K246</f>
        <v>0</v>
      </c>
      <c r="AD246" s="128" t="n">
        <f aca="false">$D246*L246</f>
        <v>0</v>
      </c>
      <c r="AE246" s="128" t="n">
        <f aca="false">$D246*M246</f>
        <v>0</v>
      </c>
      <c r="AF246" s="128" t="n">
        <f aca="false">$D246*N246</f>
        <v>0</v>
      </c>
      <c r="AG246" s="128" t="n">
        <f aca="false">$D246*O246</f>
        <v>0</v>
      </c>
      <c r="AH246" s="128" t="n">
        <f aca="false">$D246*P246</f>
        <v>39.4924959703827</v>
      </c>
      <c r="AI246" s="128" t="n">
        <f aca="false">$D246*Q246</f>
        <v>37.7878509284973</v>
      </c>
      <c r="AJ246" s="128" t="n">
        <f aca="false">$D246*R246</f>
        <v>0</v>
      </c>
      <c r="AK246" s="128" t="n">
        <f aca="false">$D246*S246</f>
        <v>0</v>
      </c>
      <c r="AL246" s="128" t="n">
        <f aca="false">$D246*T246</f>
        <v>0</v>
      </c>
      <c r="AN246" s="129" t="n">
        <f aca="false">SUM(W246:AL246)/4</f>
        <v>37.763787177906</v>
      </c>
      <c r="AO246" s="130" t="n">
        <f aca="false">D246</f>
        <v>31.0500007629395</v>
      </c>
    </row>
    <row r="247" customFormat="false" ht="16.5" hidden="false" customHeight="false" outlineLevel="0" collapsed="false">
      <c r="B247" s="116" t="n">
        <f aca="false">MONTH(C247)</f>
        <v>4</v>
      </c>
      <c r="C247" s="125" t="n">
        <f aca="false">PJM_01212000!A231</f>
        <v>42461</v>
      </c>
      <c r="D247" s="126" t="n">
        <f aca="false">PJM_01212000!C231</f>
        <v>30.8250007629395</v>
      </c>
      <c r="E247" s="127" t="n">
        <f aca="false">VLOOKUP($B247,$C$6:$Z$17,E$22+1)</f>
        <v>1.1232726508202</v>
      </c>
      <c r="F247" s="127" t="n">
        <f aca="false">VLOOKUP($B247,$C$6:$Z$17,F$22+1)</f>
        <v>1.14131544612562</v>
      </c>
      <c r="G247" s="127" t="n">
        <f aca="false">VLOOKUP($B247,$C$6:$Z$17,G$22+1)</f>
        <v>0</v>
      </c>
      <c r="H247" s="127" t="n">
        <f aca="false">VLOOKUP($B247,$C$6:$Z$17,H$22+1)</f>
        <v>0</v>
      </c>
      <c r="I247" s="127" t="n">
        <f aca="false">VLOOKUP($B247,$C$6:$Z$17,I$22+1)</f>
        <v>1.11852454679246</v>
      </c>
      <c r="J247" s="127" t="n">
        <f aca="false">VLOOKUP($B247,$C$6:$Z$17,J$22+1)</f>
        <v>0</v>
      </c>
      <c r="K247" s="127" t="n">
        <f aca="false">VLOOKUP($B247,$C$6:$Z$17,K$22+1)</f>
        <v>0</v>
      </c>
      <c r="L247" s="127" t="n">
        <f aca="false">VLOOKUP($B247,$C$6:$Z$17,L$22+1)</f>
        <v>0</v>
      </c>
      <c r="M247" s="127" t="n">
        <f aca="false">VLOOKUP($B247,$C$6:$Z$17,M$22+1)</f>
        <v>0</v>
      </c>
      <c r="N247" s="127" t="n">
        <f aca="false">VLOOKUP($B247,$C$6:$Z$17,N$22+1)</f>
        <v>0</v>
      </c>
      <c r="O247" s="127" t="n">
        <f aca="false">VLOOKUP($B247,$C$6:$Z$17,O$22+1)</f>
        <v>0</v>
      </c>
      <c r="P247" s="127" t="n">
        <f aca="false">VLOOKUP($B247,$C$6:$Z$17,P$22+1)</f>
        <v>0</v>
      </c>
      <c r="Q247" s="127" t="n">
        <f aca="false">VLOOKUP($B247,$C$6:$Z$17,Q$22+1)</f>
        <v>0</v>
      </c>
      <c r="R247" s="127" t="n">
        <f aca="false">VLOOKUP($B247,$C$6:$Z$17,R$22+1)</f>
        <v>1.15433651784915</v>
      </c>
      <c r="S247" s="127" t="n">
        <f aca="false">VLOOKUP($B247,$C$6:$Z$17,S$22+1)</f>
        <v>0</v>
      </c>
      <c r="T247" s="127" t="n">
        <f aca="false">VLOOKUP($B247,$C$6:$Z$17,T$22+1)</f>
        <v>0</v>
      </c>
      <c r="U247" s="127" t="n">
        <f aca="false">VLOOKUP($B247,$C$6:$AB$17,T$22+3)-SUM(E247:T247)</f>
        <v>0</v>
      </c>
      <c r="W247" s="128" t="n">
        <f aca="false">$D247*E247</f>
        <v>34.6248803185218</v>
      </c>
      <c r="X247" s="128" t="n">
        <f aca="false">$D247*F247</f>
        <v>35.1810494975767</v>
      </c>
      <c r="Y247" s="128" t="n">
        <f aca="false">$D247*G247</f>
        <v>0</v>
      </c>
      <c r="Z247" s="128" t="n">
        <f aca="false">$D247*H247</f>
        <v>0</v>
      </c>
      <c r="AA247" s="128" t="n">
        <f aca="false">$D247*I247</f>
        <v>34.4785200082442</v>
      </c>
      <c r="AB247" s="128" t="n">
        <f aca="false">$D247*J247</f>
        <v>0</v>
      </c>
      <c r="AC247" s="128" t="n">
        <f aca="false">$D247*K247</f>
        <v>0</v>
      </c>
      <c r="AD247" s="128" t="n">
        <f aca="false">$D247*L247</f>
        <v>0</v>
      </c>
      <c r="AE247" s="128" t="n">
        <f aca="false">$D247*M247</f>
        <v>0</v>
      </c>
      <c r="AF247" s="128" t="n">
        <f aca="false">$D247*N247</f>
        <v>0</v>
      </c>
      <c r="AG247" s="128" t="n">
        <f aca="false">$D247*O247</f>
        <v>0</v>
      </c>
      <c r="AH247" s="128" t="n">
        <f aca="false">$D247*P247</f>
        <v>0</v>
      </c>
      <c r="AI247" s="128" t="n">
        <f aca="false">$D247*Q247</f>
        <v>0</v>
      </c>
      <c r="AJ247" s="128" t="n">
        <f aca="false">$D247*R247</f>
        <v>35.5824240433889</v>
      </c>
      <c r="AK247" s="128" t="n">
        <f aca="false">$D247*S247</f>
        <v>0</v>
      </c>
      <c r="AL247" s="128" t="n">
        <f aca="false">$D247*T247</f>
        <v>0</v>
      </c>
      <c r="AN247" s="129" t="n">
        <f aca="false">SUM(W247:AL247)/4</f>
        <v>34.9667184669329</v>
      </c>
      <c r="AO247" s="130" t="n">
        <f aca="false">D247</f>
        <v>30.8250007629395</v>
      </c>
    </row>
    <row r="248" customFormat="false" ht="16.5" hidden="false" customHeight="false" outlineLevel="0" collapsed="false">
      <c r="B248" s="116" t="n">
        <f aca="false">MONTH(C248)</f>
        <v>5</v>
      </c>
      <c r="C248" s="125" t="n">
        <f aca="false">PJM_01212000!A232</f>
        <v>42491</v>
      </c>
      <c r="D248" s="126" t="n">
        <f aca="false">PJM_01212000!C232</f>
        <v>38.825</v>
      </c>
      <c r="E248" s="127" t="n">
        <f aca="false">VLOOKUP($B248,$C$6:$Z$17,E$22+1)</f>
        <v>0</v>
      </c>
      <c r="F248" s="127" t="n">
        <f aca="false">VLOOKUP($B248,$C$6:$Z$17,F$22+1)</f>
        <v>0</v>
      </c>
      <c r="G248" s="127" t="n">
        <f aca="false">VLOOKUP($B248,$C$6:$Z$17,G$22+1)</f>
        <v>1.06102662180267</v>
      </c>
      <c r="H248" s="127" t="n">
        <f aca="false">VLOOKUP($B248,$C$6:$Z$17,H$22+1)</f>
        <v>1.12549986193072</v>
      </c>
      <c r="I248" s="127" t="n">
        <f aca="false">VLOOKUP($B248,$C$6:$Z$17,I$22+1)</f>
        <v>1.11699070333514</v>
      </c>
      <c r="J248" s="127" t="n">
        <f aca="false">VLOOKUP($B248,$C$6:$Z$17,J$22+1)</f>
        <v>0</v>
      </c>
      <c r="K248" s="127" t="n">
        <f aca="false">VLOOKUP($B248,$C$6:$Z$17,K$22+1)</f>
        <v>0</v>
      </c>
      <c r="L248" s="127" t="n">
        <f aca="false">VLOOKUP($B248,$C$6:$Z$17,L$22+1)</f>
        <v>0</v>
      </c>
      <c r="M248" s="127" t="n">
        <f aca="false">VLOOKUP($B248,$C$6:$Z$17,M$22+1)</f>
        <v>0</v>
      </c>
      <c r="N248" s="127" t="n">
        <f aca="false">VLOOKUP($B248,$C$6:$Z$17,N$22+1)</f>
        <v>0</v>
      </c>
      <c r="O248" s="127" t="n">
        <f aca="false">VLOOKUP($B248,$C$6:$Z$17,O$22+1)</f>
        <v>0</v>
      </c>
      <c r="P248" s="127" t="n">
        <f aca="false">VLOOKUP($B248,$C$6:$Z$17,P$22+1)</f>
        <v>0</v>
      </c>
      <c r="Q248" s="127" t="n">
        <f aca="false">VLOOKUP($B248,$C$6:$Z$17,Q$22+1)</f>
        <v>0</v>
      </c>
      <c r="R248" s="127" t="n">
        <f aca="false">VLOOKUP($B248,$C$6:$Z$17,R$22+1)</f>
        <v>1.08769956124651</v>
      </c>
      <c r="S248" s="127" t="n">
        <f aca="false">VLOOKUP($B248,$C$6:$Z$17,S$22+1)</f>
        <v>0</v>
      </c>
      <c r="T248" s="127" t="n">
        <f aca="false">VLOOKUP($B248,$C$6:$Z$17,T$22+1)</f>
        <v>0</v>
      </c>
      <c r="U248" s="127" t="n">
        <f aca="false">VLOOKUP($B248,$C$6:$AB$17,T$22+3)-SUM(E248:T248)</f>
        <v>0</v>
      </c>
      <c r="W248" s="128" t="n">
        <f aca="false">$D248*E248</f>
        <v>0</v>
      </c>
      <c r="X248" s="128" t="n">
        <f aca="false">$D248*F248</f>
        <v>0</v>
      </c>
      <c r="Y248" s="128" t="n">
        <f aca="false">$D248*G248</f>
        <v>41.1943585914888</v>
      </c>
      <c r="Z248" s="128" t="n">
        <f aca="false">$D248*H248</f>
        <v>43.6975321394602</v>
      </c>
      <c r="AA248" s="128" t="n">
        <f aca="false">$D248*I248</f>
        <v>43.3671640569868</v>
      </c>
      <c r="AB248" s="128" t="n">
        <f aca="false">$D248*J248</f>
        <v>0</v>
      </c>
      <c r="AC248" s="128" t="n">
        <f aca="false">$D248*K248</f>
        <v>0</v>
      </c>
      <c r="AD248" s="128" t="n">
        <f aca="false">$D248*L248</f>
        <v>0</v>
      </c>
      <c r="AE248" s="128" t="n">
        <f aca="false">$D248*M248</f>
        <v>0</v>
      </c>
      <c r="AF248" s="128" t="n">
        <f aca="false">$D248*N248</f>
        <v>0</v>
      </c>
      <c r="AG248" s="128" t="n">
        <f aca="false">$D248*O248</f>
        <v>0</v>
      </c>
      <c r="AH248" s="128" t="n">
        <f aca="false">$D248*P248</f>
        <v>0</v>
      </c>
      <c r="AI248" s="128" t="n">
        <f aca="false">$D248*Q248</f>
        <v>0</v>
      </c>
      <c r="AJ248" s="128" t="n">
        <f aca="false">$D248*R248</f>
        <v>42.2299354653957</v>
      </c>
      <c r="AK248" s="128" t="n">
        <f aca="false">$D248*S248</f>
        <v>0</v>
      </c>
      <c r="AL248" s="128" t="n">
        <f aca="false">$D248*T248</f>
        <v>0</v>
      </c>
      <c r="AN248" s="129" t="n">
        <f aca="false">SUM(W248:AL248)/4</f>
        <v>42.6222475633329</v>
      </c>
      <c r="AO248" s="130" t="n">
        <f aca="false">D248</f>
        <v>38.825</v>
      </c>
    </row>
    <row r="249" customFormat="false" ht="16.5" hidden="false" customHeight="false" outlineLevel="0" collapsed="false">
      <c r="B249" s="116" t="n">
        <f aca="false">MONTH(C249)</f>
        <v>6</v>
      </c>
      <c r="C249" s="125" t="n">
        <f aca="false">PJM_01212000!A233</f>
        <v>42522</v>
      </c>
      <c r="D249" s="126" t="n">
        <f aca="false">PJM_01212000!C233</f>
        <v>66.8499984741211</v>
      </c>
      <c r="E249" s="127" t="n">
        <f aca="false">VLOOKUP($B249,$C$6:$Z$17,E$22+1)</f>
        <v>0</v>
      </c>
      <c r="F249" s="127" t="n">
        <f aca="false">VLOOKUP($B249,$C$6:$Z$17,F$22+1)</f>
        <v>0</v>
      </c>
      <c r="G249" s="127" t="n">
        <f aca="false">VLOOKUP($B249,$C$6:$Z$17,G$22+1)</f>
        <v>0</v>
      </c>
      <c r="H249" s="127" t="n">
        <f aca="false">VLOOKUP($B249,$C$6:$Z$17,H$22+1)</f>
        <v>0</v>
      </c>
      <c r="I249" s="127" t="n">
        <f aca="false">VLOOKUP($B249,$C$6:$Z$17,I$22+1)</f>
        <v>0</v>
      </c>
      <c r="J249" s="127" t="n">
        <f aca="false">VLOOKUP($B249,$C$6:$Z$17,J$22+1)</f>
        <v>0</v>
      </c>
      <c r="K249" s="127" t="n">
        <f aca="false">VLOOKUP($B249,$C$6:$Z$17,K$22+1)</f>
        <v>1.22092018621818</v>
      </c>
      <c r="L249" s="127" t="n">
        <f aca="false">VLOOKUP($B249,$C$6:$Z$17,L$22+1)</f>
        <v>1.23031497714214</v>
      </c>
      <c r="M249" s="127" t="n">
        <f aca="false">VLOOKUP($B249,$C$6:$Z$17,M$22+1)</f>
        <v>1.23232814662584</v>
      </c>
      <c r="N249" s="127" t="n">
        <f aca="false">VLOOKUP($B249,$C$6:$Z$17,N$22+1)</f>
        <v>1.25232563016399</v>
      </c>
      <c r="O249" s="127" t="n">
        <f aca="false">VLOOKUP($B249,$C$6:$Z$17,O$22+1)</f>
        <v>0</v>
      </c>
      <c r="P249" s="127" t="n">
        <f aca="false">VLOOKUP($B249,$C$6:$Z$17,P$22+1)</f>
        <v>0</v>
      </c>
      <c r="Q249" s="127" t="n">
        <f aca="false">VLOOKUP($B249,$C$6:$Z$17,Q$22+1)</f>
        <v>0</v>
      </c>
      <c r="R249" s="127" t="n">
        <f aca="false">VLOOKUP($B249,$C$6:$Z$17,R$22+1)</f>
        <v>0</v>
      </c>
      <c r="S249" s="127" t="n">
        <f aca="false">VLOOKUP($B249,$C$6:$Z$17,S$22+1)</f>
        <v>0</v>
      </c>
      <c r="T249" s="127" t="n">
        <f aca="false">VLOOKUP($B249,$C$6:$Z$17,T$22+1)</f>
        <v>0</v>
      </c>
      <c r="U249" s="127" t="n">
        <f aca="false">VLOOKUP($B249,$C$6:$AB$17,T$22+3)-SUM(E249:T249)</f>
        <v>0</v>
      </c>
      <c r="W249" s="128" t="n">
        <f aca="false">$D249*E249</f>
        <v>0</v>
      </c>
      <c r="X249" s="128" t="n">
        <f aca="false">$D249*F249</f>
        <v>0</v>
      </c>
      <c r="Y249" s="128" t="n">
        <f aca="false">$D249*G249</f>
        <v>0</v>
      </c>
      <c r="Z249" s="128" t="n">
        <f aca="false">$D249*H249</f>
        <v>0</v>
      </c>
      <c r="AA249" s="128" t="n">
        <f aca="false">$D249*I249</f>
        <v>0</v>
      </c>
      <c r="AB249" s="128" t="n">
        <f aca="false">$D249*J249</f>
        <v>0</v>
      </c>
      <c r="AC249" s="128" t="n">
        <f aca="false">$D249*K249</f>
        <v>81.6185125857088</v>
      </c>
      <c r="AD249" s="128" t="n">
        <f aca="false">$D249*L249</f>
        <v>82.2465543446403</v>
      </c>
      <c r="AE249" s="128" t="n">
        <f aca="false">$D249*M249</f>
        <v>82.3811347215541</v>
      </c>
      <c r="AF249" s="128" t="n">
        <f aca="false">$D249*N249</f>
        <v>83.7179664655654</v>
      </c>
      <c r="AG249" s="128" t="n">
        <f aca="false">$D249*O249</f>
        <v>0</v>
      </c>
      <c r="AH249" s="128" t="n">
        <f aca="false">$D249*P249</f>
        <v>0</v>
      </c>
      <c r="AI249" s="128" t="n">
        <f aca="false">$D249*Q249</f>
        <v>0</v>
      </c>
      <c r="AJ249" s="128" t="n">
        <f aca="false">$D249*R249</f>
        <v>0</v>
      </c>
      <c r="AK249" s="128" t="n">
        <f aca="false">$D249*S249</f>
        <v>0</v>
      </c>
      <c r="AL249" s="128" t="n">
        <f aca="false">$D249*T249</f>
        <v>0</v>
      </c>
      <c r="AN249" s="129" t="n">
        <f aca="false">SUM(W249:AL249)/4</f>
        <v>82.4910420293672</v>
      </c>
      <c r="AO249" s="130" t="n">
        <f aca="false">D249</f>
        <v>66.8499984741211</v>
      </c>
    </row>
    <row r="250" customFormat="false" ht="16.5" hidden="false" customHeight="false" outlineLevel="0" collapsed="false">
      <c r="B250" s="116" t="n">
        <f aca="false">MONTH(C250)</f>
        <v>7</v>
      </c>
      <c r="C250" s="125" t="n">
        <f aca="false">PJM_01212000!A234</f>
        <v>42552</v>
      </c>
      <c r="D250" s="126" t="n">
        <f aca="false">PJM_01212000!C234</f>
        <v>120.449996948242</v>
      </c>
      <c r="E250" s="127" t="n">
        <f aca="false">VLOOKUP($B250,$C$6:$Z$17,E$22+1)</f>
        <v>0</v>
      </c>
      <c r="F250" s="127" t="n">
        <f aca="false">VLOOKUP($B250,$C$6:$Z$17,F$22+1)</f>
        <v>0</v>
      </c>
      <c r="G250" s="127" t="n">
        <f aca="false">VLOOKUP($B250,$C$6:$Z$17,G$22+1)</f>
        <v>0</v>
      </c>
      <c r="H250" s="127" t="n">
        <f aca="false">VLOOKUP($B250,$C$6:$Z$17,H$22+1)</f>
        <v>0</v>
      </c>
      <c r="I250" s="127" t="n">
        <f aca="false">VLOOKUP($B250,$C$6:$Z$17,I$22+1)</f>
        <v>0</v>
      </c>
      <c r="J250" s="127" t="n">
        <f aca="false">VLOOKUP($B250,$C$6:$Z$17,J$22+1)</f>
        <v>0</v>
      </c>
      <c r="K250" s="127" t="n">
        <f aca="false">VLOOKUP($B250,$C$6:$Z$17,K$22+1)</f>
        <v>0</v>
      </c>
      <c r="L250" s="127" t="n">
        <f aca="false">VLOOKUP($B250,$C$6:$Z$17,L$22+1)</f>
        <v>1.2506946851613</v>
      </c>
      <c r="M250" s="127" t="n">
        <f aca="false">VLOOKUP($B250,$C$6:$Z$17,M$22+1)</f>
        <v>1.32734019400042</v>
      </c>
      <c r="N250" s="127" t="n">
        <f aca="false">VLOOKUP($B250,$C$6:$Z$17,N$22+1)</f>
        <v>1.35388881627921</v>
      </c>
      <c r="O250" s="127" t="n">
        <f aca="false">VLOOKUP($B250,$C$6:$Z$17,O$22+1)</f>
        <v>1.32033935867348</v>
      </c>
      <c r="P250" s="127" t="n">
        <f aca="false">VLOOKUP($B250,$C$6:$Z$17,P$22+1)</f>
        <v>0</v>
      </c>
      <c r="Q250" s="127" t="n">
        <f aca="false">VLOOKUP($B250,$C$6:$Z$17,Q$22+1)</f>
        <v>0</v>
      </c>
      <c r="R250" s="127" t="n">
        <f aca="false">VLOOKUP($B250,$C$6:$Z$17,R$22+1)</f>
        <v>0</v>
      </c>
      <c r="S250" s="127" t="n">
        <f aca="false">VLOOKUP($B250,$C$6:$Z$17,S$22+1)</f>
        <v>0</v>
      </c>
      <c r="T250" s="127" t="n">
        <f aca="false">VLOOKUP($B250,$C$6:$Z$17,T$22+1)</f>
        <v>0</v>
      </c>
      <c r="U250" s="127" t="n">
        <f aca="false">VLOOKUP($B250,$C$6:$AB$17,T$22+3)-SUM(E250:T250)</f>
        <v>0</v>
      </c>
      <c r="W250" s="128" t="n">
        <f aca="false">$D250*E250</f>
        <v>0</v>
      </c>
      <c r="X250" s="128" t="n">
        <f aca="false">$D250*F250</f>
        <v>0</v>
      </c>
      <c r="Y250" s="128" t="n">
        <f aca="false">$D250*G250</f>
        <v>0</v>
      </c>
      <c r="Z250" s="128" t="n">
        <f aca="false">$D250*H250</f>
        <v>0</v>
      </c>
      <c r="AA250" s="128" t="n">
        <f aca="false">$D250*I250</f>
        <v>0</v>
      </c>
      <c r="AB250" s="128" t="n">
        <f aca="false">$D250*J250</f>
        <v>0</v>
      </c>
      <c r="AC250" s="128" t="n">
        <f aca="false">$D250*K250</f>
        <v>0</v>
      </c>
      <c r="AD250" s="128" t="n">
        <f aca="false">$D250*L250</f>
        <v>150.646171010861</v>
      </c>
      <c r="AE250" s="128" t="n">
        <f aca="false">$D250*M250</f>
        <v>159.87812231663</v>
      </c>
      <c r="AF250" s="128" t="n">
        <f aca="false">$D250*N250</f>
        <v>163.075903789091</v>
      </c>
      <c r="AG250" s="128" t="n">
        <f aca="false">$D250*O250</f>
        <v>159.034871722864</v>
      </c>
      <c r="AH250" s="128" t="n">
        <f aca="false">$D250*P250</f>
        <v>0</v>
      </c>
      <c r="AI250" s="128" t="n">
        <f aca="false">$D250*Q250</f>
        <v>0</v>
      </c>
      <c r="AJ250" s="128" t="n">
        <f aca="false">$D250*R250</f>
        <v>0</v>
      </c>
      <c r="AK250" s="128" t="n">
        <f aca="false">$D250*S250</f>
        <v>0</v>
      </c>
      <c r="AL250" s="128" t="n">
        <f aca="false">$D250*T250</f>
        <v>0</v>
      </c>
      <c r="AN250" s="129" t="n">
        <f aca="false">SUM(W250:AL250)/4</f>
        <v>158.158767209861</v>
      </c>
      <c r="AO250" s="130" t="n">
        <f aca="false">D250</f>
        <v>120.449996948242</v>
      </c>
    </row>
    <row r="251" customFormat="false" ht="16.5" hidden="false" customHeight="false" outlineLevel="0" collapsed="false">
      <c r="B251" s="116" t="n">
        <f aca="false">MONTH(C251)</f>
        <v>8</v>
      </c>
      <c r="C251" s="125" t="n">
        <f aca="false">PJM_01212000!A235</f>
        <v>42583</v>
      </c>
      <c r="D251" s="126" t="n">
        <f aca="false">PJM_01212000!C235</f>
        <v>107.449996948242</v>
      </c>
      <c r="E251" s="127" t="n">
        <f aca="false">VLOOKUP($B251,$C$6:$Z$17,E$22+1)</f>
        <v>0</v>
      </c>
      <c r="F251" s="127" t="n">
        <f aca="false">VLOOKUP($B251,$C$6:$Z$17,F$22+1)</f>
        <v>0</v>
      </c>
      <c r="G251" s="127" t="n">
        <f aca="false">VLOOKUP($B251,$C$6:$Z$17,G$22+1)</f>
        <v>0</v>
      </c>
      <c r="H251" s="127" t="n">
        <f aca="false">VLOOKUP($B251,$C$6:$Z$17,H$22+1)</f>
        <v>0</v>
      </c>
      <c r="I251" s="127" t="n">
        <f aca="false">VLOOKUP($B251,$C$6:$Z$17,I$22+1)</f>
        <v>0</v>
      </c>
      <c r="J251" s="127" t="n">
        <f aca="false">VLOOKUP($B251,$C$6:$Z$17,J$22+1)</f>
        <v>0</v>
      </c>
      <c r="K251" s="127" t="n">
        <f aca="false">VLOOKUP($B251,$C$6:$Z$17,K$22+1)</f>
        <v>1.19072909190695</v>
      </c>
      <c r="L251" s="127" t="n">
        <f aca="false">VLOOKUP($B251,$C$6:$Z$17,L$22+1)</f>
        <v>1.26057331025457</v>
      </c>
      <c r="M251" s="127" t="n">
        <f aca="false">VLOOKUP($B251,$C$6:$Z$17,M$22+1)</f>
        <v>1.24301093426774</v>
      </c>
      <c r="N251" s="127" t="n">
        <f aca="false">VLOOKUP($B251,$C$6:$Z$17,N$22+1)</f>
        <v>1.21504622788872</v>
      </c>
      <c r="O251" s="127" t="n">
        <f aca="false">VLOOKUP($B251,$C$6:$Z$17,O$22+1)</f>
        <v>0</v>
      </c>
      <c r="P251" s="127" t="n">
        <f aca="false">VLOOKUP($B251,$C$6:$Z$17,P$22+1)</f>
        <v>0</v>
      </c>
      <c r="Q251" s="127" t="n">
        <f aca="false">VLOOKUP($B251,$C$6:$Z$17,Q$22+1)</f>
        <v>0</v>
      </c>
      <c r="R251" s="127" t="n">
        <f aca="false">VLOOKUP($B251,$C$6:$Z$17,R$22+1)</f>
        <v>0</v>
      </c>
      <c r="S251" s="127" t="n">
        <f aca="false">VLOOKUP($B251,$C$6:$Z$17,S$22+1)</f>
        <v>0</v>
      </c>
      <c r="T251" s="127" t="n">
        <f aca="false">VLOOKUP($B251,$C$6:$Z$17,T$22+1)</f>
        <v>0</v>
      </c>
      <c r="U251" s="127" t="n">
        <f aca="false">VLOOKUP($B251,$C$6:$AB$17,T$22+3)-SUM(E251:T251)</f>
        <v>0</v>
      </c>
      <c r="W251" s="128" t="n">
        <f aca="false">$D251*E251</f>
        <v>0</v>
      </c>
      <c r="X251" s="128" t="n">
        <f aca="false">$D251*F251</f>
        <v>0</v>
      </c>
      <c r="Y251" s="128" t="n">
        <f aca="false">$D251*G251</f>
        <v>0</v>
      </c>
      <c r="Z251" s="128" t="n">
        <f aca="false">$D251*H251</f>
        <v>0</v>
      </c>
      <c r="AA251" s="128" t="n">
        <f aca="false">$D251*I251</f>
        <v>0</v>
      </c>
      <c r="AB251" s="128" t="n">
        <f aca="false">$D251*J251</f>
        <v>0</v>
      </c>
      <c r="AC251" s="128" t="n">
        <f aca="false">$D251*K251</f>
        <v>127.943837291585</v>
      </c>
      <c r="AD251" s="128" t="n">
        <f aca="false">$D251*L251</f>
        <v>135.448598339889</v>
      </c>
      <c r="AE251" s="128" t="n">
        <f aca="false">$D251*M251</f>
        <v>133.561521093701</v>
      </c>
      <c r="AF251" s="128" t="n">
        <f aca="false">$D251*N251</f>
        <v>130.556713478616</v>
      </c>
      <c r="AG251" s="128" t="n">
        <f aca="false">$D251*O251</f>
        <v>0</v>
      </c>
      <c r="AH251" s="128" t="n">
        <f aca="false">$D251*P251</f>
        <v>0</v>
      </c>
      <c r="AI251" s="128" t="n">
        <f aca="false">$D251*Q251</f>
        <v>0</v>
      </c>
      <c r="AJ251" s="128" t="n">
        <f aca="false">$D251*R251</f>
        <v>0</v>
      </c>
      <c r="AK251" s="128" t="n">
        <f aca="false">$D251*S251</f>
        <v>0</v>
      </c>
      <c r="AL251" s="128" t="n">
        <f aca="false">$D251*T251</f>
        <v>0</v>
      </c>
      <c r="AN251" s="129" t="n">
        <f aca="false">SUM(W251:AL251)/4</f>
        <v>131.877667550948</v>
      </c>
      <c r="AO251" s="130" t="n">
        <f aca="false">D251</f>
        <v>107.449996948242</v>
      </c>
    </row>
    <row r="252" customFormat="false" ht="16.5" hidden="false" customHeight="false" outlineLevel="0" collapsed="false">
      <c r="B252" s="116" t="n">
        <f aca="false">MONTH(C252)</f>
        <v>9</v>
      </c>
      <c r="C252" s="125" t="n">
        <f aca="false">PJM_01212000!A236</f>
        <v>42614</v>
      </c>
      <c r="D252" s="126" t="n">
        <f aca="false">PJM_01212000!C236</f>
        <v>39.4249984741211</v>
      </c>
      <c r="E252" s="127" t="n">
        <f aca="false">VLOOKUP($B252,$C$6:$Z$17,E$22+1)</f>
        <v>0</v>
      </c>
      <c r="F252" s="127" t="n">
        <f aca="false">VLOOKUP($B252,$C$6:$Z$17,F$22+1)</f>
        <v>0</v>
      </c>
      <c r="G252" s="127" t="n">
        <f aca="false">VLOOKUP($B252,$C$6:$Z$17,G$22+1)</f>
        <v>0</v>
      </c>
      <c r="H252" s="127" t="n">
        <f aca="false">VLOOKUP($B252,$C$6:$Z$17,H$22+1)</f>
        <v>0</v>
      </c>
      <c r="I252" s="127" t="n">
        <f aca="false">VLOOKUP($B252,$C$6:$Z$17,I$22+1)</f>
        <v>0</v>
      </c>
      <c r="J252" s="127" t="n">
        <f aca="false">VLOOKUP($B252,$C$6:$Z$17,J$22+1)</f>
        <v>0</v>
      </c>
      <c r="K252" s="127" t="n">
        <f aca="false">VLOOKUP($B252,$C$6:$Z$17,K$22+1)</f>
        <v>0</v>
      </c>
      <c r="L252" s="127" t="n">
        <f aca="false">VLOOKUP($B252,$C$6:$Z$17,L$22+1)</f>
        <v>0</v>
      </c>
      <c r="M252" s="127" t="n">
        <f aca="false">VLOOKUP($B252,$C$6:$Z$17,M$22+1)</f>
        <v>0</v>
      </c>
      <c r="N252" s="127" t="n">
        <f aca="false">VLOOKUP($B252,$C$6:$Z$17,N$22+1)</f>
        <v>1.13452840898687</v>
      </c>
      <c r="O252" s="127" t="n">
        <f aca="false">VLOOKUP($B252,$C$6:$Z$17,O$22+1)</f>
        <v>1.1066962078626</v>
      </c>
      <c r="P252" s="127" t="n">
        <f aca="false">VLOOKUP($B252,$C$6:$Z$17,P$22+1)</f>
        <v>0</v>
      </c>
      <c r="Q252" s="127" t="n">
        <f aca="false">VLOOKUP($B252,$C$6:$Z$17,Q$22+1)</f>
        <v>1.18462637101057</v>
      </c>
      <c r="R252" s="127" t="n">
        <f aca="false">VLOOKUP($B252,$C$6:$Z$17,R$22+1)</f>
        <v>1.1944408840386</v>
      </c>
      <c r="S252" s="127" t="n">
        <f aca="false">VLOOKUP($B252,$C$6:$Z$17,S$22+1)</f>
        <v>0</v>
      </c>
      <c r="T252" s="127" t="n">
        <f aca="false">VLOOKUP($B252,$C$6:$Z$17,T$22+1)</f>
        <v>0</v>
      </c>
      <c r="U252" s="127" t="n">
        <f aca="false">VLOOKUP($B252,$C$6:$AB$17,T$22+3)-SUM(E252:T252)</f>
        <v>0</v>
      </c>
      <c r="W252" s="128" t="n">
        <f aca="false">$D252*E252</f>
        <v>0</v>
      </c>
      <c r="X252" s="128" t="n">
        <f aca="false">$D252*F252</f>
        <v>0</v>
      </c>
      <c r="Y252" s="128" t="n">
        <f aca="false">$D252*G252</f>
        <v>0</v>
      </c>
      <c r="Z252" s="128" t="n">
        <f aca="false">$D252*H252</f>
        <v>0</v>
      </c>
      <c r="AA252" s="128" t="n">
        <f aca="false">$D252*I252</f>
        <v>0</v>
      </c>
      <c r="AB252" s="128" t="n">
        <f aca="false">$D252*J252</f>
        <v>0</v>
      </c>
      <c r="AC252" s="128" t="n">
        <f aca="false">$D252*K252</f>
        <v>0</v>
      </c>
      <c r="AD252" s="128" t="n">
        <f aca="false">$D252*L252</f>
        <v>0</v>
      </c>
      <c r="AE252" s="128" t="n">
        <f aca="false">$D252*M252</f>
        <v>0</v>
      </c>
      <c r="AF252" s="128" t="n">
        <f aca="false">$D252*N252</f>
        <v>44.7287807931545</v>
      </c>
      <c r="AG252" s="128" t="n">
        <f aca="false">$D252*O252</f>
        <v>43.6314963062985</v>
      </c>
      <c r="AH252" s="128" t="n">
        <f aca="false">$D252*P252</f>
        <v>0</v>
      </c>
      <c r="AI252" s="128" t="n">
        <f aca="false">$D252*Q252</f>
        <v>46.7038928694952</v>
      </c>
      <c r="AJ252" s="128" t="n">
        <f aca="false">$D252*R252</f>
        <v>47.0908300306496</v>
      </c>
      <c r="AK252" s="128" t="n">
        <f aca="false">$D252*S252</f>
        <v>0</v>
      </c>
      <c r="AL252" s="128" t="n">
        <f aca="false">$D252*T252</f>
        <v>0</v>
      </c>
      <c r="AN252" s="129" t="n">
        <f aca="false">SUM(W252:AL252)/4</f>
        <v>45.5387499998995</v>
      </c>
      <c r="AO252" s="130" t="n">
        <f aca="false">D252</f>
        <v>39.4249984741211</v>
      </c>
    </row>
    <row r="253" customFormat="false" ht="16.5" hidden="false" customHeight="false" outlineLevel="0" collapsed="false">
      <c r="B253" s="116" t="n">
        <f aca="false">MONTH(C253)</f>
        <v>10</v>
      </c>
      <c r="C253" s="125" t="n">
        <f aca="false">PJM_01212000!A237</f>
        <v>42644</v>
      </c>
      <c r="D253" s="126" t="n">
        <f aca="false">PJM_01212000!C237</f>
        <v>31.5750003814697</v>
      </c>
      <c r="E253" s="127" t="n">
        <f aca="false">VLOOKUP($B253,$C$6:$Z$17,E$22+1)</f>
        <v>0</v>
      </c>
      <c r="F253" s="127" t="n">
        <f aca="false">VLOOKUP($B253,$C$6:$Z$17,F$22+1)</f>
        <v>1.1326</v>
      </c>
      <c r="G253" s="127" t="n">
        <f aca="false">VLOOKUP($B253,$C$6:$Z$17,G$22+1)</f>
        <v>0</v>
      </c>
      <c r="H253" s="127" t="n">
        <f aca="false">VLOOKUP($B253,$C$6:$Z$17,H$22+1)</f>
        <v>0</v>
      </c>
      <c r="I253" s="127" t="n">
        <f aca="false">VLOOKUP($B253,$C$6:$Z$17,I$22+1)</f>
        <v>0</v>
      </c>
      <c r="J253" s="127" t="n">
        <f aca="false">VLOOKUP($B253,$C$6:$Z$17,J$22+1)</f>
        <v>0</v>
      </c>
      <c r="K253" s="127" t="n">
        <f aca="false">VLOOKUP($B253,$C$6:$Z$17,K$22+1)</f>
        <v>0</v>
      </c>
      <c r="L253" s="127" t="n">
        <f aca="false">VLOOKUP($B253,$C$6:$Z$17,L$22+1)</f>
        <v>0</v>
      </c>
      <c r="M253" s="127" t="n">
        <f aca="false">VLOOKUP($B253,$C$6:$Z$17,M$22+1)</f>
        <v>0</v>
      </c>
      <c r="N253" s="127" t="n">
        <f aca="false">VLOOKUP($B253,$C$6:$Z$17,N$22+1)</f>
        <v>0</v>
      </c>
      <c r="O253" s="127" t="n">
        <f aca="false">VLOOKUP($B253,$C$6:$Z$17,O$22+1)</f>
        <v>1.2001</v>
      </c>
      <c r="P253" s="127" t="n">
        <f aca="false">VLOOKUP($B253,$C$6:$Z$17,P$22+1)</f>
        <v>1.2095</v>
      </c>
      <c r="Q253" s="127" t="n">
        <f aca="false">VLOOKUP($B253,$C$6:$Z$17,Q$22+1)</f>
        <v>1.1567</v>
      </c>
      <c r="R253" s="127" t="n">
        <f aca="false">VLOOKUP($B253,$C$6:$Z$17,R$22+1)</f>
        <v>0</v>
      </c>
      <c r="S253" s="127" t="n">
        <f aca="false">VLOOKUP($B253,$C$6:$Z$17,S$22+1)</f>
        <v>0</v>
      </c>
      <c r="T253" s="127" t="n">
        <f aca="false">VLOOKUP($B253,$C$6:$Z$17,T$22+1)</f>
        <v>0</v>
      </c>
      <c r="U253" s="127" t="n">
        <f aca="false">VLOOKUP($B253,$C$6:$AB$17,T$22+3)-SUM(E253:T253)</f>
        <v>0</v>
      </c>
      <c r="W253" s="128" t="n">
        <f aca="false">$D253*E253</f>
        <v>0</v>
      </c>
      <c r="X253" s="128" t="n">
        <f aca="false">$D253*F253</f>
        <v>35.7618454320526</v>
      </c>
      <c r="Y253" s="128" t="n">
        <f aca="false">$D253*G253</f>
        <v>0</v>
      </c>
      <c r="Z253" s="128" t="n">
        <f aca="false">$D253*H253</f>
        <v>0</v>
      </c>
      <c r="AA253" s="128" t="n">
        <f aca="false">$D253*I253</f>
        <v>0</v>
      </c>
      <c r="AB253" s="128" t="n">
        <f aca="false">$D253*J253</f>
        <v>0</v>
      </c>
      <c r="AC253" s="128" t="n">
        <f aca="false">$D253*K253</f>
        <v>0</v>
      </c>
      <c r="AD253" s="128" t="n">
        <f aca="false">$D253*L253</f>
        <v>0</v>
      </c>
      <c r="AE253" s="128" t="n">
        <f aca="false">$D253*M253</f>
        <v>0</v>
      </c>
      <c r="AF253" s="128" t="n">
        <f aca="false">$D253*N253</f>
        <v>0</v>
      </c>
      <c r="AG253" s="128" t="n">
        <f aca="false">$D253*O253</f>
        <v>37.8931579578018</v>
      </c>
      <c r="AH253" s="128" t="n">
        <f aca="false">$D253*P253</f>
        <v>38.1899629613876</v>
      </c>
      <c r="AI253" s="128" t="n">
        <f aca="false">$D253*Q253</f>
        <v>36.522802941246</v>
      </c>
      <c r="AJ253" s="128" t="n">
        <f aca="false">$D253*R253</f>
        <v>0</v>
      </c>
      <c r="AK253" s="128" t="n">
        <f aca="false">$D253*S253</f>
        <v>0</v>
      </c>
      <c r="AL253" s="128" t="n">
        <f aca="false">$D253*T253</f>
        <v>0</v>
      </c>
      <c r="AN253" s="129" t="n">
        <f aca="false">SUM(W253:AL253)/4</f>
        <v>37.091942323122</v>
      </c>
      <c r="AO253" s="130" t="n">
        <f aca="false">D253</f>
        <v>31.5750003814697</v>
      </c>
    </row>
    <row r="254" customFormat="false" ht="16.5" hidden="false" customHeight="false" outlineLevel="0" collapsed="false">
      <c r="B254" s="116" t="n">
        <f aca="false">MONTH(C254)</f>
        <v>11</v>
      </c>
      <c r="C254" s="125" t="n">
        <f aca="false">PJM_01212000!A238</f>
        <v>42675</v>
      </c>
      <c r="D254" s="126" t="n">
        <f aca="false">PJM_01212000!C238</f>
        <v>31.2474990844727</v>
      </c>
      <c r="E254" s="127" t="n">
        <f aca="false">VLOOKUP($B254,$C$6:$Z$17,E$22+1)</f>
        <v>0</v>
      </c>
      <c r="F254" s="127" t="n">
        <f aca="false">VLOOKUP($B254,$C$6:$Z$17,F$22+1)</f>
        <v>1.1426</v>
      </c>
      <c r="G254" s="127" t="n">
        <f aca="false">VLOOKUP($B254,$C$6:$Z$17,G$22+1)</f>
        <v>0</v>
      </c>
      <c r="H254" s="127" t="n">
        <f aca="false">VLOOKUP($B254,$C$6:$Z$17,H$22+1)</f>
        <v>0</v>
      </c>
      <c r="I254" s="127" t="n">
        <f aca="false">VLOOKUP($B254,$C$6:$Z$17,I$22+1)</f>
        <v>0</v>
      </c>
      <c r="J254" s="127" t="n">
        <f aca="false">VLOOKUP($B254,$C$6:$Z$17,J$22+1)</f>
        <v>0</v>
      </c>
      <c r="K254" s="127" t="n">
        <f aca="false">VLOOKUP($B254,$C$6:$Z$17,K$22+1)</f>
        <v>0</v>
      </c>
      <c r="L254" s="127" t="n">
        <f aca="false">VLOOKUP($B254,$C$6:$Z$17,L$22+1)</f>
        <v>0</v>
      </c>
      <c r="M254" s="127" t="n">
        <f aca="false">VLOOKUP($B254,$C$6:$Z$17,M$22+1)</f>
        <v>0</v>
      </c>
      <c r="N254" s="127" t="n">
        <f aca="false">VLOOKUP($B254,$C$6:$Z$17,N$22+1)</f>
        <v>0</v>
      </c>
      <c r="O254" s="127" t="n">
        <f aca="false">VLOOKUP($B254,$C$6:$Z$17,O$22+1)</f>
        <v>1.2171</v>
      </c>
      <c r="P254" s="127" t="n">
        <f aca="false">VLOOKUP($B254,$C$6:$Z$17,P$22+1)</f>
        <v>1.2269</v>
      </c>
      <c r="Q254" s="127" t="n">
        <f aca="false">VLOOKUP($B254,$C$6:$Z$17,Q$22+1)</f>
        <v>1.1767</v>
      </c>
      <c r="R254" s="127" t="n">
        <f aca="false">VLOOKUP($B254,$C$6:$Z$17,R$22+1)</f>
        <v>0</v>
      </c>
      <c r="S254" s="127" t="n">
        <f aca="false">VLOOKUP($B254,$C$6:$Z$17,S$22+1)</f>
        <v>0</v>
      </c>
      <c r="T254" s="127" t="n">
        <f aca="false">VLOOKUP($B254,$C$6:$Z$17,T$22+1)</f>
        <v>0</v>
      </c>
      <c r="U254" s="127" t="n">
        <f aca="false">VLOOKUP($B254,$C$6:$AB$17,T$22+3)-SUM(E254:T254)</f>
        <v>0</v>
      </c>
      <c r="W254" s="128" t="n">
        <f aca="false">$D254*E254</f>
        <v>0</v>
      </c>
      <c r="X254" s="128" t="n">
        <f aca="false">$D254*F254</f>
        <v>35.7033924539185</v>
      </c>
      <c r="Y254" s="128" t="n">
        <f aca="false">$D254*G254</f>
        <v>0</v>
      </c>
      <c r="Z254" s="128" t="n">
        <f aca="false">$D254*H254</f>
        <v>0</v>
      </c>
      <c r="AA254" s="128" t="n">
        <f aca="false">$D254*I254</f>
        <v>0</v>
      </c>
      <c r="AB254" s="128" t="n">
        <f aca="false">$D254*J254</f>
        <v>0</v>
      </c>
      <c r="AC254" s="128" t="n">
        <f aca="false">$D254*K254</f>
        <v>0</v>
      </c>
      <c r="AD254" s="128" t="n">
        <f aca="false">$D254*L254</f>
        <v>0</v>
      </c>
      <c r="AE254" s="128" t="n">
        <f aca="false">$D254*M254</f>
        <v>0</v>
      </c>
      <c r="AF254" s="128" t="n">
        <f aca="false">$D254*N254</f>
        <v>0</v>
      </c>
      <c r="AG254" s="128" t="n">
        <f aca="false">$D254*O254</f>
        <v>38.0313311357117</v>
      </c>
      <c r="AH254" s="128" t="n">
        <f aca="false">$D254*P254</f>
        <v>38.3375566267395</v>
      </c>
      <c r="AI254" s="128" t="n">
        <f aca="false">$D254*Q254</f>
        <v>36.768932172699</v>
      </c>
      <c r="AJ254" s="128" t="n">
        <f aca="false">$D254*R254</f>
        <v>0</v>
      </c>
      <c r="AK254" s="128" t="n">
        <f aca="false">$D254*S254</f>
        <v>0</v>
      </c>
      <c r="AL254" s="128" t="n">
        <f aca="false">$D254*T254</f>
        <v>0</v>
      </c>
      <c r="AN254" s="129" t="n">
        <f aca="false">SUM(W254:AL254)/4</f>
        <v>37.2103030972672</v>
      </c>
      <c r="AO254" s="130" t="n">
        <f aca="false">D254</f>
        <v>31.2474990844727</v>
      </c>
    </row>
    <row r="255" customFormat="false" ht="16.5" hidden="false" customHeight="false" outlineLevel="0" collapsed="false">
      <c r="B255" s="116" t="n">
        <f aca="false">MONTH(C255)</f>
        <v>12</v>
      </c>
      <c r="C255" s="125" t="n">
        <f aca="false">PJM_01212000!A239</f>
        <v>42705</v>
      </c>
      <c r="D255" s="126" t="n">
        <f aca="false">PJM_01212000!C239</f>
        <v>32.9999996185303</v>
      </c>
      <c r="E255" s="127" t="n">
        <f aca="false">VLOOKUP($B255,$C$6:$Z$17,E$22+1)</f>
        <v>0</v>
      </c>
      <c r="F255" s="127" t="n">
        <f aca="false">VLOOKUP($B255,$C$6:$Z$17,F$22+1)</f>
        <v>1.1638</v>
      </c>
      <c r="G255" s="127" t="n">
        <f aca="false">VLOOKUP($B255,$C$6:$Z$17,G$22+1)</f>
        <v>0</v>
      </c>
      <c r="H255" s="127" t="n">
        <f aca="false">VLOOKUP($B255,$C$6:$Z$17,H$22+1)</f>
        <v>0</v>
      </c>
      <c r="I255" s="127" t="n">
        <f aca="false">VLOOKUP($B255,$C$6:$Z$17,I$22+1)</f>
        <v>0</v>
      </c>
      <c r="J255" s="127" t="n">
        <f aca="false">VLOOKUP($B255,$C$6:$Z$17,J$22+1)</f>
        <v>0</v>
      </c>
      <c r="K255" s="127" t="n">
        <f aca="false">VLOOKUP($B255,$C$6:$Z$17,K$22+1)</f>
        <v>0</v>
      </c>
      <c r="L255" s="127" t="n">
        <f aca="false">VLOOKUP($B255,$C$6:$Z$17,L$22+1)</f>
        <v>0</v>
      </c>
      <c r="M255" s="127" t="n">
        <f aca="false">VLOOKUP($B255,$C$6:$Z$17,M$22+1)</f>
        <v>0</v>
      </c>
      <c r="N255" s="127" t="n">
        <f aca="false">VLOOKUP($B255,$C$6:$Z$17,N$22+1)</f>
        <v>0</v>
      </c>
      <c r="O255" s="127" t="n">
        <f aca="false">VLOOKUP($B255,$C$6:$Z$17,O$22+1)</f>
        <v>1.23965925286319</v>
      </c>
      <c r="P255" s="127" t="n">
        <f aca="false">VLOOKUP($B255,$C$6:$Z$17,P$22+1)</f>
        <v>1.2314</v>
      </c>
      <c r="Q255" s="127" t="n">
        <f aca="false">VLOOKUP($B255,$C$6:$Z$17,Q$22+1)</f>
        <v>1.18899630831453</v>
      </c>
      <c r="R255" s="127" t="n">
        <f aca="false">VLOOKUP($B255,$C$6:$Z$17,R$22+1)</f>
        <v>0</v>
      </c>
      <c r="S255" s="127" t="n">
        <f aca="false">VLOOKUP($B255,$C$6:$Z$17,S$22+1)</f>
        <v>0</v>
      </c>
      <c r="T255" s="127" t="n">
        <f aca="false">VLOOKUP($B255,$C$6:$Z$17,T$22+1)</f>
        <v>0</v>
      </c>
      <c r="U255" s="127" t="n">
        <f aca="false">VLOOKUP($B255,$C$6:$AB$17,T$22+3)-SUM(E255:T255)</f>
        <v>0</v>
      </c>
      <c r="W255" s="128" t="n">
        <f aca="false">$D255*E255</f>
        <v>0</v>
      </c>
      <c r="X255" s="128" t="n">
        <f aca="false">$D255*F255</f>
        <v>38.4053995560455</v>
      </c>
      <c r="Y255" s="128" t="n">
        <f aca="false">$D255*G255</f>
        <v>0</v>
      </c>
      <c r="Z255" s="128" t="n">
        <f aca="false">$D255*H255</f>
        <v>0</v>
      </c>
      <c r="AA255" s="128" t="n">
        <f aca="false">$D255*I255</f>
        <v>0</v>
      </c>
      <c r="AB255" s="128" t="n">
        <f aca="false">$D255*J255</f>
        <v>0</v>
      </c>
      <c r="AC255" s="128" t="n">
        <f aca="false">$D255*K255</f>
        <v>0</v>
      </c>
      <c r="AD255" s="128" t="n">
        <f aca="false">$D255*L255</f>
        <v>0</v>
      </c>
      <c r="AE255" s="128" t="n">
        <f aca="false">$D255*M255</f>
        <v>0</v>
      </c>
      <c r="AF255" s="128" t="n">
        <f aca="false">$D255*N255</f>
        <v>0</v>
      </c>
      <c r="AG255" s="128" t="n">
        <f aca="false">$D255*O255</f>
        <v>40.9087548715928</v>
      </c>
      <c r="AH255" s="128" t="n">
        <f aca="false">$D255*P255</f>
        <v>40.6361995302582</v>
      </c>
      <c r="AI255" s="128" t="n">
        <f aca="false">$D255*Q255</f>
        <v>39.2368777208134</v>
      </c>
      <c r="AJ255" s="128" t="n">
        <f aca="false">$D255*R255</f>
        <v>0</v>
      </c>
      <c r="AK255" s="128" t="n">
        <f aca="false">$D255*S255</f>
        <v>0</v>
      </c>
      <c r="AL255" s="128" t="n">
        <f aca="false">$D255*T255</f>
        <v>0</v>
      </c>
      <c r="AN255" s="129" t="n">
        <f aca="false">SUM(W255:AL255)/4</f>
        <v>39.7968079196775</v>
      </c>
      <c r="AO255" s="130" t="n">
        <f aca="false">D255</f>
        <v>32.9999996185303</v>
      </c>
    </row>
    <row r="256" customFormat="false" ht="16.5" hidden="false" customHeight="false" outlineLevel="0" collapsed="false">
      <c r="B256" s="116" t="n">
        <f aca="false">MONTH(C256)</f>
        <v>1</v>
      </c>
      <c r="C256" s="125" t="n">
        <f aca="false">PJM_01212000!A240</f>
        <v>42736</v>
      </c>
      <c r="D256" s="126" t="n">
        <f aca="false">PJM_01212000!C240</f>
        <v>41.5749984741211</v>
      </c>
      <c r="E256" s="127" t="n">
        <f aca="false">VLOOKUP($B256,$C$6:$Z$17,E$22+1)</f>
        <v>0</v>
      </c>
      <c r="F256" s="127" t="n">
        <f aca="false">VLOOKUP($B256,$C$6:$Z$17,F$22+1)</f>
        <v>1.19981175661928</v>
      </c>
      <c r="G256" s="127" t="n">
        <f aca="false">VLOOKUP($B256,$C$6:$Z$17,G$22+1)</f>
        <v>1.19616001156207</v>
      </c>
      <c r="H256" s="127" t="n">
        <f aca="false">VLOOKUP($B256,$C$6:$Z$17,H$22+1)</f>
        <v>0</v>
      </c>
      <c r="I256" s="127" t="n">
        <f aca="false">VLOOKUP($B256,$C$6:$Z$17,I$22+1)</f>
        <v>0</v>
      </c>
      <c r="J256" s="127" t="n">
        <f aca="false">VLOOKUP($B256,$C$6:$Z$17,J$22+1)</f>
        <v>0</v>
      </c>
      <c r="K256" s="127" t="n">
        <f aca="false">VLOOKUP($B256,$C$6:$Z$17,K$22+1)</f>
        <v>0</v>
      </c>
      <c r="L256" s="127" t="n">
        <f aca="false">VLOOKUP($B256,$C$6:$Z$17,L$22+1)</f>
        <v>0</v>
      </c>
      <c r="M256" s="127" t="n">
        <f aca="false">VLOOKUP($B256,$C$6:$Z$17,M$22+1)</f>
        <v>0</v>
      </c>
      <c r="N256" s="127" t="n">
        <f aca="false">VLOOKUP($B256,$C$6:$Z$17,N$22+1)</f>
        <v>0</v>
      </c>
      <c r="O256" s="127" t="n">
        <f aca="false">VLOOKUP($B256,$C$6:$Z$17,O$22+1)</f>
        <v>0</v>
      </c>
      <c r="P256" s="127" t="n">
        <f aca="false">VLOOKUP($B256,$C$6:$Z$17,P$22+1)</f>
        <v>1.28189922894351</v>
      </c>
      <c r="Q256" s="127" t="n">
        <f aca="false">VLOOKUP($B256,$C$6:$Z$17,Q$22+1)</f>
        <v>1.227</v>
      </c>
      <c r="R256" s="127" t="n">
        <f aca="false">VLOOKUP($B256,$C$6:$Z$17,R$22+1)</f>
        <v>0</v>
      </c>
      <c r="S256" s="127" t="n">
        <f aca="false">VLOOKUP($B256,$C$6:$Z$17,S$22+1)</f>
        <v>0</v>
      </c>
      <c r="T256" s="127" t="n">
        <f aca="false">VLOOKUP($B256,$C$6:$Z$17,T$22+1)</f>
        <v>0</v>
      </c>
      <c r="U256" s="127" t="n">
        <f aca="false">VLOOKUP($B256,$C$6:$AB$17,T$22+3)-SUM(E256:T256)</f>
        <v>0</v>
      </c>
      <c r="W256" s="128" t="n">
        <f aca="false">$D256*E256</f>
        <v>0</v>
      </c>
      <c r="X256" s="128" t="n">
        <f aca="false">$D256*F256</f>
        <v>49.8821719506792</v>
      </c>
      <c r="Y256" s="128" t="n">
        <f aca="false">$D256*G256</f>
        <v>49.7303506554978</v>
      </c>
      <c r="Z256" s="128" t="n">
        <f aca="false">$D256*H256</f>
        <v>0</v>
      </c>
      <c r="AA256" s="128" t="n">
        <f aca="false">$D256*I256</f>
        <v>0</v>
      </c>
      <c r="AB256" s="128" t="n">
        <f aca="false">$D256*J256</f>
        <v>0</v>
      </c>
      <c r="AC256" s="128" t="n">
        <f aca="false">$D256*K256</f>
        <v>0</v>
      </c>
      <c r="AD256" s="128" t="n">
        <f aca="false">$D256*L256</f>
        <v>0</v>
      </c>
      <c r="AE256" s="128" t="n">
        <f aca="false">$D256*M256</f>
        <v>0</v>
      </c>
      <c r="AF256" s="128" t="n">
        <f aca="false">$D256*N256</f>
        <v>0</v>
      </c>
      <c r="AG256" s="128" t="n">
        <f aca="false">$D256*O256</f>
        <v>0</v>
      </c>
      <c r="AH256" s="128" t="n">
        <f aca="false">$D256*P256</f>
        <v>53.2949584873035</v>
      </c>
      <c r="AI256" s="128" t="n">
        <f aca="false">$D256*Q256</f>
        <v>51.0125231277466</v>
      </c>
      <c r="AJ256" s="128" t="n">
        <f aca="false">$D256*R256</f>
        <v>0</v>
      </c>
      <c r="AK256" s="128" t="n">
        <f aca="false">$D256*S256</f>
        <v>0</v>
      </c>
      <c r="AL256" s="128" t="n">
        <f aca="false">$D256*T256</f>
        <v>0</v>
      </c>
      <c r="AN256" s="129" t="n">
        <f aca="false">SUM(W256:AL256)/4</f>
        <v>50.9800010553068</v>
      </c>
      <c r="AO256" s="130" t="n">
        <f aca="false">D256</f>
        <v>41.5749984741211</v>
      </c>
    </row>
    <row r="257" customFormat="false" ht="16.5" hidden="false" customHeight="false" outlineLevel="0" collapsed="false">
      <c r="B257" s="116" t="n">
        <f aca="false">MONTH(C257)</f>
        <v>2</v>
      </c>
      <c r="C257" s="125" t="n">
        <f aca="false">PJM_01212000!A241</f>
        <v>42767</v>
      </c>
      <c r="D257" s="126" t="n">
        <f aca="false">PJM_01212000!C241</f>
        <v>41.5749984741211</v>
      </c>
      <c r="E257" s="127" t="n">
        <f aca="false">VLOOKUP($B257,$C$6:$Z$17,E$22+1)</f>
        <v>0</v>
      </c>
      <c r="F257" s="127" t="n">
        <f aca="false">VLOOKUP($B257,$C$6:$Z$17,F$22+1)</f>
        <v>1.19981175661928</v>
      </c>
      <c r="G257" s="127" t="n">
        <f aca="false">VLOOKUP($B257,$C$6:$Z$17,G$22+1)</f>
        <v>1.19616001156207</v>
      </c>
      <c r="H257" s="127" t="n">
        <f aca="false">VLOOKUP($B257,$C$6:$Z$17,H$22+1)</f>
        <v>0</v>
      </c>
      <c r="I257" s="127" t="n">
        <f aca="false">VLOOKUP($B257,$C$6:$Z$17,I$22+1)</f>
        <v>0</v>
      </c>
      <c r="J257" s="127" t="n">
        <f aca="false">VLOOKUP($B257,$C$6:$Z$17,J$22+1)</f>
        <v>0</v>
      </c>
      <c r="K257" s="127" t="n">
        <f aca="false">VLOOKUP($B257,$C$6:$Z$17,K$22+1)</f>
        <v>0</v>
      </c>
      <c r="L257" s="127" t="n">
        <f aca="false">VLOOKUP($B257,$C$6:$Z$17,L$22+1)</f>
        <v>0</v>
      </c>
      <c r="M257" s="127" t="n">
        <f aca="false">VLOOKUP($B257,$C$6:$Z$17,M$22+1)</f>
        <v>0</v>
      </c>
      <c r="N257" s="127" t="n">
        <f aca="false">VLOOKUP($B257,$C$6:$Z$17,N$22+1)</f>
        <v>0</v>
      </c>
      <c r="O257" s="127" t="n">
        <f aca="false">VLOOKUP($B257,$C$6:$Z$17,O$22+1)</f>
        <v>0</v>
      </c>
      <c r="P257" s="127" t="n">
        <f aca="false">VLOOKUP($B257,$C$6:$Z$17,P$22+1)</f>
        <v>1.28189922894351</v>
      </c>
      <c r="Q257" s="127" t="n">
        <f aca="false">VLOOKUP($B257,$C$6:$Z$17,Q$22+1)</f>
        <v>1.227</v>
      </c>
      <c r="R257" s="127" t="n">
        <f aca="false">VLOOKUP($B257,$C$6:$Z$17,R$22+1)</f>
        <v>0</v>
      </c>
      <c r="S257" s="127" t="n">
        <f aca="false">VLOOKUP($B257,$C$6:$Z$17,S$22+1)</f>
        <v>0</v>
      </c>
      <c r="T257" s="127" t="n">
        <f aca="false">VLOOKUP($B257,$C$6:$Z$17,T$22+1)</f>
        <v>0</v>
      </c>
      <c r="U257" s="127" t="n">
        <f aca="false">VLOOKUP($B257,$C$6:$AB$17,T$22+3)-SUM(E257:T257)</f>
        <v>0</v>
      </c>
      <c r="W257" s="128" t="n">
        <f aca="false">$D257*E257</f>
        <v>0</v>
      </c>
      <c r="X257" s="128" t="n">
        <f aca="false">$D257*F257</f>
        <v>49.8821719506792</v>
      </c>
      <c r="Y257" s="128" t="n">
        <f aca="false">$D257*G257</f>
        <v>49.7303506554978</v>
      </c>
      <c r="Z257" s="128" t="n">
        <f aca="false">$D257*H257</f>
        <v>0</v>
      </c>
      <c r="AA257" s="128" t="n">
        <f aca="false">$D257*I257</f>
        <v>0</v>
      </c>
      <c r="AB257" s="128" t="n">
        <f aca="false">$D257*J257</f>
        <v>0</v>
      </c>
      <c r="AC257" s="128" t="n">
        <f aca="false">$D257*K257</f>
        <v>0</v>
      </c>
      <c r="AD257" s="128" t="n">
        <f aca="false">$D257*L257</f>
        <v>0</v>
      </c>
      <c r="AE257" s="128" t="n">
        <f aca="false">$D257*M257</f>
        <v>0</v>
      </c>
      <c r="AF257" s="128" t="n">
        <f aca="false">$D257*N257</f>
        <v>0</v>
      </c>
      <c r="AG257" s="128" t="n">
        <f aca="false">$D257*O257</f>
        <v>0</v>
      </c>
      <c r="AH257" s="128" t="n">
        <f aca="false">$D257*P257</f>
        <v>53.2949584873035</v>
      </c>
      <c r="AI257" s="128" t="n">
        <f aca="false">$D257*Q257</f>
        <v>51.0125231277466</v>
      </c>
      <c r="AJ257" s="128" t="n">
        <f aca="false">$D257*R257</f>
        <v>0</v>
      </c>
      <c r="AK257" s="128" t="n">
        <f aca="false">$D257*S257</f>
        <v>0</v>
      </c>
      <c r="AL257" s="128" t="n">
        <f aca="false">$D257*T257</f>
        <v>0</v>
      </c>
      <c r="AN257" s="129" t="n">
        <f aca="false">SUM(W257:AL257)/4</f>
        <v>50.9800010553068</v>
      </c>
      <c r="AO257" s="130" t="n">
        <f aca="false">D257</f>
        <v>41.5749984741211</v>
      </c>
    </row>
    <row r="258" customFormat="false" ht="16.5" hidden="false" customHeight="false" outlineLevel="0" collapsed="false">
      <c r="B258" s="116" t="n">
        <f aca="false">MONTH(C258)</f>
        <v>3</v>
      </c>
      <c r="C258" s="125" t="n">
        <f aca="false">PJM_01212000!A242</f>
        <v>42795</v>
      </c>
      <c r="D258" s="126" t="n">
        <f aca="false">PJM_01212000!C242</f>
        <v>31.3000007629395</v>
      </c>
      <c r="E258" s="127" t="n">
        <f aca="false">VLOOKUP($B258,$C$6:$Z$17,E$22+1)</f>
        <v>0</v>
      </c>
      <c r="F258" s="127" t="n">
        <f aca="false">VLOOKUP($B258,$C$6:$Z$17,F$22+1)</f>
        <v>1.1898</v>
      </c>
      <c r="G258" s="127" t="n">
        <f aca="false">VLOOKUP($B258,$C$6:$Z$17,G$22+1)</f>
        <v>1.1862</v>
      </c>
      <c r="H258" s="127" t="n">
        <f aca="false">VLOOKUP($B258,$C$6:$Z$17,H$22+1)</f>
        <v>0</v>
      </c>
      <c r="I258" s="127" t="n">
        <f aca="false">VLOOKUP($B258,$C$6:$Z$17,I$22+1)</f>
        <v>0</v>
      </c>
      <c r="J258" s="127" t="n">
        <f aca="false">VLOOKUP($B258,$C$6:$Z$17,J$22+1)</f>
        <v>0</v>
      </c>
      <c r="K258" s="127" t="n">
        <f aca="false">VLOOKUP($B258,$C$6:$Z$17,K$22+1)</f>
        <v>0</v>
      </c>
      <c r="L258" s="127" t="n">
        <f aca="false">VLOOKUP($B258,$C$6:$Z$17,L$22+1)</f>
        <v>0</v>
      </c>
      <c r="M258" s="127" t="n">
        <f aca="false">VLOOKUP($B258,$C$6:$Z$17,M$22+1)</f>
        <v>0</v>
      </c>
      <c r="N258" s="127" t="n">
        <f aca="false">VLOOKUP($B258,$C$6:$Z$17,N$22+1)</f>
        <v>0</v>
      </c>
      <c r="O258" s="127" t="n">
        <f aca="false">VLOOKUP($B258,$C$6:$Z$17,O$22+1)</f>
        <v>0</v>
      </c>
      <c r="P258" s="127" t="n">
        <f aca="false">VLOOKUP($B258,$C$6:$Z$17,P$22+1)</f>
        <v>1.2719</v>
      </c>
      <c r="Q258" s="127" t="n">
        <f aca="false">VLOOKUP($B258,$C$6:$Z$17,Q$22+1)</f>
        <v>1.217</v>
      </c>
      <c r="R258" s="127" t="n">
        <f aca="false">VLOOKUP($B258,$C$6:$Z$17,R$22+1)</f>
        <v>0</v>
      </c>
      <c r="S258" s="127" t="n">
        <f aca="false">VLOOKUP($B258,$C$6:$Z$17,S$22+1)</f>
        <v>0</v>
      </c>
      <c r="T258" s="127" t="n">
        <f aca="false">VLOOKUP($B258,$C$6:$Z$17,T$22+1)</f>
        <v>0</v>
      </c>
      <c r="U258" s="127" t="n">
        <f aca="false">VLOOKUP($B258,$C$6:$AB$17,T$22+3)-SUM(E258:T258)</f>
        <v>0</v>
      </c>
      <c r="W258" s="128" t="n">
        <f aca="false">$D258*E258</f>
        <v>0</v>
      </c>
      <c r="X258" s="128" t="n">
        <f aca="false">$D258*F258</f>
        <v>37.2407409077454</v>
      </c>
      <c r="Y258" s="128" t="n">
        <f aca="false">$D258*G258</f>
        <v>37.1280609049988</v>
      </c>
      <c r="Z258" s="128" t="n">
        <f aca="false">$D258*H258</f>
        <v>0</v>
      </c>
      <c r="AA258" s="128" t="n">
        <f aca="false">$D258*I258</f>
        <v>0</v>
      </c>
      <c r="AB258" s="128" t="n">
        <f aca="false">$D258*J258</f>
        <v>0</v>
      </c>
      <c r="AC258" s="128" t="n">
        <f aca="false">$D258*K258</f>
        <v>0</v>
      </c>
      <c r="AD258" s="128" t="n">
        <f aca="false">$D258*L258</f>
        <v>0</v>
      </c>
      <c r="AE258" s="128" t="n">
        <f aca="false">$D258*M258</f>
        <v>0</v>
      </c>
      <c r="AF258" s="128" t="n">
        <f aca="false">$D258*N258</f>
        <v>0</v>
      </c>
      <c r="AG258" s="128" t="n">
        <f aca="false">$D258*O258</f>
        <v>0</v>
      </c>
      <c r="AH258" s="128" t="n">
        <f aca="false">$D258*P258</f>
        <v>39.8104709703827</v>
      </c>
      <c r="AI258" s="128" t="n">
        <f aca="false">$D258*Q258</f>
        <v>38.0921009284973</v>
      </c>
      <c r="AJ258" s="128" t="n">
        <f aca="false">$D258*R258</f>
        <v>0</v>
      </c>
      <c r="AK258" s="128" t="n">
        <f aca="false">$D258*S258</f>
        <v>0</v>
      </c>
      <c r="AL258" s="128" t="n">
        <f aca="false">$D258*T258</f>
        <v>0</v>
      </c>
      <c r="AN258" s="129" t="n">
        <f aca="false">SUM(W258:AL258)/4</f>
        <v>38.067843427906</v>
      </c>
      <c r="AO258" s="130" t="n">
        <f aca="false">D258</f>
        <v>31.3000007629395</v>
      </c>
    </row>
    <row r="259" customFormat="false" ht="16.5" hidden="false" customHeight="false" outlineLevel="0" collapsed="false">
      <c r="B259" s="116" t="n">
        <f aca="false">MONTH(C259)</f>
        <v>4</v>
      </c>
      <c r="C259" s="125" t="n">
        <f aca="false">PJM_01212000!A243</f>
        <v>42826</v>
      </c>
      <c r="D259" s="126" t="n">
        <f aca="false">PJM_01212000!C243</f>
        <v>31.0750007629395</v>
      </c>
      <c r="E259" s="127" t="n">
        <f aca="false">VLOOKUP($B259,$C$6:$Z$17,E$22+1)</f>
        <v>1.1232726508202</v>
      </c>
      <c r="F259" s="127" t="n">
        <f aca="false">VLOOKUP($B259,$C$6:$Z$17,F$22+1)</f>
        <v>1.14131544612562</v>
      </c>
      <c r="G259" s="127" t="n">
        <f aca="false">VLOOKUP($B259,$C$6:$Z$17,G$22+1)</f>
        <v>0</v>
      </c>
      <c r="H259" s="127" t="n">
        <f aca="false">VLOOKUP($B259,$C$6:$Z$17,H$22+1)</f>
        <v>0</v>
      </c>
      <c r="I259" s="127" t="n">
        <f aca="false">VLOOKUP($B259,$C$6:$Z$17,I$22+1)</f>
        <v>1.11852454679246</v>
      </c>
      <c r="J259" s="127" t="n">
        <f aca="false">VLOOKUP($B259,$C$6:$Z$17,J$22+1)</f>
        <v>0</v>
      </c>
      <c r="K259" s="127" t="n">
        <f aca="false">VLOOKUP($B259,$C$6:$Z$17,K$22+1)</f>
        <v>0</v>
      </c>
      <c r="L259" s="127" t="n">
        <f aca="false">VLOOKUP($B259,$C$6:$Z$17,L$22+1)</f>
        <v>0</v>
      </c>
      <c r="M259" s="127" t="n">
        <f aca="false">VLOOKUP($B259,$C$6:$Z$17,M$22+1)</f>
        <v>0</v>
      </c>
      <c r="N259" s="127" t="n">
        <f aca="false">VLOOKUP($B259,$C$6:$Z$17,N$22+1)</f>
        <v>0</v>
      </c>
      <c r="O259" s="127" t="n">
        <f aca="false">VLOOKUP($B259,$C$6:$Z$17,O$22+1)</f>
        <v>0</v>
      </c>
      <c r="P259" s="127" t="n">
        <f aca="false">VLOOKUP($B259,$C$6:$Z$17,P$22+1)</f>
        <v>0</v>
      </c>
      <c r="Q259" s="127" t="n">
        <f aca="false">VLOOKUP($B259,$C$6:$Z$17,Q$22+1)</f>
        <v>0</v>
      </c>
      <c r="R259" s="127" t="n">
        <f aca="false">VLOOKUP($B259,$C$6:$Z$17,R$22+1)</f>
        <v>1.15433651784915</v>
      </c>
      <c r="S259" s="127" t="n">
        <f aca="false">VLOOKUP($B259,$C$6:$Z$17,S$22+1)</f>
        <v>0</v>
      </c>
      <c r="T259" s="127" t="n">
        <f aca="false">VLOOKUP($B259,$C$6:$Z$17,T$22+1)</f>
        <v>0</v>
      </c>
      <c r="U259" s="127" t="n">
        <f aca="false">VLOOKUP($B259,$C$6:$AB$17,T$22+3)-SUM(E259:T259)</f>
        <v>0</v>
      </c>
      <c r="W259" s="128" t="n">
        <f aca="false">$D259*E259</f>
        <v>34.9056984812269</v>
      </c>
      <c r="X259" s="128" t="n">
        <f aca="false">$D259*F259</f>
        <v>35.4663783591081</v>
      </c>
      <c r="Y259" s="128" t="n">
        <f aca="false">$D259*G259</f>
        <v>0</v>
      </c>
      <c r="Z259" s="128" t="n">
        <f aca="false">$D259*H259</f>
        <v>0</v>
      </c>
      <c r="AA259" s="128" t="n">
        <f aca="false">$D259*I259</f>
        <v>34.7581511449423</v>
      </c>
      <c r="AB259" s="128" t="n">
        <f aca="false">$D259*J259</f>
        <v>0</v>
      </c>
      <c r="AC259" s="128" t="n">
        <f aca="false">$D259*K259</f>
        <v>0</v>
      </c>
      <c r="AD259" s="128" t="n">
        <f aca="false">$D259*L259</f>
        <v>0</v>
      </c>
      <c r="AE259" s="128" t="n">
        <f aca="false">$D259*M259</f>
        <v>0</v>
      </c>
      <c r="AF259" s="128" t="n">
        <f aca="false">$D259*N259</f>
        <v>0</v>
      </c>
      <c r="AG259" s="128" t="n">
        <f aca="false">$D259*O259</f>
        <v>0</v>
      </c>
      <c r="AH259" s="128" t="n">
        <f aca="false">$D259*P259</f>
        <v>0</v>
      </c>
      <c r="AI259" s="128" t="n">
        <f aca="false">$D259*Q259</f>
        <v>0</v>
      </c>
      <c r="AJ259" s="128" t="n">
        <f aca="false">$D259*R259</f>
        <v>35.8710081728512</v>
      </c>
      <c r="AK259" s="128" t="n">
        <f aca="false">$D259*S259</f>
        <v>0</v>
      </c>
      <c r="AL259" s="128" t="n">
        <f aca="false">$D259*T259</f>
        <v>0</v>
      </c>
      <c r="AN259" s="129" t="n">
        <f aca="false">SUM(W259:AL259)/4</f>
        <v>35.2503090395321</v>
      </c>
      <c r="AO259" s="130" t="n">
        <f aca="false">D259</f>
        <v>31.0750007629395</v>
      </c>
    </row>
    <row r="260" customFormat="false" ht="16.5" hidden="false" customHeight="false" outlineLevel="0" collapsed="false">
      <c r="B260" s="116" t="n">
        <f aca="false">MONTH(C260)</f>
        <v>5</v>
      </c>
      <c r="C260" s="125" t="n">
        <f aca="false">PJM_01212000!A244</f>
        <v>42856</v>
      </c>
      <c r="D260" s="126" t="n">
        <f aca="false">PJM_01212000!C244</f>
        <v>39.075</v>
      </c>
      <c r="E260" s="127" t="n">
        <f aca="false">VLOOKUP($B260,$C$6:$Z$17,E$22+1)</f>
        <v>0</v>
      </c>
      <c r="F260" s="127" t="n">
        <f aca="false">VLOOKUP($B260,$C$6:$Z$17,F$22+1)</f>
        <v>0</v>
      </c>
      <c r="G260" s="127" t="n">
        <f aca="false">VLOOKUP($B260,$C$6:$Z$17,G$22+1)</f>
        <v>1.06102662180267</v>
      </c>
      <c r="H260" s="127" t="n">
        <f aca="false">VLOOKUP($B260,$C$6:$Z$17,H$22+1)</f>
        <v>1.12549986193072</v>
      </c>
      <c r="I260" s="127" t="n">
        <f aca="false">VLOOKUP($B260,$C$6:$Z$17,I$22+1)</f>
        <v>1.11699070333514</v>
      </c>
      <c r="J260" s="127" t="n">
        <f aca="false">VLOOKUP($B260,$C$6:$Z$17,J$22+1)</f>
        <v>0</v>
      </c>
      <c r="K260" s="127" t="n">
        <f aca="false">VLOOKUP($B260,$C$6:$Z$17,K$22+1)</f>
        <v>0</v>
      </c>
      <c r="L260" s="127" t="n">
        <f aca="false">VLOOKUP($B260,$C$6:$Z$17,L$22+1)</f>
        <v>0</v>
      </c>
      <c r="M260" s="127" t="n">
        <f aca="false">VLOOKUP($B260,$C$6:$Z$17,M$22+1)</f>
        <v>0</v>
      </c>
      <c r="N260" s="127" t="n">
        <f aca="false">VLOOKUP($B260,$C$6:$Z$17,N$22+1)</f>
        <v>0</v>
      </c>
      <c r="O260" s="127" t="n">
        <f aca="false">VLOOKUP($B260,$C$6:$Z$17,O$22+1)</f>
        <v>0</v>
      </c>
      <c r="P260" s="127" t="n">
        <f aca="false">VLOOKUP($B260,$C$6:$Z$17,P$22+1)</f>
        <v>0</v>
      </c>
      <c r="Q260" s="127" t="n">
        <f aca="false">VLOOKUP($B260,$C$6:$Z$17,Q$22+1)</f>
        <v>0</v>
      </c>
      <c r="R260" s="127" t="n">
        <f aca="false">VLOOKUP($B260,$C$6:$Z$17,R$22+1)</f>
        <v>1.08769956124651</v>
      </c>
      <c r="S260" s="127" t="n">
        <f aca="false">VLOOKUP($B260,$C$6:$Z$17,S$22+1)</f>
        <v>0</v>
      </c>
      <c r="T260" s="127" t="n">
        <f aca="false">VLOOKUP($B260,$C$6:$Z$17,T$22+1)</f>
        <v>0</v>
      </c>
      <c r="U260" s="127" t="n">
        <f aca="false">VLOOKUP($B260,$C$6:$AB$17,T$22+3)-SUM(E260:T260)</f>
        <v>0</v>
      </c>
      <c r="W260" s="128" t="n">
        <f aca="false">$D260*E260</f>
        <v>0</v>
      </c>
      <c r="X260" s="128" t="n">
        <f aca="false">$D260*F260</f>
        <v>0</v>
      </c>
      <c r="Y260" s="128" t="n">
        <f aca="false">$D260*G260</f>
        <v>41.4596152469395</v>
      </c>
      <c r="Z260" s="128" t="n">
        <f aca="false">$D260*H260</f>
        <v>43.9789071049429</v>
      </c>
      <c r="AA260" s="128" t="n">
        <f aca="false">$D260*I260</f>
        <v>43.6464117328206</v>
      </c>
      <c r="AB260" s="128" t="n">
        <f aca="false">$D260*J260</f>
        <v>0</v>
      </c>
      <c r="AC260" s="128" t="n">
        <f aca="false">$D260*K260</f>
        <v>0</v>
      </c>
      <c r="AD260" s="128" t="n">
        <f aca="false">$D260*L260</f>
        <v>0</v>
      </c>
      <c r="AE260" s="128" t="n">
        <f aca="false">$D260*M260</f>
        <v>0</v>
      </c>
      <c r="AF260" s="128" t="n">
        <f aca="false">$D260*N260</f>
        <v>0</v>
      </c>
      <c r="AG260" s="128" t="n">
        <f aca="false">$D260*O260</f>
        <v>0</v>
      </c>
      <c r="AH260" s="128" t="n">
        <f aca="false">$D260*P260</f>
        <v>0</v>
      </c>
      <c r="AI260" s="128" t="n">
        <f aca="false">$D260*Q260</f>
        <v>0</v>
      </c>
      <c r="AJ260" s="128" t="n">
        <f aca="false">$D260*R260</f>
        <v>42.5018603557074</v>
      </c>
      <c r="AK260" s="128" t="n">
        <f aca="false">$D260*S260</f>
        <v>0</v>
      </c>
      <c r="AL260" s="128" t="n">
        <f aca="false">$D260*T260</f>
        <v>0</v>
      </c>
      <c r="AN260" s="129" t="n">
        <f aca="false">SUM(W260:AL260)/4</f>
        <v>42.8966986101026</v>
      </c>
      <c r="AO260" s="130" t="n">
        <f aca="false">D260</f>
        <v>39.075</v>
      </c>
    </row>
    <row r="261" customFormat="false" ht="16.5" hidden="false" customHeight="false" outlineLevel="0" collapsed="false">
      <c r="B261" s="116" t="n">
        <f aca="false">MONTH(C261)</f>
        <v>6</v>
      </c>
      <c r="C261" s="125" t="n">
        <f aca="false">PJM_01212000!A245</f>
        <v>42887</v>
      </c>
      <c r="D261" s="126" t="n">
        <f aca="false">PJM_01212000!C245</f>
        <v>67.5999984741211</v>
      </c>
      <c r="E261" s="127" t="n">
        <f aca="false">VLOOKUP($B261,$C$6:$Z$17,E$22+1)</f>
        <v>0</v>
      </c>
      <c r="F261" s="127" t="n">
        <f aca="false">VLOOKUP($B261,$C$6:$Z$17,F$22+1)</f>
        <v>0</v>
      </c>
      <c r="G261" s="127" t="n">
        <f aca="false">VLOOKUP($B261,$C$6:$Z$17,G$22+1)</f>
        <v>0</v>
      </c>
      <c r="H261" s="127" t="n">
        <f aca="false">VLOOKUP($B261,$C$6:$Z$17,H$22+1)</f>
        <v>0</v>
      </c>
      <c r="I261" s="127" t="n">
        <f aca="false">VLOOKUP($B261,$C$6:$Z$17,I$22+1)</f>
        <v>0</v>
      </c>
      <c r="J261" s="127" t="n">
        <f aca="false">VLOOKUP($B261,$C$6:$Z$17,J$22+1)</f>
        <v>0</v>
      </c>
      <c r="K261" s="127" t="n">
        <f aca="false">VLOOKUP($B261,$C$6:$Z$17,K$22+1)</f>
        <v>1.22092018621818</v>
      </c>
      <c r="L261" s="127" t="n">
        <f aca="false">VLOOKUP($B261,$C$6:$Z$17,L$22+1)</f>
        <v>1.23031497714214</v>
      </c>
      <c r="M261" s="127" t="n">
        <f aca="false">VLOOKUP($B261,$C$6:$Z$17,M$22+1)</f>
        <v>1.23232814662584</v>
      </c>
      <c r="N261" s="127" t="n">
        <f aca="false">VLOOKUP($B261,$C$6:$Z$17,N$22+1)</f>
        <v>1.25232563016399</v>
      </c>
      <c r="O261" s="127" t="n">
        <f aca="false">VLOOKUP($B261,$C$6:$Z$17,O$22+1)</f>
        <v>0</v>
      </c>
      <c r="P261" s="127" t="n">
        <f aca="false">VLOOKUP($B261,$C$6:$Z$17,P$22+1)</f>
        <v>0</v>
      </c>
      <c r="Q261" s="127" t="n">
        <f aca="false">VLOOKUP($B261,$C$6:$Z$17,Q$22+1)</f>
        <v>0</v>
      </c>
      <c r="R261" s="127" t="n">
        <f aca="false">VLOOKUP($B261,$C$6:$Z$17,R$22+1)</f>
        <v>0</v>
      </c>
      <c r="S261" s="127" t="n">
        <f aca="false">VLOOKUP($B261,$C$6:$Z$17,S$22+1)</f>
        <v>0</v>
      </c>
      <c r="T261" s="127" t="n">
        <f aca="false">VLOOKUP($B261,$C$6:$Z$17,T$22+1)</f>
        <v>0</v>
      </c>
      <c r="U261" s="127" t="n">
        <f aca="false">VLOOKUP($B261,$C$6:$AB$17,T$22+3)-SUM(E261:T261)</f>
        <v>0</v>
      </c>
      <c r="W261" s="128" t="n">
        <f aca="false">$D261*E261</f>
        <v>0</v>
      </c>
      <c r="X261" s="128" t="n">
        <f aca="false">$D261*F261</f>
        <v>0</v>
      </c>
      <c r="Y261" s="128" t="n">
        <f aca="false">$D261*G261</f>
        <v>0</v>
      </c>
      <c r="Z261" s="128" t="n">
        <f aca="false">$D261*H261</f>
        <v>0</v>
      </c>
      <c r="AA261" s="128" t="n">
        <f aca="false">$D261*I261</f>
        <v>0</v>
      </c>
      <c r="AB261" s="128" t="n">
        <f aca="false">$D261*J261</f>
        <v>0</v>
      </c>
      <c r="AC261" s="128" t="n">
        <f aca="false">$D261*K261</f>
        <v>82.5342027253724</v>
      </c>
      <c r="AD261" s="128" t="n">
        <f aca="false">$D261*L261</f>
        <v>83.1692905774969</v>
      </c>
      <c r="AE261" s="128" t="n">
        <f aca="false">$D261*M261</f>
        <v>83.3053808315235</v>
      </c>
      <c r="AF261" s="128" t="n">
        <f aca="false">$D261*N261</f>
        <v>84.6572106881884</v>
      </c>
      <c r="AG261" s="128" t="n">
        <f aca="false">$D261*O261</f>
        <v>0</v>
      </c>
      <c r="AH261" s="128" t="n">
        <f aca="false">$D261*P261</f>
        <v>0</v>
      </c>
      <c r="AI261" s="128" t="n">
        <f aca="false">$D261*Q261</f>
        <v>0</v>
      </c>
      <c r="AJ261" s="128" t="n">
        <f aca="false">$D261*R261</f>
        <v>0</v>
      </c>
      <c r="AK261" s="128" t="n">
        <f aca="false">$D261*S261</f>
        <v>0</v>
      </c>
      <c r="AL261" s="128" t="n">
        <f aca="false">$D261*T261</f>
        <v>0</v>
      </c>
      <c r="AN261" s="129" t="n">
        <f aca="false">SUM(W261:AL261)/4</f>
        <v>83.4165212056453</v>
      </c>
      <c r="AO261" s="130" t="n">
        <f aca="false">D261</f>
        <v>67.5999984741211</v>
      </c>
    </row>
    <row r="262" customFormat="false" ht="16.5" hidden="false" customHeight="false" outlineLevel="0" collapsed="false">
      <c r="B262" s="116" t="n">
        <f aca="false">MONTH(C262)</f>
        <v>7</v>
      </c>
      <c r="C262" s="125" t="n">
        <f aca="false">PJM_01212000!A246</f>
        <v>42917</v>
      </c>
      <c r="D262" s="126" t="n">
        <f aca="false">PJM_01212000!C246</f>
        <v>122.699996948242</v>
      </c>
      <c r="E262" s="127" t="n">
        <f aca="false">VLOOKUP($B262,$C$6:$Z$17,E$22+1)</f>
        <v>0</v>
      </c>
      <c r="F262" s="127" t="n">
        <f aca="false">VLOOKUP($B262,$C$6:$Z$17,F$22+1)</f>
        <v>0</v>
      </c>
      <c r="G262" s="127" t="n">
        <f aca="false">VLOOKUP($B262,$C$6:$Z$17,G$22+1)</f>
        <v>0</v>
      </c>
      <c r="H262" s="127" t="n">
        <f aca="false">VLOOKUP($B262,$C$6:$Z$17,H$22+1)</f>
        <v>0</v>
      </c>
      <c r="I262" s="127" t="n">
        <f aca="false">VLOOKUP($B262,$C$6:$Z$17,I$22+1)</f>
        <v>0</v>
      </c>
      <c r="J262" s="127" t="n">
        <f aca="false">VLOOKUP($B262,$C$6:$Z$17,J$22+1)</f>
        <v>0</v>
      </c>
      <c r="K262" s="127" t="n">
        <f aca="false">VLOOKUP($B262,$C$6:$Z$17,K$22+1)</f>
        <v>0</v>
      </c>
      <c r="L262" s="127" t="n">
        <f aca="false">VLOOKUP($B262,$C$6:$Z$17,L$22+1)</f>
        <v>1.2506946851613</v>
      </c>
      <c r="M262" s="127" t="n">
        <f aca="false">VLOOKUP($B262,$C$6:$Z$17,M$22+1)</f>
        <v>1.32734019400042</v>
      </c>
      <c r="N262" s="127" t="n">
        <f aca="false">VLOOKUP($B262,$C$6:$Z$17,N$22+1)</f>
        <v>1.35388881627921</v>
      </c>
      <c r="O262" s="127" t="n">
        <f aca="false">VLOOKUP($B262,$C$6:$Z$17,O$22+1)</f>
        <v>1.32033935867348</v>
      </c>
      <c r="P262" s="127" t="n">
        <f aca="false">VLOOKUP($B262,$C$6:$Z$17,P$22+1)</f>
        <v>0</v>
      </c>
      <c r="Q262" s="127" t="n">
        <f aca="false">VLOOKUP($B262,$C$6:$Z$17,Q$22+1)</f>
        <v>0</v>
      </c>
      <c r="R262" s="127" t="n">
        <f aca="false">VLOOKUP($B262,$C$6:$Z$17,R$22+1)</f>
        <v>0</v>
      </c>
      <c r="S262" s="127" t="n">
        <f aca="false">VLOOKUP($B262,$C$6:$Z$17,S$22+1)</f>
        <v>0</v>
      </c>
      <c r="T262" s="127" t="n">
        <f aca="false">VLOOKUP($B262,$C$6:$Z$17,T$22+1)</f>
        <v>0</v>
      </c>
      <c r="U262" s="127" t="n">
        <f aca="false">VLOOKUP($B262,$C$6:$AB$17,T$22+3)-SUM(E262:T262)</f>
        <v>0</v>
      </c>
      <c r="W262" s="128" t="n">
        <f aca="false">$D262*E262</f>
        <v>0</v>
      </c>
      <c r="X262" s="128" t="n">
        <f aca="false">$D262*F262</f>
        <v>0</v>
      </c>
      <c r="Y262" s="128" t="n">
        <f aca="false">$D262*G262</f>
        <v>0</v>
      </c>
      <c r="Z262" s="128" t="n">
        <f aca="false">$D262*H262</f>
        <v>0</v>
      </c>
      <c r="AA262" s="128" t="n">
        <f aca="false">$D262*I262</f>
        <v>0</v>
      </c>
      <c r="AB262" s="128" t="n">
        <f aca="false">$D262*J262</f>
        <v>0</v>
      </c>
      <c r="AC262" s="128" t="n">
        <f aca="false">$D262*K262</f>
        <v>0</v>
      </c>
      <c r="AD262" s="128" t="n">
        <f aca="false">$D262*L262</f>
        <v>153.460234052474</v>
      </c>
      <c r="AE262" s="128" t="n">
        <f aca="false">$D262*M262</f>
        <v>162.864637753131</v>
      </c>
      <c r="AF262" s="128" t="n">
        <f aca="false">$D262*N262</f>
        <v>166.122153625719</v>
      </c>
      <c r="AG262" s="128" t="n">
        <f aca="false">$D262*O262</f>
        <v>162.00563527988</v>
      </c>
      <c r="AH262" s="128" t="n">
        <f aca="false">$D262*P262</f>
        <v>0</v>
      </c>
      <c r="AI262" s="128" t="n">
        <f aca="false">$D262*Q262</f>
        <v>0</v>
      </c>
      <c r="AJ262" s="128" t="n">
        <f aca="false">$D262*R262</f>
        <v>0</v>
      </c>
      <c r="AK262" s="128" t="n">
        <f aca="false">$D262*S262</f>
        <v>0</v>
      </c>
      <c r="AL262" s="128" t="n">
        <f aca="false">$D262*T262</f>
        <v>0</v>
      </c>
      <c r="AN262" s="129" t="n">
        <f aca="false">SUM(W262:AL262)/4</f>
        <v>161.113165177801</v>
      </c>
      <c r="AO262" s="130" t="n">
        <f aca="false">D262</f>
        <v>122.699996948242</v>
      </c>
    </row>
    <row r="263" customFormat="false" ht="16.5" hidden="false" customHeight="false" outlineLevel="0" collapsed="false">
      <c r="B263" s="116" t="n">
        <f aca="false">MONTH(C263)</f>
        <v>8</v>
      </c>
      <c r="C263" s="125" t="n">
        <f aca="false">PJM_01212000!A247</f>
        <v>42948</v>
      </c>
      <c r="D263" s="126" t="n">
        <f aca="false">PJM_01212000!C247</f>
        <v>109.699996948242</v>
      </c>
      <c r="E263" s="127" t="n">
        <f aca="false">VLOOKUP($B263,$C$6:$Z$17,E$22+1)</f>
        <v>0</v>
      </c>
      <c r="F263" s="127" t="n">
        <f aca="false">VLOOKUP($B263,$C$6:$Z$17,F$22+1)</f>
        <v>0</v>
      </c>
      <c r="G263" s="127" t="n">
        <f aca="false">VLOOKUP($B263,$C$6:$Z$17,G$22+1)</f>
        <v>0</v>
      </c>
      <c r="H263" s="127" t="n">
        <f aca="false">VLOOKUP($B263,$C$6:$Z$17,H$22+1)</f>
        <v>0</v>
      </c>
      <c r="I263" s="127" t="n">
        <f aca="false">VLOOKUP($B263,$C$6:$Z$17,I$22+1)</f>
        <v>0</v>
      </c>
      <c r="J263" s="127" t="n">
        <f aca="false">VLOOKUP($B263,$C$6:$Z$17,J$22+1)</f>
        <v>0</v>
      </c>
      <c r="K263" s="127" t="n">
        <f aca="false">VLOOKUP($B263,$C$6:$Z$17,K$22+1)</f>
        <v>1.19072909190695</v>
      </c>
      <c r="L263" s="127" t="n">
        <f aca="false">VLOOKUP($B263,$C$6:$Z$17,L$22+1)</f>
        <v>1.26057331025457</v>
      </c>
      <c r="M263" s="127" t="n">
        <f aca="false">VLOOKUP($B263,$C$6:$Z$17,M$22+1)</f>
        <v>1.24301093426774</v>
      </c>
      <c r="N263" s="127" t="n">
        <f aca="false">VLOOKUP($B263,$C$6:$Z$17,N$22+1)</f>
        <v>1.21504622788872</v>
      </c>
      <c r="O263" s="127" t="n">
        <f aca="false">VLOOKUP($B263,$C$6:$Z$17,O$22+1)</f>
        <v>0</v>
      </c>
      <c r="P263" s="127" t="n">
        <f aca="false">VLOOKUP($B263,$C$6:$Z$17,P$22+1)</f>
        <v>0</v>
      </c>
      <c r="Q263" s="127" t="n">
        <f aca="false">VLOOKUP($B263,$C$6:$Z$17,Q$22+1)</f>
        <v>0</v>
      </c>
      <c r="R263" s="127" t="n">
        <f aca="false">VLOOKUP($B263,$C$6:$Z$17,R$22+1)</f>
        <v>0</v>
      </c>
      <c r="S263" s="127" t="n">
        <f aca="false">VLOOKUP($B263,$C$6:$Z$17,S$22+1)</f>
        <v>0</v>
      </c>
      <c r="T263" s="127" t="n">
        <f aca="false">VLOOKUP($B263,$C$6:$Z$17,T$22+1)</f>
        <v>0</v>
      </c>
      <c r="U263" s="127" t="n">
        <f aca="false">VLOOKUP($B263,$C$6:$AB$17,T$22+3)-SUM(E263:T263)</f>
        <v>0</v>
      </c>
      <c r="W263" s="128" t="n">
        <f aca="false">$D263*E263</f>
        <v>0</v>
      </c>
      <c r="X263" s="128" t="n">
        <f aca="false">$D263*F263</f>
        <v>0</v>
      </c>
      <c r="Y263" s="128" t="n">
        <f aca="false">$D263*G263</f>
        <v>0</v>
      </c>
      <c r="Z263" s="128" t="n">
        <f aca="false">$D263*H263</f>
        <v>0</v>
      </c>
      <c r="AA263" s="128" t="n">
        <f aca="false">$D263*I263</f>
        <v>0</v>
      </c>
      <c r="AB263" s="128" t="n">
        <f aca="false">$D263*J263</f>
        <v>0</v>
      </c>
      <c r="AC263" s="128" t="n">
        <f aca="false">$D263*K263</f>
        <v>130.622977748376</v>
      </c>
      <c r="AD263" s="128" t="n">
        <f aca="false">$D263*L263</f>
        <v>138.284888287962</v>
      </c>
      <c r="AE263" s="128" t="n">
        <f aca="false">$D263*M263</f>
        <v>136.358295695803</v>
      </c>
      <c r="AF263" s="128" t="n">
        <f aca="false">$D263*N263</f>
        <v>133.290567491365</v>
      </c>
      <c r="AG263" s="128" t="n">
        <f aca="false">$D263*O263</f>
        <v>0</v>
      </c>
      <c r="AH263" s="128" t="n">
        <f aca="false">$D263*P263</f>
        <v>0</v>
      </c>
      <c r="AI263" s="128" t="n">
        <f aca="false">$D263*Q263</f>
        <v>0</v>
      </c>
      <c r="AJ263" s="128" t="n">
        <f aca="false">$D263*R263</f>
        <v>0</v>
      </c>
      <c r="AK263" s="128" t="n">
        <f aca="false">$D263*S263</f>
        <v>0</v>
      </c>
      <c r="AL263" s="128" t="n">
        <f aca="false">$D263*T263</f>
        <v>0</v>
      </c>
      <c r="AN263" s="129" t="n">
        <f aca="false">SUM(W263:AL263)/4</f>
        <v>134.639182305877</v>
      </c>
      <c r="AO263" s="130" t="n">
        <f aca="false">D263</f>
        <v>109.699996948242</v>
      </c>
    </row>
    <row r="264" customFormat="false" ht="16.5" hidden="false" customHeight="false" outlineLevel="0" collapsed="false">
      <c r="B264" s="116" t="n">
        <f aca="false">MONTH(C264)</f>
        <v>9</v>
      </c>
      <c r="C264" s="125" t="n">
        <f aca="false">PJM_01212000!A248</f>
        <v>42979</v>
      </c>
      <c r="D264" s="126" t="n">
        <f aca="false">PJM_01212000!C248</f>
        <v>39.9249984741211</v>
      </c>
      <c r="E264" s="127" t="n">
        <f aca="false">VLOOKUP($B264,$C$6:$Z$17,E$22+1)</f>
        <v>0</v>
      </c>
      <c r="F264" s="127" t="n">
        <f aca="false">VLOOKUP($B264,$C$6:$Z$17,F$22+1)</f>
        <v>0</v>
      </c>
      <c r="G264" s="127" t="n">
        <f aca="false">VLOOKUP($B264,$C$6:$Z$17,G$22+1)</f>
        <v>0</v>
      </c>
      <c r="H264" s="127" t="n">
        <f aca="false">VLOOKUP($B264,$C$6:$Z$17,H$22+1)</f>
        <v>0</v>
      </c>
      <c r="I264" s="127" t="n">
        <f aca="false">VLOOKUP($B264,$C$6:$Z$17,I$22+1)</f>
        <v>0</v>
      </c>
      <c r="J264" s="127" t="n">
        <f aca="false">VLOOKUP($B264,$C$6:$Z$17,J$22+1)</f>
        <v>0</v>
      </c>
      <c r="K264" s="127" t="n">
        <f aca="false">VLOOKUP($B264,$C$6:$Z$17,K$22+1)</f>
        <v>0</v>
      </c>
      <c r="L264" s="127" t="n">
        <f aca="false">VLOOKUP($B264,$C$6:$Z$17,L$22+1)</f>
        <v>0</v>
      </c>
      <c r="M264" s="127" t="n">
        <f aca="false">VLOOKUP($B264,$C$6:$Z$17,M$22+1)</f>
        <v>0</v>
      </c>
      <c r="N264" s="127" t="n">
        <f aca="false">VLOOKUP($B264,$C$6:$Z$17,N$22+1)</f>
        <v>1.13452840898687</v>
      </c>
      <c r="O264" s="127" t="n">
        <f aca="false">VLOOKUP($B264,$C$6:$Z$17,O$22+1)</f>
        <v>1.1066962078626</v>
      </c>
      <c r="P264" s="127" t="n">
        <f aca="false">VLOOKUP($B264,$C$6:$Z$17,P$22+1)</f>
        <v>0</v>
      </c>
      <c r="Q264" s="127" t="n">
        <f aca="false">VLOOKUP($B264,$C$6:$Z$17,Q$22+1)</f>
        <v>1.18462637101057</v>
      </c>
      <c r="R264" s="127" t="n">
        <f aca="false">VLOOKUP($B264,$C$6:$Z$17,R$22+1)</f>
        <v>1.1944408840386</v>
      </c>
      <c r="S264" s="127" t="n">
        <f aca="false">VLOOKUP($B264,$C$6:$Z$17,S$22+1)</f>
        <v>0</v>
      </c>
      <c r="T264" s="127" t="n">
        <f aca="false">VLOOKUP($B264,$C$6:$Z$17,T$22+1)</f>
        <v>0</v>
      </c>
      <c r="U264" s="127" t="n">
        <f aca="false">VLOOKUP($B264,$C$6:$AB$17,T$22+3)-SUM(E264:T264)</f>
        <v>0</v>
      </c>
      <c r="W264" s="128" t="n">
        <f aca="false">$D264*E264</f>
        <v>0</v>
      </c>
      <c r="X264" s="128" t="n">
        <f aca="false">$D264*F264</f>
        <v>0</v>
      </c>
      <c r="Y264" s="128" t="n">
        <f aca="false">$D264*G264</f>
        <v>0</v>
      </c>
      <c r="Z264" s="128" t="n">
        <f aca="false">$D264*H264</f>
        <v>0</v>
      </c>
      <c r="AA264" s="128" t="n">
        <f aca="false">$D264*I264</f>
        <v>0</v>
      </c>
      <c r="AB264" s="128" t="n">
        <f aca="false">$D264*J264</f>
        <v>0</v>
      </c>
      <c r="AC264" s="128" t="n">
        <f aca="false">$D264*K264</f>
        <v>0</v>
      </c>
      <c r="AD264" s="128" t="n">
        <f aca="false">$D264*L264</f>
        <v>0</v>
      </c>
      <c r="AE264" s="128" t="n">
        <f aca="false">$D264*M264</f>
        <v>0</v>
      </c>
      <c r="AF264" s="128" t="n">
        <f aca="false">$D264*N264</f>
        <v>45.2960449976479</v>
      </c>
      <c r="AG264" s="128" t="n">
        <f aca="false">$D264*O264</f>
        <v>44.1848444102298</v>
      </c>
      <c r="AH264" s="128" t="n">
        <f aca="false">$D264*P264</f>
        <v>0</v>
      </c>
      <c r="AI264" s="128" t="n">
        <f aca="false">$D264*Q264</f>
        <v>47.2962060550005</v>
      </c>
      <c r="AJ264" s="128" t="n">
        <f aca="false">$D264*R264</f>
        <v>47.6880504726689</v>
      </c>
      <c r="AK264" s="128" t="n">
        <f aca="false">$D264*S264</f>
        <v>0</v>
      </c>
      <c r="AL264" s="128" t="n">
        <f aca="false">$D264*T264</f>
        <v>0</v>
      </c>
      <c r="AN264" s="129" t="n">
        <f aca="false">SUM(W264:AL264)/4</f>
        <v>46.1162864838868</v>
      </c>
      <c r="AO264" s="130" t="n">
        <f aca="false">D264</f>
        <v>39.9249984741211</v>
      </c>
    </row>
    <row r="265" customFormat="false" ht="16.5" hidden="false" customHeight="false" outlineLevel="0" collapsed="false">
      <c r="B265" s="116" t="n">
        <f aca="false">MONTH(C265)</f>
        <v>10</v>
      </c>
      <c r="C265" s="125" t="n">
        <f aca="false">PJM_01212000!A249</f>
        <v>43009</v>
      </c>
      <c r="D265" s="126" t="n">
        <f aca="false">PJM_01212000!C249</f>
        <v>31.8250003814697</v>
      </c>
      <c r="E265" s="127" t="n">
        <f aca="false">VLOOKUP($B265,$C$6:$Z$17,E$22+1)</f>
        <v>0</v>
      </c>
      <c r="F265" s="127" t="n">
        <f aca="false">VLOOKUP($B265,$C$6:$Z$17,F$22+1)</f>
        <v>1.1326</v>
      </c>
      <c r="G265" s="127" t="n">
        <f aca="false">VLOOKUP($B265,$C$6:$Z$17,G$22+1)</f>
        <v>0</v>
      </c>
      <c r="H265" s="127" t="n">
        <f aca="false">VLOOKUP($B265,$C$6:$Z$17,H$22+1)</f>
        <v>0</v>
      </c>
      <c r="I265" s="127" t="n">
        <f aca="false">VLOOKUP($B265,$C$6:$Z$17,I$22+1)</f>
        <v>0</v>
      </c>
      <c r="J265" s="127" t="n">
        <f aca="false">VLOOKUP($B265,$C$6:$Z$17,J$22+1)</f>
        <v>0</v>
      </c>
      <c r="K265" s="127" t="n">
        <f aca="false">VLOOKUP($B265,$C$6:$Z$17,K$22+1)</f>
        <v>0</v>
      </c>
      <c r="L265" s="127" t="n">
        <f aca="false">VLOOKUP($B265,$C$6:$Z$17,L$22+1)</f>
        <v>0</v>
      </c>
      <c r="M265" s="127" t="n">
        <f aca="false">VLOOKUP($B265,$C$6:$Z$17,M$22+1)</f>
        <v>0</v>
      </c>
      <c r="N265" s="127" t="n">
        <f aca="false">VLOOKUP($B265,$C$6:$Z$17,N$22+1)</f>
        <v>0</v>
      </c>
      <c r="O265" s="127" t="n">
        <f aca="false">VLOOKUP($B265,$C$6:$Z$17,O$22+1)</f>
        <v>1.2001</v>
      </c>
      <c r="P265" s="127" t="n">
        <f aca="false">VLOOKUP($B265,$C$6:$Z$17,P$22+1)</f>
        <v>1.2095</v>
      </c>
      <c r="Q265" s="127" t="n">
        <f aca="false">VLOOKUP($B265,$C$6:$Z$17,Q$22+1)</f>
        <v>1.1567</v>
      </c>
      <c r="R265" s="127" t="n">
        <f aca="false">VLOOKUP($B265,$C$6:$Z$17,R$22+1)</f>
        <v>0</v>
      </c>
      <c r="S265" s="127" t="n">
        <f aca="false">VLOOKUP($B265,$C$6:$Z$17,S$22+1)</f>
        <v>0</v>
      </c>
      <c r="T265" s="127" t="n">
        <f aca="false">VLOOKUP($B265,$C$6:$Z$17,T$22+1)</f>
        <v>0</v>
      </c>
      <c r="U265" s="127" t="n">
        <f aca="false">VLOOKUP($B265,$C$6:$AB$17,T$22+3)-SUM(E265:T265)</f>
        <v>0</v>
      </c>
      <c r="W265" s="128" t="n">
        <f aca="false">$D265*E265</f>
        <v>0</v>
      </c>
      <c r="X265" s="128" t="n">
        <f aca="false">$D265*F265</f>
        <v>36.0449954320526</v>
      </c>
      <c r="Y265" s="128" t="n">
        <f aca="false">$D265*G265</f>
        <v>0</v>
      </c>
      <c r="Z265" s="128" t="n">
        <f aca="false">$D265*H265</f>
        <v>0</v>
      </c>
      <c r="AA265" s="128" t="n">
        <f aca="false">$D265*I265</f>
        <v>0</v>
      </c>
      <c r="AB265" s="128" t="n">
        <f aca="false">$D265*J265</f>
        <v>0</v>
      </c>
      <c r="AC265" s="128" t="n">
        <f aca="false">$D265*K265</f>
        <v>0</v>
      </c>
      <c r="AD265" s="128" t="n">
        <f aca="false">$D265*L265</f>
        <v>0</v>
      </c>
      <c r="AE265" s="128" t="n">
        <f aca="false">$D265*M265</f>
        <v>0</v>
      </c>
      <c r="AF265" s="128" t="n">
        <f aca="false">$D265*N265</f>
        <v>0</v>
      </c>
      <c r="AG265" s="128" t="n">
        <f aca="false">$D265*O265</f>
        <v>38.1931829578018</v>
      </c>
      <c r="AH265" s="128" t="n">
        <f aca="false">$D265*P265</f>
        <v>38.4923379613876</v>
      </c>
      <c r="AI265" s="128" t="n">
        <f aca="false">$D265*Q265</f>
        <v>36.811977941246</v>
      </c>
      <c r="AJ265" s="128" t="n">
        <f aca="false">$D265*R265</f>
        <v>0</v>
      </c>
      <c r="AK265" s="128" t="n">
        <f aca="false">$D265*S265</f>
        <v>0</v>
      </c>
      <c r="AL265" s="128" t="n">
        <f aca="false">$D265*T265</f>
        <v>0</v>
      </c>
      <c r="AN265" s="129" t="n">
        <f aca="false">SUM(W265:AL265)/4</f>
        <v>37.385623573122</v>
      </c>
      <c r="AO265" s="130" t="n">
        <f aca="false">D265</f>
        <v>31.8250003814697</v>
      </c>
    </row>
    <row r="266" customFormat="false" ht="16.5" hidden="false" customHeight="false" outlineLevel="0" collapsed="false">
      <c r="B266" s="116" t="n">
        <f aca="false">MONTH(C266)</f>
        <v>11</v>
      </c>
      <c r="C266" s="125" t="n">
        <f aca="false">PJM_01212000!A250</f>
        <v>43040</v>
      </c>
      <c r="D266" s="126" t="n">
        <f aca="false">PJM_01212000!C250</f>
        <v>31.4974990844727</v>
      </c>
      <c r="E266" s="127" t="n">
        <f aca="false">VLOOKUP($B266,$C$6:$Z$17,E$22+1)</f>
        <v>0</v>
      </c>
      <c r="F266" s="127" t="n">
        <f aca="false">VLOOKUP($B266,$C$6:$Z$17,F$22+1)</f>
        <v>1.1426</v>
      </c>
      <c r="G266" s="127" t="n">
        <f aca="false">VLOOKUP($B266,$C$6:$Z$17,G$22+1)</f>
        <v>0</v>
      </c>
      <c r="H266" s="127" t="n">
        <f aca="false">VLOOKUP($B266,$C$6:$Z$17,H$22+1)</f>
        <v>0</v>
      </c>
      <c r="I266" s="127" t="n">
        <f aca="false">VLOOKUP($B266,$C$6:$Z$17,I$22+1)</f>
        <v>0</v>
      </c>
      <c r="J266" s="127" t="n">
        <f aca="false">VLOOKUP($B266,$C$6:$Z$17,J$22+1)</f>
        <v>0</v>
      </c>
      <c r="K266" s="127" t="n">
        <f aca="false">VLOOKUP($B266,$C$6:$Z$17,K$22+1)</f>
        <v>0</v>
      </c>
      <c r="L266" s="127" t="n">
        <f aca="false">VLOOKUP($B266,$C$6:$Z$17,L$22+1)</f>
        <v>0</v>
      </c>
      <c r="M266" s="127" t="n">
        <f aca="false">VLOOKUP($B266,$C$6:$Z$17,M$22+1)</f>
        <v>0</v>
      </c>
      <c r="N266" s="127" t="n">
        <f aca="false">VLOOKUP($B266,$C$6:$Z$17,N$22+1)</f>
        <v>0</v>
      </c>
      <c r="O266" s="127" t="n">
        <f aca="false">VLOOKUP($B266,$C$6:$Z$17,O$22+1)</f>
        <v>1.2171</v>
      </c>
      <c r="P266" s="127" t="n">
        <f aca="false">VLOOKUP($B266,$C$6:$Z$17,P$22+1)</f>
        <v>1.2269</v>
      </c>
      <c r="Q266" s="127" t="n">
        <f aca="false">VLOOKUP($B266,$C$6:$Z$17,Q$22+1)</f>
        <v>1.1767</v>
      </c>
      <c r="R266" s="127" t="n">
        <f aca="false">VLOOKUP($B266,$C$6:$Z$17,R$22+1)</f>
        <v>0</v>
      </c>
      <c r="S266" s="127" t="n">
        <f aca="false">VLOOKUP($B266,$C$6:$Z$17,S$22+1)</f>
        <v>0</v>
      </c>
      <c r="T266" s="127" t="n">
        <f aca="false">VLOOKUP($B266,$C$6:$Z$17,T$22+1)</f>
        <v>0</v>
      </c>
      <c r="U266" s="127" t="n">
        <f aca="false">VLOOKUP($B266,$C$6:$AB$17,T$22+3)-SUM(E266:T266)</f>
        <v>0</v>
      </c>
      <c r="W266" s="128" t="n">
        <f aca="false">$D266*E266</f>
        <v>0</v>
      </c>
      <c r="X266" s="128" t="n">
        <f aca="false">$D266*F266</f>
        <v>35.9890424539185</v>
      </c>
      <c r="Y266" s="128" t="n">
        <f aca="false">$D266*G266</f>
        <v>0</v>
      </c>
      <c r="Z266" s="128" t="n">
        <f aca="false">$D266*H266</f>
        <v>0</v>
      </c>
      <c r="AA266" s="128" t="n">
        <f aca="false">$D266*I266</f>
        <v>0</v>
      </c>
      <c r="AB266" s="128" t="n">
        <f aca="false">$D266*J266</f>
        <v>0</v>
      </c>
      <c r="AC266" s="128" t="n">
        <f aca="false">$D266*K266</f>
        <v>0</v>
      </c>
      <c r="AD266" s="128" t="n">
        <f aca="false">$D266*L266</f>
        <v>0</v>
      </c>
      <c r="AE266" s="128" t="n">
        <f aca="false">$D266*M266</f>
        <v>0</v>
      </c>
      <c r="AF266" s="128" t="n">
        <f aca="false">$D266*N266</f>
        <v>0</v>
      </c>
      <c r="AG266" s="128" t="n">
        <f aca="false">$D266*O266</f>
        <v>38.3356061357117</v>
      </c>
      <c r="AH266" s="128" t="n">
        <f aca="false">$D266*P266</f>
        <v>38.6442816267395</v>
      </c>
      <c r="AI266" s="128" t="n">
        <f aca="false">$D266*Q266</f>
        <v>37.063107172699</v>
      </c>
      <c r="AJ266" s="128" t="n">
        <f aca="false">$D266*R266</f>
        <v>0</v>
      </c>
      <c r="AK266" s="128" t="n">
        <f aca="false">$D266*S266</f>
        <v>0</v>
      </c>
      <c r="AL266" s="128" t="n">
        <f aca="false">$D266*T266</f>
        <v>0</v>
      </c>
      <c r="AN266" s="129" t="n">
        <f aca="false">SUM(W266:AL266)/4</f>
        <v>37.5080093472672</v>
      </c>
      <c r="AO266" s="130" t="n">
        <f aca="false">D266</f>
        <v>31.4974990844727</v>
      </c>
    </row>
    <row r="267" customFormat="false" ht="16.5" hidden="false" customHeight="false" outlineLevel="0" collapsed="false">
      <c r="B267" s="116" t="n">
        <f aca="false">MONTH(C267)</f>
        <v>12</v>
      </c>
      <c r="C267" s="125" t="n">
        <f aca="false">PJM_01212000!A251</f>
        <v>43070</v>
      </c>
      <c r="D267" s="126" t="n">
        <f aca="false">PJM_01212000!C251</f>
        <v>33.2499996185303</v>
      </c>
      <c r="E267" s="127" t="n">
        <f aca="false">VLOOKUP($B267,$C$6:$Z$17,E$22+1)</f>
        <v>0</v>
      </c>
      <c r="F267" s="127" t="n">
        <f aca="false">VLOOKUP($B267,$C$6:$Z$17,F$22+1)</f>
        <v>1.1638</v>
      </c>
      <c r="G267" s="127" t="n">
        <f aca="false">VLOOKUP($B267,$C$6:$Z$17,G$22+1)</f>
        <v>0</v>
      </c>
      <c r="H267" s="127" t="n">
        <f aca="false">VLOOKUP($B267,$C$6:$Z$17,H$22+1)</f>
        <v>0</v>
      </c>
      <c r="I267" s="127" t="n">
        <f aca="false">VLOOKUP($B267,$C$6:$Z$17,I$22+1)</f>
        <v>0</v>
      </c>
      <c r="J267" s="127" t="n">
        <f aca="false">VLOOKUP($B267,$C$6:$Z$17,J$22+1)</f>
        <v>0</v>
      </c>
      <c r="K267" s="127" t="n">
        <f aca="false">VLOOKUP($B267,$C$6:$Z$17,K$22+1)</f>
        <v>0</v>
      </c>
      <c r="L267" s="127" t="n">
        <f aca="false">VLOOKUP($B267,$C$6:$Z$17,L$22+1)</f>
        <v>0</v>
      </c>
      <c r="M267" s="127" t="n">
        <f aca="false">VLOOKUP($B267,$C$6:$Z$17,M$22+1)</f>
        <v>0</v>
      </c>
      <c r="N267" s="127" t="n">
        <f aca="false">VLOOKUP($B267,$C$6:$Z$17,N$22+1)</f>
        <v>0</v>
      </c>
      <c r="O267" s="127" t="n">
        <f aca="false">VLOOKUP($B267,$C$6:$Z$17,O$22+1)</f>
        <v>1.23965925286319</v>
      </c>
      <c r="P267" s="127" t="n">
        <f aca="false">VLOOKUP($B267,$C$6:$Z$17,P$22+1)</f>
        <v>1.2314</v>
      </c>
      <c r="Q267" s="127" t="n">
        <f aca="false">VLOOKUP($B267,$C$6:$Z$17,Q$22+1)</f>
        <v>1.18899630831453</v>
      </c>
      <c r="R267" s="127" t="n">
        <f aca="false">VLOOKUP($B267,$C$6:$Z$17,R$22+1)</f>
        <v>0</v>
      </c>
      <c r="S267" s="127" t="n">
        <f aca="false">VLOOKUP($B267,$C$6:$Z$17,S$22+1)</f>
        <v>0</v>
      </c>
      <c r="T267" s="127" t="n">
        <f aca="false">VLOOKUP($B267,$C$6:$Z$17,T$22+1)</f>
        <v>0</v>
      </c>
      <c r="U267" s="127" t="n">
        <f aca="false">VLOOKUP($B267,$C$6:$AB$17,T$22+3)-SUM(E267:T267)</f>
        <v>0</v>
      </c>
      <c r="W267" s="128" t="n">
        <f aca="false">$D267*E267</f>
        <v>0</v>
      </c>
      <c r="X267" s="128" t="n">
        <f aca="false">$D267*F267</f>
        <v>38.6963495560455</v>
      </c>
      <c r="Y267" s="128" t="n">
        <f aca="false">$D267*G267</f>
        <v>0</v>
      </c>
      <c r="Z267" s="128" t="n">
        <f aca="false">$D267*H267</f>
        <v>0</v>
      </c>
      <c r="AA267" s="128" t="n">
        <f aca="false">$D267*I267</f>
        <v>0</v>
      </c>
      <c r="AB267" s="128" t="n">
        <f aca="false">$D267*J267</f>
        <v>0</v>
      </c>
      <c r="AC267" s="128" t="n">
        <f aca="false">$D267*K267</f>
        <v>0</v>
      </c>
      <c r="AD267" s="128" t="n">
        <f aca="false">$D267*L267</f>
        <v>0</v>
      </c>
      <c r="AE267" s="128" t="n">
        <f aca="false">$D267*M267</f>
        <v>0</v>
      </c>
      <c r="AF267" s="128" t="n">
        <f aca="false">$D267*N267</f>
        <v>0</v>
      </c>
      <c r="AG267" s="128" t="n">
        <f aca="false">$D267*O267</f>
        <v>41.2186696848086</v>
      </c>
      <c r="AH267" s="128" t="n">
        <f aca="false">$D267*P267</f>
        <v>40.9440495302582</v>
      </c>
      <c r="AI267" s="128" t="n">
        <f aca="false">$D267*Q267</f>
        <v>39.534126797892</v>
      </c>
      <c r="AJ267" s="128" t="n">
        <f aca="false">$D267*R267</f>
        <v>0</v>
      </c>
      <c r="AK267" s="128" t="n">
        <f aca="false">$D267*S267</f>
        <v>0</v>
      </c>
      <c r="AL267" s="128" t="n">
        <f aca="false">$D267*T267</f>
        <v>0</v>
      </c>
      <c r="AN267" s="129" t="n">
        <f aca="false">SUM(W267:AL267)/4</f>
        <v>40.0982988922511</v>
      </c>
      <c r="AO267" s="130" t="n">
        <f aca="false">D267</f>
        <v>33.2499996185303</v>
      </c>
    </row>
    <row r="268" customFormat="false" ht="16.5" hidden="false" customHeight="false" outlineLevel="0" collapsed="false">
      <c r="B268" s="116" t="n">
        <f aca="false">MONTH(C268)</f>
        <v>1</v>
      </c>
      <c r="C268" s="125" t="n">
        <f aca="false">PJM_01212000!A252</f>
        <v>43101</v>
      </c>
      <c r="D268" s="126" t="n">
        <f aca="false">PJM_01212000!C252</f>
        <v>41.8249984741211</v>
      </c>
      <c r="E268" s="127" t="n">
        <f aca="false">VLOOKUP($B268,$C$6:$Z$17,E$22+1)</f>
        <v>0</v>
      </c>
      <c r="F268" s="127" t="n">
        <f aca="false">VLOOKUP($B268,$C$6:$Z$17,F$22+1)</f>
        <v>1.19981175661928</v>
      </c>
      <c r="G268" s="127" t="n">
        <f aca="false">VLOOKUP($B268,$C$6:$Z$17,G$22+1)</f>
        <v>1.19616001156207</v>
      </c>
      <c r="H268" s="127" t="n">
        <f aca="false">VLOOKUP($B268,$C$6:$Z$17,H$22+1)</f>
        <v>0</v>
      </c>
      <c r="I268" s="127" t="n">
        <f aca="false">VLOOKUP($B268,$C$6:$Z$17,I$22+1)</f>
        <v>0</v>
      </c>
      <c r="J268" s="127" t="n">
        <f aca="false">VLOOKUP($B268,$C$6:$Z$17,J$22+1)</f>
        <v>0</v>
      </c>
      <c r="K268" s="127" t="n">
        <f aca="false">VLOOKUP($B268,$C$6:$Z$17,K$22+1)</f>
        <v>0</v>
      </c>
      <c r="L268" s="127" t="n">
        <f aca="false">VLOOKUP($B268,$C$6:$Z$17,L$22+1)</f>
        <v>0</v>
      </c>
      <c r="M268" s="127" t="n">
        <f aca="false">VLOOKUP($B268,$C$6:$Z$17,M$22+1)</f>
        <v>0</v>
      </c>
      <c r="N268" s="127" t="n">
        <f aca="false">VLOOKUP($B268,$C$6:$Z$17,N$22+1)</f>
        <v>0</v>
      </c>
      <c r="O268" s="127" t="n">
        <f aca="false">VLOOKUP($B268,$C$6:$Z$17,O$22+1)</f>
        <v>0</v>
      </c>
      <c r="P268" s="127" t="n">
        <f aca="false">VLOOKUP($B268,$C$6:$Z$17,P$22+1)</f>
        <v>1.28189922894351</v>
      </c>
      <c r="Q268" s="127" t="n">
        <f aca="false">VLOOKUP($B268,$C$6:$Z$17,Q$22+1)</f>
        <v>1.227</v>
      </c>
      <c r="R268" s="127" t="n">
        <f aca="false">VLOOKUP($B268,$C$6:$Z$17,R$22+1)</f>
        <v>0</v>
      </c>
      <c r="S268" s="127" t="n">
        <f aca="false">VLOOKUP($B268,$C$6:$Z$17,S$22+1)</f>
        <v>0</v>
      </c>
      <c r="T268" s="127" t="n">
        <f aca="false">VLOOKUP($B268,$C$6:$Z$17,T$22+1)</f>
        <v>0</v>
      </c>
      <c r="U268" s="127" t="n">
        <f aca="false">VLOOKUP($B268,$C$6:$AB$17,T$22+3)-SUM(E268:T268)</f>
        <v>0</v>
      </c>
      <c r="W268" s="128" t="n">
        <f aca="false">$D268*E268</f>
        <v>0</v>
      </c>
      <c r="X268" s="128" t="n">
        <f aca="false">$D268*F268</f>
        <v>50.182124889834</v>
      </c>
      <c r="Y268" s="128" t="n">
        <f aca="false">$D268*G268</f>
        <v>50.0293906583883</v>
      </c>
      <c r="Z268" s="128" t="n">
        <f aca="false">$D268*H268</f>
        <v>0</v>
      </c>
      <c r="AA268" s="128" t="n">
        <f aca="false">$D268*I268</f>
        <v>0</v>
      </c>
      <c r="AB268" s="128" t="n">
        <f aca="false">$D268*J268</f>
        <v>0</v>
      </c>
      <c r="AC268" s="128" t="n">
        <f aca="false">$D268*K268</f>
        <v>0</v>
      </c>
      <c r="AD268" s="128" t="n">
        <f aca="false">$D268*L268</f>
        <v>0</v>
      </c>
      <c r="AE268" s="128" t="n">
        <f aca="false">$D268*M268</f>
        <v>0</v>
      </c>
      <c r="AF268" s="128" t="n">
        <f aca="false">$D268*N268</f>
        <v>0</v>
      </c>
      <c r="AG268" s="128" t="n">
        <f aca="false">$D268*O268</f>
        <v>0</v>
      </c>
      <c r="AH268" s="128" t="n">
        <f aca="false">$D268*P268</f>
        <v>53.6154332945394</v>
      </c>
      <c r="AI268" s="128" t="n">
        <f aca="false">$D268*Q268</f>
        <v>51.3192731277466</v>
      </c>
      <c r="AJ268" s="128" t="n">
        <f aca="false">$D268*R268</f>
        <v>0</v>
      </c>
      <c r="AK268" s="128" t="n">
        <f aca="false">$D268*S268</f>
        <v>0</v>
      </c>
      <c r="AL268" s="128" t="n">
        <f aca="false">$D268*T268</f>
        <v>0</v>
      </c>
      <c r="AN268" s="129" t="n">
        <f aca="false">SUM(W268:AL268)/4</f>
        <v>51.2865554926271</v>
      </c>
      <c r="AO268" s="130" t="n">
        <f aca="false">D268</f>
        <v>41.8249984741211</v>
      </c>
    </row>
    <row r="269" customFormat="false" ht="16.5" hidden="false" customHeight="false" outlineLevel="0" collapsed="false">
      <c r="B269" s="116" t="n">
        <f aca="false">MONTH(C269)</f>
        <v>2</v>
      </c>
      <c r="C269" s="125" t="n">
        <f aca="false">PJM_01212000!A253</f>
        <v>43132</v>
      </c>
      <c r="D269" s="126" t="n">
        <f aca="false">PJM_01212000!C253</f>
        <v>41.8249984741211</v>
      </c>
      <c r="E269" s="127" t="n">
        <f aca="false">VLOOKUP($B269,$C$6:$Z$17,E$22+1)</f>
        <v>0</v>
      </c>
      <c r="F269" s="127" t="n">
        <f aca="false">VLOOKUP($B269,$C$6:$Z$17,F$22+1)</f>
        <v>1.19981175661928</v>
      </c>
      <c r="G269" s="127" t="n">
        <f aca="false">VLOOKUP($B269,$C$6:$Z$17,G$22+1)</f>
        <v>1.19616001156207</v>
      </c>
      <c r="H269" s="127" t="n">
        <f aca="false">VLOOKUP($B269,$C$6:$Z$17,H$22+1)</f>
        <v>0</v>
      </c>
      <c r="I269" s="127" t="n">
        <f aca="false">VLOOKUP($B269,$C$6:$Z$17,I$22+1)</f>
        <v>0</v>
      </c>
      <c r="J269" s="127" t="n">
        <f aca="false">VLOOKUP($B269,$C$6:$Z$17,J$22+1)</f>
        <v>0</v>
      </c>
      <c r="K269" s="127" t="n">
        <f aca="false">VLOOKUP($B269,$C$6:$Z$17,K$22+1)</f>
        <v>0</v>
      </c>
      <c r="L269" s="127" t="n">
        <f aca="false">VLOOKUP($B269,$C$6:$Z$17,L$22+1)</f>
        <v>0</v>
      </c>
      <c r="M269" s="127" t="n">
        <f aca="false">VLOOKUP($B269,$C$6:$Z$17,M$22+1)</f>
        <v>0</v>
      </c>
      <c r="N269" s="127" t="n">
        <f aca="false">VLOOKUP($B269,$C$6:$Z$17,N$22+1)</f>
        <v>0</v>
      </c>
      <c r="O269" s="127" t="n">
        <f aca="false">VLOOKUP($B269,$C$6:$Z$17,O$22+1)</f>
        <v>0</v>
      </c>
      <c r="P269" s="127" t="n">
        <f aca="false">VLOOKUP($B269,$C$6:$Z$17,P$22+1)</f>
        <v>1.28189922894351</v>
      </c>
      <c r="Q269" s="127" t="n">
        <f aca="false">VLOOKUP($B269,$C$6:$Z$17,Q$22+1)</f>
        <v>1.227</v>
      </c>
      <c r="R269" s="127" t="n">
        <f aca="false">VLOOKUP($B269,$C$6:$Z$17,R$22+1)</f>
        <v>0</v>
      </c>
      <c r="S269" s="127" t="n">
        <f aca="false">VLOOKUP($B269,$C$6:$Z$17,S$22+1)</f>
        <v>0</v>
      </c>
      <c r="T269" s="127" t="n">
        <f aca="false">VLOOKUP($B269,$C$6:$Z$17,T$22+1)</f>
        <v>0</v>
      </c>
      <c r="U269" s="127" t="n">
        <f aca="false">VLOOKUP($B269,$C$6:$AB$17,T$22+3)-SUM(E269:T269)</f>
        <v>0</v>
      </c>
      <c r="W269" s="128" t="n">
        <f aca="false">$D269*E269</f>
        <v>0</v>
      </c>
      <c r="X269" s="128" t="n">
        <f aca="false">$D269*F269</f>
        <v>50.182124889834</v>
      </c>
      <c r="Y269" s="128" t="n">
        <f aca="false">$D269*G269</f>
        <v>50.0293906583883</v>
      </c>
      <c r="Z269" s="128" t="n">
        <f aca="false">$D269*H269</f>
        <v>0</v>
      </c>
      <c r="AA269" s="128" t="n">
        <f aca="false">$D269*I269</f>
        <v>0</v>
      </c>
      <c r="AB269" s="128" t="n">
        <f aca="false">$D269*J269</f>
        <v>0</v>
      </c>
      <c r="AC269" s="128" t="n">
        <f aca="false">$D269*K269</f>
        <v>0</v>
      </c>
      <c r="AD269" s="128" t="n">
        <f aca="false">$D269*L269</f>
        <v>0</v>
      </c>
      <c r="AE269" s="128" t="n">
        <f aca="false">$D269*M269</f>
        <v>0</v>
      </c>
      <c r="AF269" s="128" t="n">
        <f aca="false">$D269*N269</f>
        <v>0</v>
      </c>
      <c r="AG269" s="128" t="n">
        <f aca="false">$D269*O269</f>
        <v>0</v>
      </c>
      <c r="AH269" s="128" t="n">
        <f aca="false">$D269*P269</f>
        <v>53.6154332945394</v>
      </c>
      <c r="AI269" s="128" t="n">
        <f aca="false">$D269*Q269</f>
        <v>51.3192731277466</v>
      </c>
      <c r="AJ269" s="128" t="n">
        <f aca="false">$D269*R269</f>
        <v>0</v>
      </c>
      <c r="AK269" s="128" t="n">
        <f aca="false">$D269*S269</f>
        <v>0</v>
      </c>
      <c r="AL269" s="128" t="n">
        <f aca="false">$D269*T269</f>
        <v>0</v>
      </c>
      <c r="AN269" s="129" t="n">
        <f aca="false">SUM(W269:AL269)/4</f>
        <v>51.2865554926271</v>
      </c>
      <c r="AO269" s="130" t="n">
        <f aca="false">D269</f>
        <v>41.8249984741211</v>
      </c>
    </row>
    <row r="270" customFormat="false" ht="16.5" hidden="false" customHeight="false" outlineLevel="0" collapsed="false">
      <c r="B270" s="116" t="n">
        <f aca="false">MONTH(C270)</f>
        <v>3</v>
      </c>
      <c r="C270" s="125" t="n">
        <f aca="false">PJM_01212000!A254</f>
        <v>43160</v>
      </c>
      <c r="D270" s="126" t="n">
        <f aca="false">PJM_01212000!C254</f>
        <v>31.5500007629395</v>
      </c>
      <c r="E270" s="127" t="n">
        <f aca="false">VLOOKUP($B270,$C$6:$Z$17,E$22+1)</f>
        <v>0</v>
      </c>
      <c r="F270" s="127" t="n">
        <f aca="false">VLOOKUP($B270,$C$6:$Z$17,F$22+1)</f>
        <v>1.1898</v>
      </c>
      <c r="G270" s="127" t="n">
        <f aca="false">VLOOKUP($B270,$C$6:$Z$17,G$22+1)</f>
        <v>1.1862</v>
      </c>
      <c r="H270" s="127" t="n">
        <f aca="false">VLOOKUP($B270,$C$6:$Z$17,H$22+1)</f>
        <v>0</v>
      </c>
      <c r="I270" s="127" t="n">
        <f aca="false">VLOOKUP($B270,$C$6:$Z$17,I$22+1)</f>
        <v>0</v>
      </c>
      <c r="J270" s="127" t="n">
        <f aca="false">VLOOKUP($B270,$C$6:$Z$17,J$22+1)</f>
        <v>0</v>
      </c>
      <c r="K270" s="127" t="n">
        <f aca="false">VLOOKUP($B270,$C$6:$Z$17,K$22+1)</f>
        <v>0</v>
      </c>
      <c r="L270" s="127" t="n">
        <f aca="false">VLOOKUP($B270,$C$6:$Z$17,L$22+1)</f>
        <v>0</v>
      </c>
      <c r="M270" s="127" t="n">
        <f aca="false">VLOOKUP($B270,$C$6:$Z$17,M$22+1)</f>
        <v>0</v>
      </c>
      <c r="N270" s="127" t="n">
        <f aca="false">VLOOKUP($B270,$C$6:$Z$17,N$22+1)</f>
        <v>0</v>
      </c>
      <c r="O270" s="127" t="n">
        <f aca="false">VLOOKUP($B270,$C$6:$Z$17,O$22+1)</f>
        <v>0</v>
      </c>
      <c r="P270" s="127" t="n">
        <f aca="false">VLOOKUP($B270,$C$6:$Z$17,P$22+1)</f>
        <v>1.2719</v>
      </c>
      <c r="Q270" s="127" t="n">
        <f aca="false">VLOOKUP($B270,$C$6:$Z$17,Q$22+1)</f>
        <v>1.217</v>
      </c>
      <c r="R270" s="127" t="n">
        <f aca="false">VLOOKUP($B270,$C$6:$Z$17,R$22+1)</f>
        <v>0</v>
      </c>
      <c r="S270" s="127" t="n">
        <f aca="false">VLOOKUP($B270,$C$6:$Z$17,S$22+1)</f>
        <v>0</v>
      </c>
      <c r="T270" s="127" t="n">
        <f aca="false">VLOOKUP($B270,$C$6:$Z$17,T$22+1)</f>
        <v>0</v>
      </c>
      <c r="U270" s="127" t="n">
        <f aca="false">VLOOKUP($B270,$C$6:$AB$17,T$22+3)-SUM(E270:T270)</f>
        <v>0</v>
      </c>
      <c r="W270" s="128" t="n">
        <f aca="false">$D270*E270</f>
        <v>0</v>
      </c>
      <c r="X270" s="128" t="n">
        <f aca="false">$D270*F270</f>
        <v>37.5381909077454</v>
      </c>
      <c r="Y270" s="128" t="n">
        <f aca="false">$D270*G270</f>
        <v>37.4246109049988</v>
      </c>
      <c r="Z270" s="128" t="n">
        <f aca="false">$D270*H270</f>
        <v>0</v>
      </c>
      <c r="AA270" s="128" t="n">
        <f aca="false">$D270*I270</f>
        <v>0</v>
      </c>
      <c r="AB270" s="128" t="n">
        <f aca="false">$D270*J270</f>
        <v>0</v>
      </c>
      <c r="AC270" s="128" t="n">
        <f aca="false">$D270*K270</f>
        <v>0</v>
      </c>
      <c r="AD270" s="128" t="n">
        <f aca="false">$D270*L270</f>
        <v>0</v>
      </c>
      <c r="AE270" s="128" t="n">
        <f aca="false">$D270*M270</f>
        <v>0</v>
      </c>
      <c r="AF270" s="128" t="n">
        <f aca="false">$D270*N270</f>
        <v>0</v>
      </c>
      <c r="AG270" s="128" t="n">
        <f aca="false">$D270*O270</f>
        <v>0</v>
      </c>
      <c r="AH270" s="128" t="n">
        <f aca="false">$D270*P270</f>
        <v>40.1284459703827</v>
      </c>
      <c r="AI270" s="128" t="n">
        <f aca="false">$D270*Q270</f>
        <v>38.3963509284973</v>
      </c>
      <c r="AJ270" s="128" t="n">
        <f aca="false">$D270*R270</f>
        <v>0</v>
      </c>
      <c r="AK270" s="128" t="n">
        <f aca="false">$D270*S270</f>
        <v>0</v>
      </c>
      <c r="AL270" s="128" t="n">
        <f aca="false">$D270*T270</f>
        <v>0</v>
      </c>
      <c r="AN270" s="129" t="n">
        <f aca="false">SUM(W270:AL270)/4</f>
        <v>38.371899677906</v>
      </c>
      <c r="AO270" s="130" t="n">
        <f aca="false">D270</f>
        <v>31.5500007629395</v>
      </c>
    </row>
    <row r="271" customFormat="false" ht="16.5" hidden="false" customHeight="false" outlineLevel="0" collapsed="false">
      <c r="B271" s="116" t="n">
        <f aca="false">MONTH(C271)</f>
        <v>4</v>
      </c>
      <c r="C271" s="125" t="n">
        <f aca="false">PJM_01212000!A255</f>
        <v>43191</v>
      </c>
      <c r="D271" s="126" t="n">
        <f aca="false">PJM_01212000!C255</f>
        <v>31.3250007629395</v>
      </c>
      <c r="E271" s="127" t="n">
        <f aca="false">VLOOKUP($B271,$C$6:$Z$17,E$22+1)</f>
        <v>1.1232726508202</v>
      </c>
      <c r="F271" s="127" t="n">
        <f aca="false">VLOOKUP($B271,$C$6:$Z$17,F$22+1)</f>
        <v>1.14131544612562</v>
      </c>
      <c r="G271" s="127" t="n">
        <f aca="false">VLOOKUP($B271,$C$6:$Z$17,G$22+1)</f>
        <v>0</v>
      </c>
      <c r="H271" s="127" t="n">
        <f aca="false">VLOOKUP($B271,$C$6:$Z$17,H$22+1)</f>
        <v>0</v>
      </c>
      <c r="I271" s="127" t="n">
        <f aca="false">VLOOKUP($B271,$C$6:$Z$17,I$22+1)</f>
        <v>1.11852454679246</v>
      </c>
      <c r="J271" s="127" t="n">
        <f aca="false">VLOOKUP($B271,$C$6:$Z$17,J$22+1)</f>
        <v>0</v>
      </c>
      <c r="K271" s="127" t="n">
        <f aca="false">VLOOKUP($B271,$C$6:$Z$17,K$22+1)</f>
        <v>0</v>
      </c>
      <c r="L271" s="127" t="n">
        <f aca="false">VLOOKUP($B271,$C$6:$Z$17,L$22+1)</f>
        <v>0</v>
      </c>
      <c r="M271" s="127" t="n">
        <f aca="false">VLOOKUP($B271,$C$6:$Z$17,M$22+1)</f>
        <v>0</v>
      </c>
      <c r="N271" s="127" t="n">
        <f aca="false">VLOOKUP($B271,$C$6:$Z$17,N$22+1)</f>
        <v>0</v>
      </c>
      <c r="O271" s="127" t="n">
        <f aca="false">VLOOKUP($B271,$C$6:$Z$17,O$22+1)</f>
        <v>0</v>
      </c>
      <c r="P271" s="127" t="n">
        <f aca="false">VLOOKUP($B271,$C$6:$Z$17,P$22+1)</f>
        <v>0</v>
      </c>
      <c r="Q271" s="127" t="n">
        <f aca="false">VLOOKUP($B271,$C$6:$Z$17,Q$22+1)</f>
        <v>0</v>
      </c>
      <c r="R271" s="127" t="n">
        <f aca="false">VLOOKUP($B271,$C$6:$Z$17,R$22+1)</f>
        <v>1.15433651784915</v>
      </c>
      <c r="S271" s="127" t="n">
        <f aca="false">VLOOKUP($B271,$C$6:$Z$17,S$22+1)</f>
        <v>0</v>
      </c>
      <c r="T271" s="127" t="n">
        <f aca="false">VLOOKUP($B271,$C$6:$Z$17,T$22+1)</f>
        <v>0</v>
      </c>
      <c r="U271" s="127" t="n">
        <f aca="false">VLOOKUP($B271,$C$6:$AB$17,T$22+3)-SUM(E271:T271)</f>
        <v>0</v>
      </c>
      <c r="W271" s="128" t="n">
        <f aca="false">$D271*E271</f>
        <v>35.1865166439319</v>
      </c>
      <c r="X271" s="128" t="n">
        <f aca="false">$D271*F271</f>
        <v>35.7517072206395</v>
      </c>
      <c r="Y271" s="128" t="n">
        <f aca="false">$D271*G271</f>
        <v>0</v>
      </c>
      <c r="Z271" s="128" t="n">
        <f aca="false">$D271*H271</f>
        <v>0</v>
      </c>
      <c r="AA271" s="128" t="n">
        <f aca="false">$D271*I271</f>
        <v>35.0377822816405</v>
      </c>
      <c r="AB271" s="128" t="n">
        <f aca="false">$D271*J271</f>
        <v>0</v>
      </c>
      <c r="AC271" s="128" t="n">
        <f aca="false">$D271*K271</f>
        <v>0</v>
      </c>
      <c r="AD271" s="128" t="n">
        <f aca="false">$D271*L271</f>
        <v>0</v>
      </c>
      <c r="AE271" s="128" t="n">
        <f aca="false">$D271*M271</f>
        <v>0</v>
      </c>
      <c r="AF271" s="128" t="n">
        <f aca="false">$D271*N271</f>
        <v>0</v>
      </c>
      <c r="AG271" s="128" t="n">
        <f aca="false">$D271*O271</f>
        <v>0</v>
      </c>
      <c r="AH271" s="128" t="n">
        <f aca="false">$D271*P271</f>
        <v>0</v>
      </c>
      <c r="AI271" s="128" t="n">
        <f aca="false">$D271*Q271</f>
        <v>0</v>
      </c>
      <c r="AJ271" s="128" t="n">
        <f aca="false">$D271*R271</f>
        <v>36.1595923023135</v>
      </c>
      <c r="AK271" s="128" t="n">
        <f aca="false">$D271*S271</f>
        <v>0</v>
      </c>
      <c r="AL271" s="128" t="n">
        <f aca="false">$D271*T271</f>
        <v>0</v>
      </c>
      <c r="AN271" s="129" t="n">
        <f aca="false">SUM(W271:AL271)/4</f>
        <v>35.5338996121314</v>
      </c>
      <c r="AO271" s="130" t="n">
        <f aca="false">D271</f>
        <v>31.3250007629395</v>
      </c>
    </row>
    <row r="272" customFormat="false" ht="16.5" hidden="false" customHeight="false" outlineLevel="0" collapsed="false">
      <c r="B272" s="116" t="n">
        <f aca="false">MONTH(C272)</f>
        <v>5</v>
      </c>
      <c r="C272" s="125" t="n">
        <f aca="false">PJM_01212000!A256</f>
        <v>43221</v>
      </c>
      <c r="D272" s="126" t="n">
        <f aca="false">PJM_01212000!C256</f>
        <v>39.325</v>
      </c>
      <c r="E272" s="127" t="n">
        <f aca="false">VLOOKUP($B272,$C$6:$Z$17,E$22+1)</f>
        <v>0</v>
      </c>
      <c r="F272" s="127" t="n">
        <f aca="false">VLOOKUP($B272,$C$6:$Z$17,F$22+1)</f>
        <v>0</v>
      </c>
      <c r="G272" s="127" t="n">
        <f aca="false">VLOOKUP($B272,$C$6:$Z$17,G$22+1)</f>
        <v>1.06102662180267</v>
      </c>
      <c r="H272" s="127" t="n">
        <f aca="false">VLOOKUP($B272,$C$6:$Z$17,H$22+1)</f>
        <v>1.12549986193072</v>
      </c>
      <c r="I272" s="127" t="n">
        <f aca="false">VLOOKUP($B272,$C$6:$Z$17,I$22+1)</f>
        <v>1.11699070333514</v>
      </c>
      <c r="J272" s="127" t="n">
        <f aca="false">VLOOKUP($B272,$C$6:$Z$17,J$22+1)</f>
        <v>0</v>
      </c>
      <c r="K272" s="127" t="n">
        <f aca="false">VLOOKUP($B272,$C$6:$Z$17,K$22+1)</f>
        <v>0</v>
      </c>
      <c r="L272" s="127" t="n">
        <f aca="false">VLOOKUP($B272,$C$6:$Z$17,L$22+1)</f>
        <v>0</v>
      </c>
      <c r="M272" s="127" t="n">
        <f aca="false">VLOOKUP($B272,$C$6:$Z$17,M$22+1)</f>
        <v>0</v>
      </c>
      <c r="N272" s="127" t="n">
        <f aca="false">VLOOKUP($B272,$C$6:$Z$17,N$22+1)</f>
        <v>0</v>
      </c>
      <c r="O272" s="127" t="n">
        <f aca="false">VLOOKUP($B272,$C$6:$Z$17,O$22+1)</f>
        <v>0</v>
      </c>
      <c r="P272" s="127" t="n">
        <f aca="false">VLOOKUP($B272,$C$6:$Z$17,P$22+1)</f>
        <v>0</v>
      </c>
      <c r="Q272" s="127" t="n">
        <f aca="false">VLOOKUP($B272,$C$6:$Z$17,Q$22+1)</f>
        <v>0</v>
      </c>
      <c r="R272" s="127" t="n">
        <f aca="false">VLOOKUP($B272,$C$6:$Z$17,R$22+1)</f>
        <v>1.08769956124651</v>
      </c>
      <c r="S272" s="127" t="n">
        <f aca="false">VLOOKUP($B272,$C$6:$Z$17,S$22+1)</f>
        <v>0</v>
      </c>
      <c r="T272" s="127" t="n">
        <f aca="false">VLOOKUP($B272,$C$6:$Z$17,T$22+1)</f>
        <v>0</v>
      </c>
      <c r="U272" s="127" t="n">
        <f aca="false">VLOOKUP($B272,$C$6:$AB$17,T$22+3)-SUM(E272:T272)</f>
        <v>0</v>
      </c>
      <c r="W272" s="128" t="n">
        <f aca="false">$D272*E272</f>
        <v>0</v>
      </c>
      <c r="X272" s="128" t="n">
        <f aca="false">$D272*F272</f>
        <v>0</v>
      </c>
      <c r="Y272" s="128" t="n">
        <f aca="false">$D272*G272</f>
        <v>41.7248719023901</v>
      </c>
      <c r="Z272" s="128" t="n">
        <f aca="false">$D272*H272</f>
        <v>44.2602820704256</v>
      </c>
      <c r="AA272" s="128" t="n">
        <f aca="false">$D272*I272</f>
        <v>43.9256594086544</v>
      </c>
      <c r="AB272" s="128" t="n">
        <f aca="false">$D272*J272</f>
        <v>0</v>
      </c>
      <c r="AC272" s="128" t="n">
        <f aca="false">$D272*K272</f>
        <v>0</v>
      </c>
      <c r="AD272" s="128" t="n">
        <f aca="false">$D272*L272</f>
        <v>0</v>
      </c>
      <c r="AE272" s="128" t="n">
        <f aca="false">$D272*M272</f>
        <v>0</v>
      </c>
      <c r="AF272" s="128" t="n">
        <f aca="false">$D272*N272</f>
        <v>0</v>
      </c>
      <c r="AG272" s="128" t="n">
        <f aca="false">$D272*O272</f>
        <v>0</v>
      </c>
      <c r="AH272" s="128" t="n">
        <f aca="false">$D272*P272</f>
        <v>0</v>
      </c>
      <c r="AI272" s="128" t="n">
        <f aca="false">$D272*Q272</f>
        <v>0</v>
      </c>
      <c r="AJ272" s="128" t="n">
        <f aca="false">$D272*R272</f>
        <v>42.773785246019</v>
      </c>
      <c r="AK272" s="128" t="n">
        <f aca="false">$D272*S272</f>
        <v>0</v>
      </c>
      <c r="AL272" s="128" t="n">
        <f aca="false">$D272*T272</f>
        <v>0</v>
      </c>
      <c r="AN272" s="129" t="n">
        <f aca="false">SUM(W272:AL272)/4</f>
        <v>43.1711496568723</v>
      </c>
      <c r="AO272" s="130" t="n">
        <f aca="false">D272</f>
        <v>39.325</v>
      </c>
    </row>
    <row r="273" customFormat="false" ht="16.5" hidden="false" customHeight="false" outlineLevel="0" collapsed="false">
      <c r="B273" s="116" t="n">
        <f aca="false">MONTH(C273)</f>
        <v>6</v>
      </c>
      <c r="C273" s="125" t="n">
        <f aca="false">PJM_01212000!A257</f>
        <v>43252</v>
      </c>
      <c r="D273" s="126" t="n">
        <f aca="false">PJM_01212000!C257</f>
        <v>68.3499984741211</v>
      </c>
      <c r="E273" s="127" t="n">
        <f aca="false">VLOOKUP($B273,$C$6:$Z$17,E$22+1)</f>
        <v>0</v>
      </c>
      <c r="F273" s="127" t="n">
        <f aca="false">VLOOKUP($B273,$C$6:$Z$17,F$22+1)</f>
        <v>0</v>
      </c>
      <c r="G273" s="127" t="n">
        <f aca="false">VLOOKUP($B273,$C$6:$Z$17,G$22+1)</f>
        <v>0</v>
      </c>
      <c r="H273" s="127" t="n">
        <f aca="false">VLOOKUP($B273,$C$6:$Z$17,H$22+1)</f>
        <v>0</v>
      </c>
      <c r="I273" s="127" t="n">
        <f aca="false">VLOOKUP($B273,$C$6:$Z$17,I$22+1)</f>
        <v>0</v>
      </c>
      <c r="J273" s="127" t="n">
        <f aca="false">VLOOKUP($B273,$C$6:$Z$17,J$22+1)</f>
        <v>0</v>
      </c>
      <c r="K273" s="127" t="n">
        <f aca="false">VLOOKUP($B273,$C$6:$Z$17,K$22+1)</f>
        <v>1.22092018621818</v>
      </c>
      <c r="L273" s="127" t="n">
        <f aca="false">VLOOKUP($B273,$C$6:$Z$17,L$22+1)</f>
        <v>1.23031497714214</v>
      </c>
      <c r="M273" s="127" t="n">
        <f aca="false">VLOOKUP($B273,$C$6:$Z$17,M$22+1)</f>
        <v>1.23232814662584</v>
      </c>
      <c r="N273" s="127" t="n">
        <f aca="false">VLOOKUP($B273,$C$6:$Z$17,N$22+1)</f>
        <v>1.25232563016399</v>
      </c>
      <c r="O273" s="127" t="n">
        <f aca="false">VLOOKUP($B273,$C$6:$Z$17,O$22+1)</f>
        <v>0</v>
      </c>
      <c r="P273" s="127" t="n">
        <f aca="false">VLOOKUP($B273,$C$6:$Z$17,P$22+1)</f>
        <v>0</v>
      </c>
      <c r="Q273" s="127" t="n">
        <f aca="false">VLOOKUP($B273,$C$6:$Z$17,Q$22+1)</f>
        <v>0</v>
      </c>
      <c r="R273" s="127" t="n">
        <f aca="false">VLOOKUP($B273,$C$6:$Z$17,R$22+1)</f>
        <v>0</v>
      </c>
      <c r="S273" s="127" t="n">
        <f aca="false">VLOOKUP($B273,$C$6:$Z$17,S$22+1)</f>
        <v>0</v>
      </c>
      <c r="T273" s="127" t="n">
        <f aca="false">VLOOKUP($B273,$C$6:$Z$17,T$22+1)</f>
        <v>0</v>
      </c>
      <c r="U273" s="127" t="n">
        <f aca="false">VLOOKUP($B273,$C$6:$AB$17,T$22+3)-SUM(E273:T273)</f>
        <v>0</v>
      </c>
      <c r="W273" s="128" t="n">
        <f aca="false">$D273*E273</f>
        <v>0</v>
      </c>
      <c r="X273" s="128" t="n">
        <f aca="false">$D273*F273</f>
        <v>0</v>
      </c>
      <c r="Y273" s="128" t="n">
        <f aca="false">$D273*G273</f>
        <v>0</v>
      </c>
      <c r="Z273" s="128" t="n">
        <f aca="false">$D273*H273</f>
        <v>0</v>
      </c>
      <c r="AA273" s="128" t="n">
        <f aca="false">$D273*I273</f>
        <v>0</v>
      </c>
      <c r="AB273" s="128" t="n">
        <f aca="false">$D273*J273</f>
        <v>0</v>
      </c>
      <c r="AC273" s="128" t="n">
        <f aca="false">$D273*K273</f>
        <v>83.4498928650361</v>
      </c>
      <c r="AD273" s="128" t="n">
        <f aca="false">$D273*L273</f>
        <v>84.0920268103535</v>
      </c>
      <c r="AE273" s="128" t="n">
        <f aca="false">$D273*M273</f>
        <v>84.2296269414929</v>
      </c>
      <c r="AF273" s="128" t="n">
        <f aca="false">$D273*N273</f>
        <v>85.5964549108114</v>
      </c>
      <c r="AG273" s="128" t="n">
        <f aca="false">$D273*O273</f>
        <v>0</v>
      </c>
      <c r="AH273" s="128" t="n">
        <f aca="false">$D273*P273</f>
        <v>0</v>
      </c>
      <c r="AI273" s="128" t="n">
        <f aca="false">$D273*Q273</f>
        <v>0</v>
      </c>
      <c r="AJ273" s="128" t="n">
        <f aca="false">$D273*R273</f>
        <v>0</v>
      </c>
      <c r="AK273" s="128" t="n">
        <f aca="false">$D273*S273</f>
        <v>0</v>
      </c>
      <c r="AL273" s="128" t="n">
        <f aca="false">$D273*T273</f>
        <v>0</v>
      </c>
      <c r="AN273" s="129" t="n">
        <f aca="false">SUM(W273:AL273)/4</f>
        <v>84.3420003819235</v>
      </c>
      <c r="AO273" s="130" t="n">
        <f aca="false">D273</f>
        <v>68.3499984741211</v>
      </c>
    </row>
    <row r="274" customFormat="false" ht="16.5" hidden="false" customHeight="false" outlineLevel="0" collapsed="false">
      <c r="B274" s="116" t="n">
        <f aca="false">MONTH(C274)</f>
        <v>7</v>
      </c>
      <c r="C274" s="125" t="n">
        <f aca="false">PJM_01212000!A258</f>
        <v>43282</v>
      </c>
      <c r="D274" s="126" t="n">
        <f aca="false">PJM_01212000!C258</f>
        <v>124.949996948242</v>
      </c>
      <c r="E274" s="127" t="n">
        <f aca="false">VLOOKUP($B274,$C$6:$Z$17,E$22+1)</f>
        <v>0</v>
      </c>
      <c r="F274" s="127" t="n">
        <f aca="false">VLOOKUP($B274,$C$6:$Z$17,F$22+1)</f>
        <v>0</v>
      </c>
      <c r="G274" s="127" t="n">
        <f aca="false">VLOOKUP($B274,$C$6:$Z$17,G$22+1)</f>
        <v>0</v>
      </c>
      <c r="H274" s="127" t="n">
        <f aca="false">VLOOKUP($B274,$C$6:$Z$17,H$22+1)</f>
        <v>0</v>
      </c>
      <c r="I274" s="127" t="n">
        <f aca="false">VLOOKUP($B274,$C$6:$Z$17,I$22+1)</f>
        <v>0</v>
      </c>
      <c r="J274" s="127" t="n">
        <f aca="false">VLOOKUP($B274,$C$6:$Z$17,J$22+1)</f>
        <v>0</v>
      </c>
      <c r="K274" s="127" t="n">
        <f aca="false">VLOOKUP($B274,$C$6:$Z$17,K$22+1)</f>
        <v>0</v>
      </c>
      <c r="L274" s="127" t="n">
        <f aca="false">VLOOKUP($B274,$C$6:$Z$17,L$22+1)</f>
        <v>1.2506946851613</v>
      </c>
      <c r="M274" s="127" t="n">
        <f aca="false">VLOOKUP($B274,$C$6:$Z$17,M$22+1)</f>
        <v>1.32734019400042</v>
      </c>
      <c r="N274" s="127" t="n">
        <f aca="false">VLOOKUP($B274,$C$6:$Z$17,N$22+1)</f>
        <v>1.35388881627921</v>
      </c>
      <c r="O274" s="127" t="n">
        <f aca="false">VLOOKUP($B274,$C$6:$Z$17,O$22+1)</f>
        <v>1.32033935867348</v>
      </c>
      <c r="P274" s="127" t="n">
        <f aca="false">VLOOKUP($B274,$C$6:$Z$17,P$22+1)</f>
        <v>0</v>
      </c>
      <c r="Q274" s="127" t="n">
        <f aca="false">VLOOKUP($B274,$C$6:$Z$17,Q$22+1)</f>
        <v>0</v>
      </c>
      <c r="R274" s="127" t="n">
        <f aca="false">VLOOKUP($B274,$C$6:$Z$17,R$22+1)</f>
        <v>0</v>
      </c>
      <c r="S274" s="127" t="n">
        <f aca="false">VLOOKUP($B274,$C$6:$Z$17,S$22+1)</f>
        <v>0</v>
      </c>
      <c r="T274" s="127" t="n">
        <f aca="false">VLOOKUP($B274,$C$6:$Z$17,T$22+1)</f>
        <v>0</v>
      </c>
      <c r="U274" s="127" t="n">
        <f aca="false">VLOOKUP($B274,$C$6:$AB$17,T$22+3)-SUM(E274:T274)</f>
        <v>0</v>
      </c>
      <c r="W274" s="128" t="n">
        <f aca="false">$D274*E274</f>
        <v>0</v>
      </c>
      <c r="X274" s="128" t="n">
        <f aca="false">$D274*F274</f>
        <v>0</v>
      </c>
      <c r="Y274" s="128" t="n">
        <f aca="false">$D274*G274</f>
        <v>0</v>
      </c>
      <c r="Z274" s="128" t="n">
        <f aca="false">$D274*H274</f>
        <v>0</v>
      </c>
      <c r="AA274" s="128" t="n">
        <f aca="false">$D274*I274</f>
        <v>0</v>
      </c>
      <c r="AB274" s="128" t="n">
        <f aca="false">$D274*J274</f>
        <v>0</v>
      </c>
      <c r="AC274" s="128" t="n">
        <f aca="false">$D274*K274</f>
        <v>0</v>
      </c>
      <c r="AD274" s="128" t="n">
        <f aca="false">$D274*L274</f>
        <v>156.274297094087</v>
      </c>
      <c r="AE274" s="128" t="n">
        <f aca="false">$D274*M274</f>
        <v>165.851153189632</v>
      </c>
      <c r="AF274" s="128" t="n">
        <f aca="false">$D274*N274</f>
        <v>169.168403462347</v>
      </c>
      <c r="AG274" s="128" t="n">
        <f aca="false">$D274*O274</f>
        <v>164.976398836895</v>
      </c>
      <c r="AH274" s="128" t="n">
        <f aca="false">$D274*P274</f>
        <v>0</v>
      </c>
      <c r="AI274" s="128" t="n">
        <f aca="false">$D274*Q274</f>
        <v>0</v>
      </c>
      <c r="AJ274" s="128" t="n">
        <f aca="false">$D274*R274</f>
        <v>0</v>
      </c>
      <c r="AK274" s="128" t="n">
        <f aca="false">$D274*S274</f>
        <v>0</v>
      </c>
      <c r="AL274" s="128" t="n">
        <f aca="false">$D274*T274</f>
        <v>0</v>
      </c>
      <c r="AN274" s="129" t="n">
        <f aca="false">SUM(W274:AL274)/4</f>
        <v>164.06756314574</v>
      </c>
      <c r="AO274" s="130" t="n">
        <f aca="false">D274</f>
        <v>124.949996948242</v>
      </c>
    </row>
    <row r="275" customFormat="false" ht="17.25" hidden="false" customHeight="false" outlineLevel="0" collapsed="false">
      <c r="B275" s="116" t="n">
        <f aca="false">MONTH(C275)</f>
        <v>8</v>
      </c>
      <c r="C275" s="125" t="n">
        <f aca="false">PJM_01212000!A259</f>
        <v>43313</v>
      </c>
      <c r="D275" s="126" t="n">
        <f aca="false">PJM_01212000!C259</f>
        <v>111.949996948242</v>
      </c>
      <c r="E275" s="127" t="n">
        <f aca="false">VLOOKUP($B275,$C$6:$Z$17,E$22+1)</f>
        <v>0</v>
      </c>
      <c r="F275" s="127" t="n">
        <f aca="false">VLOOKUP($B275,$C$6:$Z$17,F$22+1)</f>
        <v>0</v>
      </c>
      <c r="G275" s="127" t="n">
        <f aca="false">VLOOKUP($B275,$C$6:$Z$17,G$22+1)</f>
        <v>0</v>
      </c>
      <c r="H275" s="127" t="n">
        <f aca="false">VLOOKUP($B275,$C$6:$Z$17,H$22+1)</f>
        <v>0</v>
      </c>
      <c r="I275" s="127" t="n">
        <f aca="false">VLOOKUP($B275,$C$6:$Z$17,I$22+1)</f>
        <v>0</v>
      </c>
      <c r="J275" s="127" t="n">
        <f aca="false">VLOOKUP($B275,$C$6:$Z$17,J$22+1)</f>
        <v>0</v>
      </c>
      <c r="K275" s="127" t="n">
        <f aca="false">VLOOKUP($B275,$C$6:$Z$17,K$22+1)</f>
        <v>1.19072909190695</v>
      </c>
      <c r="L275" s="127" t="n">
        <f aca="false">VLOOKUP($B275,$C$6:$Z$17,L$22+1)</f>
        <v>1.26057331025457</v>
      </c>
      <c r="M275" s="127" t="n">
        <f aca="false">VLOOKUP($B275,$C$6:$Z$17,M$22+1)</f>
        <v>1.24301093426774</v>
      </c>
      <c r="N275" s="127" t="n">
        <f aca="false">VLOOKUP($B275,$C$6:$Z$17,N$22+1)</f>
        <v>1.21504622788872</v>
      </c>
      <c r="O275" s="127" t="n">
        <f aca="false">VLOOKUP($B275,$C$6:$Z$17,O$22+1)</f>
        <v>0</v>
      </c>
      <c r="P275" s="127" t="n">
        <f aca="false">VLOOKUP($B275,$C$6:$Z$17,P$22+1)</f>
        <v>0</v>
      </c>
      <c r="Q275" s="127" t="n">
        <f aca="false">VLOOKUP($B275,$C$6:$Z$17,Q$22+1)</f>
        <v>0</v>
      </c>
      <c r="R275" s="127" t="n">
        <f aca="false">VLOOKUP($B275,$C$6:$Z$17,R$22+1)</f>
        <v>0</v>
      </c>
      <c r="S275" s="127" t="n">
        <f aca="false">VLOOKUP($B275,$C$6:$Z$17,S$22+1)</f>
        <v>0</v>
      </c>
      <c r="T275" s="127" t="n">
        <f aca="false">VLOOKUP($B275,$C$6:$Z$17,T$22+1)</f>
        <v>0</v>
      </c>
      <c r="U275" s="127" t="n">
        <f aca="false">VLOOKUP($B275,$C$6:$AB$17,T$22+3)-SUM(E275:T275)</f>
        <v>0</v>
      </c>
      <c r="W275" s="128" t="n">
        <f aca="false">$D275*E275</f>
        <v>0</v>
      </c>
      <c r="X275" s="128" t="n">
        <f aca="false">$D275*F275</f>
        <v>0</v>
      </c>
      <c r="Y275" s="128" t="n">
        <f aca="false">$D275*G275</f>
        <v>0</v>
      </c>
      <c r="Z275" s="128" t="n">
        <f aca="false">$D275*H275</f>
        <v>0</v>
      </c>
      <c r="AA275" s="128" t="n">
        <f aca="false">$D275*I275</f>
        <v>0</v>
      </c>
      <c r="AB275" s="128" t="n">
        <f aca="false">$D275*J275</f>
        <v>0</v>
      </c>
      <c r="AC275" s="128" t="n">
        <f aca="false">$D275*K275</f>
        <v>133.302118205167</v>
      </c>
      <c r="AD275" s="128" t="n">
        <f aca="false">$D275*L275</f>
        <v>141.121178236035</v>
      </c>
      <c r="AE275" s="128" t="n">
        <f aca="false">$D275*M275</f>
        <v>139.155070297905</v>
      </c>
      <c r="AF275" s="128" t="n">
        <f aca="false">$D275*N275</f>
        <v>136.024421504115</v>
      </c>
      <c r="AG275" s="128" t="n">
        <f aca="false">$D275*O275</f>
        <v>0</v>
      </c>
      <c r="AH275" s="128" t="n">
        <f aca="false">$D275*P275</f>
        <v>0</v>
      </c>
      <c r="AI275" s="128" t="n">
        <f aca="false">$D275*Q275</f>
        <v>0</v>
      </c>
      <c r="AJ275" s="128" t="n">
        <f aca="false">$D275*R275</f>
        <v>0</v>
      </c>
      <c r="AK275" s="128" t="n">
        <f aca="false">$D275*S275</f>
        <v>0</v>
      </c>
      <c r="AL275" s="128" t="n">
        <f aca="false">$D275*T275</f>
        <v>0</v>
      </c>
      <c r="AN275" s="145" t="n">
        <f aca="false">SUM(W275:AL275)/4</f>
        <v>137.400697060805</v>
      </c>
      <c r="AO275" s="146" t="n">
        <f aca="false">D275</f>
        <v>111.949996948242</v>
      </c>
    </row>
    <row r="276" customFormat="false" ht="16.5" hidden="false" customHeight="false" outlineLevel="0" collapsed="false">
      <c r="W276" s="63"/>
    </row>
    <row r="277" customFormat="false" ht="16.5" hidden="false" customHeight="false" outlineLevel="0" collapsed="false">
      <c r="W277" s="63"/>
    </row>
    <row r="278" customFormat="false" ht="12.75" hidden="false" customHeight="false" outlineLevel="0" collapsed="false">
      <c r="A278" s="147"/>
      <c r="B278" s="147"/>
      <c r="C278" s="147" t="n">
        <v>1</v>
      </c>
      <c r="D278" s="147" t="n">
        <f aca="false">C278+1</f>
        <v>2</v>
      </c>
      <c r="E278" s="147" t="n">
        <f aca="false">D278+1</f>
        <v>3</v>
      </c>
      <c r="F278" s="147" t="n">
        <f aca="false">E278+1</f>
        <v>4</v>
      </c>
      <c r="G278" s="147" t="n">
        <f aca="false">F278+1</f>
        <v>5</v>
      </c>
      <c r="H278" s="147" t="n">
        <f aca="false">G278+1</f>
        <v>6</v>
      </c>
      <c r="I278" s="147" t="n">
        <f aca="false">H278+1</f>
        <v>7</v>
      </c>
      <c r="J278" s="147" t="n">
        <f aca="false">I278+1</f>
        <v>8</v>
      </c>
      <c r="K278" s="147" t="n">
        <f aca="false">J278+1</f>
        <v>9</v>
      </c>
      <c r="L278" s="147" t="n">
        <f aca="false">K278+1</f>
        <v>10</v>
      </c>
      <c r="M278" s="147" t="n">
        <f aca="false">L278+1</f>
        <v>11</v>
      </c>
      <c r="N278" s="147" t="n">
        <f aca="false">M278+1</f>
        <v>12</v>
      </c>
      <c r="O278" s="147" t="n">
        <f aca="false">N278+1</f>
        <v>13</v>
      </c>
      <c r="P278" s="147" t="n">
        <f aca="false">O278+1</f>
        <v>14</v>
      </c>
      <c r="Q278" s="147" t="n">
        <f aca="false">P278+1</f>
        <v>15</v>
      </c>
      <c r="R278" s="147" t="n">
        <f aca="false">Q278+1</f>
        <v>16</v>
      </c>
      <c r="S278" s="147" t="n">
        <f aca="false">R278+1</f>
        <v>17</v>
      </c>
      <c r="T278" s="147" t="n">
        <f aca="false">S278+1</f>
        <v>18</v>
      </c>
      <c r="U278" s="147" t="n">
        <f aca="false">T278+1</f>
        <v>19</v>
      </c>
      <c r="V278" s="147" t="n">
        <f aca="false">U278+1</f>
        <v>20</v>
      </c>
      <c r="W278" s="147" t="n">
        <f aca="false">V278+1</f>
        <v>21</v>
      </c>
      <c r="X278" s="147" t="n">
        <f aca="false">W278+1</f>
        <v>22</v>
      </c>
      <c r="Y278" s="147" t="n">
        <f aca="false">X278+1</f>
        <v>23</v>
      </c>
      <c r="Z278" s="147" t="n">
        <f aca="false">Y278+1</f>
        <v>24</v>
      </c>
      <c r="AA278" s="147" t="n">
        <f aca="false">Z278+1</f>
        <v>25</v>
      </c>
      <c r="AB278" s="147" t="n">
        <f aca="false">AA278+1</f>
        <v>26</v>
      </c>
      <c r="AC278" s="147" t="n">
        <f aca="false">AB278+1</f>
        <v>27</v>
      </c>
      <c r="AD278" s="147" t="n">
        <f aca="false">AC278+1</f>
        <v>28</v>
      </c>
      <c r="AE278" s="147" t="n">
        <f aca="false">AD278+1</f>
        <v>29</v>
      </c>
      <c r="AF278" s="147" t="n">
        <f aca="false">AE278+1</f>
        <v>30</v>
      </c>
      <c r="AG278" s="147" t="n">
        <f aca="false">AF278+1</f>
        <v>31</v>
      </c>
      <c r="AH278" s="147" t="n">
        <f aca="false">AG278+1</f>
        <v>32</v>
      </c>
      <c r="AI278" s="147" t="n">
        <f aca="false">AH278+1</f>
        <v>33</v>
      </c>
      <c r="AJ278" s="147" t="n">
        <f aca="false">AI278+1</f>
        <v>34</v>
      </c>
      <c r="AK278" s="147" t="n">
        <f aca="false">AJ278+1</f>
        <v>35</v>
      </c>
      <c r="AL278" s="147" t="n">
        <f aca="false">AK278+1</f>
        <v>36</v>
      </c>
      <c r="AM278" s="147" t="n">
        <f aca="false">AL278+1</f>
        <v>37</v>
      </c>
      <c r="AN278" s="147" t="n">
        <f aca="false">AM278+1</f>
        <v>38</v>
      </c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7"/>
      <c r="BN278" s="147"/>
      <c r="BO278" s="147"/>
      <c r="BP278" s="147"/>
      <c r="BQ278" s="147"/>
      <c r="BR278" s="147"/>
      <c r="BS278" s="147"/>
      <c r="BT278" s="147"/>
      <c r="BU278" s="147"/>
      <c r="BV278" s="147"/>
      <c r="BW278" s="147"/>
      <c r="BX278" s="147"/>
      <c r="BY278" s="147"/>
      <c r="BZ278" s="147"/>
      <c r="CA278" s="147"/>
      <c r="CB278" s="147"/>
      <c r="CC278" s="147"/>
      <c r="CD278" s="147"/>
      <c r="CE278" s="147"/>
      <c r="CF278" s="147"/>
      <c r="CG278" s="147"/>
      <c r="CH278" s="147"/>
      <c r="CI278" s="147"/>
      <c r="CJ278" s="147"/>
      <c r="CK278" s="147"/>
      <c r="CL278" s="147"/>
      <c r="CM278" s="147"/>
      <c r="CN278" s="147"/>
      <c r="CO278" s="147"/>
      <c r="CP278" s="147"/>
      <c r="CQ278" s="147"/>
      <c r="CR278" s="147"/>
      <c r="CS278" s="147"/>
      <c r="CT278" s="147"/>
      <c r="CU278" s="147"/>
      <c r="CV278" s="147"/>
      <c r="CW278" s="147"/>
      <c r="CX278" s="147"/>
      <c r="CY278" s="147"/>
      <c r="CZ278" s="147"/>
      <c r="DA278" s="147"/>
      <c r="DB278" s="147"/>
      <c r="DC278" s="147"/>
      <c r="DD278" s="147"/>
      <c r="DE278" s="147"/>
      <c r="DF278" s="147"/>
      <c r="DG278" s="147"/>
      <c r="DH278" s="147"/>
      <c r="DI278" s="147"/>
      <c r="DJ278" s="147"/>
      <c r="DK278" s="147"/>
      <c r="DL278" s="147"/>
      <c r="DM278" s="147"/>
      <c r="DN278" s="147"/>
      <c r="DO278" s="147"/>
      <c r="DP278" s="147"/>
      <c r="DQ278" s="147"/>
      <c r="DR278" s="147"/>
      <c r="DS278" s="147"/>
      <c r="DT278" s="147"/>
      <c r="DU278" s="147"/>
      <c r="DV278" s="147"/>
      <c r="DW278" s="147"/>
      <c r="DX278" s="147"/>
      <c r="DY278" s="147"/>
      <c r="DZ278" s="147"/>
      <c r="EA278" s="147"/>
      <c r="EB278" s="147"/>
      <c r="EC278" s="147"/>
      <c r="ED278" s="147"/>
      <c r="EE278" s="147"/>
      <c r="EF278" s="147"/>
      <c r="EG278" s="147"/>
      <c r="EH278" s="147"/>
      <c r="EI278" s="147"/>
      <c r="EJ278" s="147"/>
      <c r="EK278" s="147"/>
      <c r="EL278" s="147"/>
      <c r="EM278" s="147"/>
      <c r="EN278" s="147"/>
      <c r="EO278" s="147"/>
      <c r="EP278" s="147"/>
      <c r="EQ278" s="147"/>
      <c r="ER278" s="147"/>
      <c r="ES278" s="147"/>
      <c r="ET278" s="147"/>
      <c r="EU278" s="147"/>
      <c r="EV278" s="147"/>
      <c r="EW278" s="147"/>
      <c r="EX278" s="147"/>
      <c r="EY278" s="147"/>
      <c r="EZ278" s="147"/>
      <c r="FA278" s="147"/>
      <c r="FB278" s="147"/>
      <c r="FC278" s="147"/>
      <c r="FD278" s="147"/>
      <c r="FE278" s="147"/>
      <c r="FF278" s="147"/>
      <c r="FG278" s="147"/>
      <c r="FH278" s="147"/>
      <c r="FI278" s="147"/>
      <c r="FJ278" s="147"/>
      <c r="FK278" s="147"/>
      <c r="FL278" s="147"/>
      <c r="FM278" s="147"/>
      <c r="FN278" s="147"/>
      <c r="FO278" s="147"/>
      <c r="FP278" s="147"/>
      <c r="FQ278" s="147"/>
      <c r="FR278" s="147"/>
      <c r="FS278" s="147"/>
      <c r="FT278" s="147"/>
      <c r="FU278" s="147"/>
      <c r="FV278" s="147"/>
      <c r="FW278" s="147"/>
      <c r="FX278" s="147"/>
      <c r="FY278" s="147"/>
      <c r="FZ278" s="147"/>
      <c r="GA278" s="147"/>
      <c r="GB278" s="147"/>
      <c r="GC278" s="147"/>
      <c r="GD278" s="147"/>
      <c r="GE278" s="147"/>
      <c r="GF278" s="147"/>
      <c r="GG278" s="147"/>
      <c r="GH278" s="147"/>
      <c r="GI278" s="147"/>
      <c r="GJ278" s="147"/>
      <c r="GK278" s="147"/>
      <c r="GL278" s="147"/>
      <c r="GM278" s="147"/>
      <c r="GN278" s="147"/>
      <c r="GO278" s="147"/>
      <c r="GP278" s="147"/>
      <c r="GQ278" s="147"/>
      <c r="GR278" s="147"/>
      <c r="GS278" s="147"/>
      <c r="GT278" s="147"/>
      <c r="GU278" s="147"/>
      <c r="GV278" s="147"/>
      <c r="GW278" s="147"/>
      <c r="GX278" s="147"/>
      <c r="GY278" s="147"/>
      <c r="GZ278" s="147"/>
      <c r="HA278" s="147"/>
      <c r="HB278" s="147"/>
      <c r="HC278" s="147"/>
      <c r="HD278" s="147"/>
      <c r="HE278" s="147"/>
      <c r="HF278" s="147"/>
      <c r="HG278" s="147"/>
      <c r="HH278" s="147"/>
      <c r="HI278" s="147"/>
      <c r="HJ278" s="147"/>
      <c r="HK278" s="147"/>
      <c r="HL278" s="147"/>
      <c r="HM278" s="147"/>
      <c r="HN278" s="147"/>
      <c r="HO278" s="147"/>
      <c r="HP278" s="147"/>
      <c r="HQ278" s="147"/>
      <c r="HR278" s="147"/>
      <c r="HS278" s="147"/>
      <c r="HT278" s="147"/>
      <c r="HU278" s="147"/>
      <c r="HV278" s="147"/>
      <c r="HW278" s="147"/>
      <c r="HX278" s="147"/>
      <c r="HY278" s="147"/>
      <c r="HZ278" s="147"/>
      <c r="IA278" s="147"/>
      <c r="IB278" s="147"/>
      <c r="IC278" s="147"/>
      <c r="ID278" s="147"/>
      <c r="IE278" s="147"/>
      <c r="IF278" s="147"/>
      <c r="IG278" s="147"/>
      <c r="IH278" s="147"/>
      <c r="II278" s="147"/>
      <c r="IJ278" s="147"/>
      <c r="IK278" s="147"/>
      <c r="IL278" s="147"/>
      <c r="IM278" s="147"/>
      <c r="IN278" s="147"/>
      <c r="IO278" s="147"/>
      <c r="IP278" s="147"/>
      <c r="IQ278" s="147"/>
      <c r="IR278" s="147"/>
      <c r="IS278" s="147"/>
      <c r="IT278" s="147"/>
      <c r="IU278" s="147"/>
      <c r="IV278" s="147"/>
      <c r="IW278" s="147"/>
    </row>
    <row r="279" customFormat="false" ht="16.5" hidden="false" customHeight="false" outlineLevel="0" collapsed="false">
      <c r="W279" s="63"/>
    </row>
    <row r="280" customFormat="false" ht="16.5" hidden="false" customHeight="false" outlineLevel="0" collapsed="false">
      <c r="W280" s="63"/>
    </row>
    <row r="281" customFormat="false" ht="16.5" hidden="false" customHeight="false" outlineLevel="0" collapsed="false">
      <c r="W281" s="63"/>
    </row>
    <row r="282" customFormat="false" ht="16.5" hidden="false" customHeight="false" outlineLevel="0" collapsed="false">
      <c r="W282" s="63"/>
    </row>
    <row r="283" customFormat="false" ht="16.5" hidden="false" customHeight="false" outlineLevel="0" collapsed="false">
      <c r="W283" s="63"/>
    </row>
    <row r="284" customFormat="false" ht="16.5" hidden="false" customHeight="false" outlineLevel="0" collapsed="false">
      <c r="W284" s="63"/>
    </row>
    <row r="285" customFormat="false" ht="16.5" hidden="false" customHeight="false" outlineLevel="0" collapsed="false">
      <c r="W285" s="63"/>
    </row>
    <row r="286" customFormat="false" ht="16.5" hidden="false" customHeight="false" outlineLevel="0" collapsed="false">
      <c r="W286" s="63"/>
    </row>
    <row r="287" customFormat="false" ht="16.5" hidden="false" customHeight="false" outlineLevel="0" collapsed="false">
      <c r="W287" s="63"/>
    </row>
    <row r="288" customFormat="false" ht="16.5" hidden="false" customHeight="false" outlineLevel="0" collapsed="false">
      <c r="W288" s="63"/>
    </row>
    <row r="289" customFormat="false" ht="16.5" hidden="false" customHeight="false" outlineLevel="0" collapsed="false">
      <c r="W289" s="63"/>
    </row>
    <row r="290" customFormat="false" ht="16.5" hidden="false" customHeight="false" outlineLevel="0" collapsed="false">
      <c r="W290" s="63"/>
    </row>
    <row r="291" customFormat="false" ht="16.5" hidden="false" customHeight="false" outlineLevel="0" collapsed="false">
      <c r="W291" s="63"/>
    </row>
    <row r="292" customFormat="false" ht="16.5" hidden="false" customHeight="false" outlineLevel="0" collapsed="false">
      <c r="W292" s="63"/>
    </row>
    <row r="293" customFormat="false" ht="16.5" hidden="false" customHeight="false" outlineLevel="0" collapsed="false">
      <c r="W293" s="63"/>
    </row>
    <row r="294" customFormat="false" ht="16.5" hidden="false" customHeight="false" outlineLevel="0" collapsed="false">
      <c r="W294" s="63"/>
    </row>
    <row r="295" customFormat="false" ht="16.5" hidden="false" customHeight="false" outlineLevel="0" collapsed="false">
      <c r="W295" s="63"/>
    </row>
    <row r="307" customFormat="false" ht="16.5" hidden="false" customHeight="false" outlineLevel="0" collapsed="false">
      <c r="C307" s="125"/>
    </row>
    <row r="308" customFormat="false" ht="16.5" hidden="false" customHeight="false" outlineLevel="0" collapsed="false">
      <c r="C308" s="125"/>
    </row>
    <row r="309" customFormat="false" ht="16.5" hidden="false" customHeight="false" outlineLevel="0" collapsed="false">
      <c r="C309" s="125"/>
    </row>
    <row r="310" customFormat="false" ht="16.5" hidden="false" customHeight="false" outlineLevel="0" collapsed="false">
      <c r="C310" s="125"/>
    </row>
    <row r="311" customFormat="false" ht="16.5" hidden="false" customHeight="false" outlineLevel="0" collapsed="false">
      <c r="C311" s="125"/>
    </row>
    <row r="312" customFormat="false" ht="16.5" hidden="false" customHeight="false" outlineLevel="0" collapsed="false">
      <c r="C312" s="125"/>
    </row>
    <row r="313" customFormat="false" ht="16.5" hidden="false" customHeight="false" outlineLevel="0" collapsed="false">
      <c r="C313" s="125"/>
    </row>
    <row r="314" customFormat="false" ht="16.5" hidden="false" customHeight="false" outlineLevel="0" collapsed="false">
      <c r="C314" s="125"/>
    </row>
    <row r="315" customFormat="false" ht="16.5" hidden="false" customHeight="false" outlineLevel="0" collapsed="false">
      <c r="C315" s="125"/>
    </row>
    <row r="316" customFormat="false" ht="16.5" hidden="false" customHeight="false" outlineLevel="0" collapsed="false">
      <c r="C316" s="125"/>
    </row>
    <row r="317" customFormat="false" ht="16.5" hidden="false" customHeight="false" outlineLevel="0" collapsed="false">
      <c r="C317" s="125"/>
    </row>
    <row r="318" customFormat="false" ht="16.5" hidden="false" customHeight="false" outlineLevel="0" collapsed="false">
      <c r="C318" s="125"/>
    </row>
    <row r="319" customFormat="false" ht="16.5" hidden="false" customHeight="false" outlineLevel="0" collapsed="false">
      <c r="C319" s="125"/>
    </row>
    <row r="320" customFormat="false" ht="16.5" hidden="false" customHeight="false" outlineLevel="0" collapsed="false">
      <c r="C320" s="125"/>
    </row>
    <row r="321" customFormat="false" ht="16.5" hidden="false" customHeight="false" outlineLevel="0" collapsed="false">
      <c r="C321" s="125"/>
    </row>
    <row r="322" customFormat="false" ht="16.5" hidden="false" customHeight="false" outlineLevel="0" collapsed="false">
      <c r="C322" s="125"/>
    </row>
    <row r="323" customFormat="false" ht="16.5" hidden="false" customHeight="false" outlineLevel="0" collapsed="false">
      <c r="C323" s="125"/>
    </row>
    <row r="324" customFormat="false" ht="16.5" hidden="false" customHeight="false" outlineLevel="0" collapsed="false">
      <c r="C324" s="125"/>
    </row>
    <row r="325" customFormat="false" ht="16.5" hidden="false" customHeight="false" outlineLevel="0" collapsed="false">
      <c r="C325" s="125"/>
    </row>
    <row r="326" customFormat="false" ht="16.5" hidden="false" customHeight="false" outlineLevel="0" collapsed="false">
      <c r="C326" s="125"/>
    </row>
    <row r="327" customFormat="false" ht="16.5" hidden="false" customHeight="false" outlineLevel="0" collapsed="false">
      <c r="C327" s="125"/>
    </row>
    <row r="328" customFormat="false" ht="16.5" hidden="false" customHeight="false" outlineLevel="0" collapsed="false">
      <c r="C328" s="125"/>
    </row>
    <row r="329" customFormat="false" ht="16.5" hidden="false" customHeight="false" outlineLevel="0" collapsed="false">
      <c r="C329" s="125"/>
    </row>
    <row r="330" customFormat="false" ht="16.5" hidden="false" customHeight="false" outlineLevel="0" collapsed="false">
      <c r="C330" s="125"/>
    </row>
    <row r="331" customFormat="false" ht="16.5" hidden="false" customHeight="false" outlineLevel="0" collapsed="false">
      <c r="C331" s="125"/>
    </row>
    <row r="332" customFormat="false" ht="16.5" hidden="false" customHeight="false" outlineLevel="0" collapsed="false">
      <c r="C332" s="125"/>
    </row>
    <row r="333" customFormat="false" ht="16.5" hidden="false" customHeight="false" outlineLevel="0" collapsed="false">
      <c r="C333" s="125"/>
    </row>
    <row r="334" customFormat="false" ht="16.5" hidden="false" customHeight="false" outlineLevel="0" collapsed="false">
      <c r="C334" s="125"/>
    </row>
    <row r="335" customFormat="false" ht="16.5" hidden="false" customHeight="false" outlineLevel="0" collapsed="false">
      <c r="C335" s="125"/>
    </row>
    <row r="336" customFormat="false" ht="16.5" hidden="false" customHeight="false" outlineLevel="0" collapsed="false">
      <c r="C336" s="125"/>
    </row>
    <row r="337" customFormat="false" ht="16.5" hidden="false" customHeight="false" outlineLevel="0" collapsed="false">
      <c r="C337" s="125"/>
    </row>
    <row r="338" customFormat="false" ht="16.5" hidden="false" customHeight="false" outlineLevel="0" collapsed="false">
      <c r="C338" s="125"/>
    </row>
    <row r="339" customFormat="false" ht="16.5" hidden="false" customHeight="false" outlineLevel="0" collapsed="false">
      <c r="C339" s="125"/>
    </row>
    <row r="340" customFormat="false" ht="16.5" hidden="false" customHeight="false" outlineLevel="0" collapsed="false">
      <c r="C340" s="125"/>
    </row>
    <row r="341" customFormat="false" ht="16.5" hidden="false" customHeight="false" outlineLevel="0" collapsed="false">
      <c r="C341" s="125"/>
    </row>
    <row r="342" customFormat="false" ht="16.5" hidden="false" customHeight="false" outlineLevel="0" collapsed="false">
      <c r="C342" s="125"/>
    </row>
    <row r="343" customFormat="false" ht="16.5" hidden="false" customHeight="false" outlineLevel="0" collapsed="false">
      <c r="C343" s="125"/>
    </row>
    <row r="344" customFormat="false" ht="16.5" hidden="false" customHeight="false" outlineLevel="0" collapsed="false">
      <c r="C344" s="125"/>
    </row>
    <row r="345" customFormat="false" ht="16.5" hidden="false" customHeight="false" outlineLevel="0" collapsed="false">
      <c r="C345" s="125"/>
    </row>
    <row r="346" customFormat="false" ht="16.5" hidden="false" customHeight="false" outlineLevel="0" collapsed="false">
      <c r="C346" s="125"/>
    </row>
    <row r="347" customFormat="false" ht="16.5" hidden="false" customHeight="false" outlineLevel="0" collapsed="false">
      <c r="C347" s="125"/>
    </row>
    <row r="348" customFormat="false" ht="16.5" hidden="false" customHeight="false" outlineLevel="0" collapsed="false">
      <c r="C348" s="125"/>
    </row>
    <row r="349" customFormat="false" ht="16.5" hidden="false" customHeight="false" outlineLevel="0" collapsed="false">
      <c r="C349" s="125"/>
    </row>
    <row r="350" customFormat="false" ht="16.5" hidden="false" customHeight="false" outlineLevel="0" collapsed="false">
      <c r="C350" s="125"/>
    </row>
    <row r="351" customFormat="false" ht="16.5" hidden="false" customHeight="false" outlineLevel="0" collapsed="false">
      <c r="C351" s="125"/>
    </row>
    <row r="352" customFormat="false" ht="16.5" hidden="false" customHeight="false" outlineLevel="0" collapsed="false">
      <c r="C352" s="125"/>
    </row>
    <row r="353" customFormat="false" ht="16.5" hidden="false" customHeight="false" outlineLevel="0" collapsed="false">
      <c r="C353" s="125"/>
    </row>
    <row r="354" customFormat="false" ht="16.5" hidden="false" customHeight="false" outlineLevel="0" collapsed="false">
      <c r="C354" s="125"/>
    </row>
    <row r="355" customFormat="false" ht="16.5" hidden="false" customHeight="false" outlineLevel="0" collapsed="false">
      <c r="C355" s="125"/>
    </row>
    <row r="356" customFormat="false" ht="16.5" hidden="false" customHeight="false" outlineLevel="0" collapsed="false">
      <c r="C356" s="125"/>
    </row>
    <row r="357" customFormat="false" ht="16.5" hidden="false" customHeight="false" outlineLevel="0" collapsed="false">
      <c r="C357" s="125"/>
    </row>
    <row r="358" customFormat="false" ht="16.5" hidden="false" customHeight="false" outlineLevel="0" collapsed="false">
      <c r="C358" s="125"/>
    </row>
    <row r="359" customFormat="false" ht="16.5" hidden="false" customHeight="false" outlineLevel="0" collapsed="false">
      <c r="C359" s="125"/>
    </row>
    <row r="360" customFormat="false" ht="16.5" hidden="false" customHeight="false" outlineLevel="0" collapsed="false">
      <c r="C360" s="125"/>
    </row>
    <row r="361" customFormat="false" ht="16.5" hidden="false" customHeight="false" outlineLevel="0" collapsed="false">
      <c r="C361" s="125"/>
    </row>
    <row r="362" customFormat="false" ht="16.5" hidden="false" customHeight="false" outlineLevel="0" collapsed="false">
      <c r="C362" s="125"/>
    </row>
    <row r="363" customFormat="false" ht="16.5" hidden="false" customHeight="false" outlineLevel="0" collapsed="false">
      <c r="C363" s="125"/>
    </row>
    <row r="364" customFormat="false" ht="16.5" hidden="false" customHeight="false" outlineLevel="0" collapsed="false">
      <c r="C364" s="125"/>
    </row>
    <row r="365" customFormat="false" ht="16.5" hidden="false" customHeight="false" outlineLevel="0" collapsed="false">
      <c r="C365" s="125"/>
    </row>
    <row r="366" customFormat="false" ht="16.5" hidden="false" customHeight="false" outlineLevel="0" collapsed="false">
      <c r="C366" s="125"/>
    </row>
    <row r="367" customFormat="false" ht="16.5" hidden="false" customHeight="false" outlineLevel="0" collapsed="false">
      <c r="C367" s="125"/>
    </row>
    <row r="368" customFormat="false" ht="16.5" hidden="false" customHeight="false" outlineLevel="0" collapsed="false">
      <c r="C368" s="125"/>
    </row>
    <row r="369" customFormat="false" ht="16.5" hidden="false" customHeight="false" outlineLevel="0" collapsed="false">
      <c r="C369" s="125"/>
    </row>
    <row r="370" customFormat="false" ht="16.5" hidden="false" customHeight="false" outlineLevel="0" collapsed="false">
      <c r="C370" s="125"/>
    </row>
    <row r="371" customFormat="false" ht="16.5" hidden="false" customHeight="false" outlineLevel="0" collapsed="false">
      <c r="C371" s="125"/>
    </row>
    <row r="372" customFormat="false" ht="16.5" hidden="false" customHeight="false" outlineLevel="0" collapsed="false">
      <c r="C372" s="125"/>
    </row>
    <row r="373" customFormat="false" ht="16.5" hidden="false" customHeight="false" outlineLevel="0" collapsed="false">
      <c r="C373" s="125"/>
    </row>
    <row r="374" customFormat="false" ht="16.5" hidden="false" customHeight="false" outlineLevel="0" collapsed="false">
      <c r="C374" s="125"/>
    </row>
    <row r="375" customFormat="false" ht="16.5" hidden="false" customHeight="false" outlineLevel="0" collapsed="false">
      <c r="C375" s="125"/>
    </row>
    <row r="376" customFormat="false" ht="16.5" hidden="false" customHeight="false" outlineLevel="0" collapsed="false">
      <c r="C376" s="125"/>
    </row>
    <row r="377" customFormat="false" ht="16.5" hidden="false" customHeight="false" outlineLevel="0" collapsed="false">
      <c r="C377" s="125"/>
    </row>
    <row r="378" customFormat="false" ht="16.5" hidden="false" customHeight="false" outlineLevel="0" collapsed="false">
      <c r="C378" s="125"/>
    </row>
    <row r="379" customFormat="false" ht="16.5" hidden="false" customHeight="false" outlineLevel="0" collapsed="false">
      <c r="C379" s="125"/>
    </row>
    <row r="380" customFormat="false" ht="16.5" hidden="false" customHeight="false" outlineLevel="0" collapsed="false">
      <c r="C380" s="125"/>
    </row>
    <row r="381" customFormat="false" ht="16.5" hidden="false" customHeight="false" outlineLevel="0" collapsed="false">
      <c r="C381" s="125"/>
    </row>
    <row r="382" customFormat="false" ht="16.5" hidden="false" customHeight="false" outlineLevel="0" collapsed="false">
      <c r="C382" s="125"/>
    </row>
    <row r="383" customFormat="false" ht="16.5" hidden="false" customHeight="false" outlineLevel="0" collapsed="false">
      <c r="C383" s="125"/>
    </row>
    <row r="384" customFormat="false" ht="16.5" hidden="false" customHeight="false" outlineLevel="0" collapsed="false">
      <c r="C384" s="125"/>
    </row>
    <row r="385" customFormat="false" ht="16.5" hidden="false" customHeight="false" outlineLevel="0" collapsed="false">
      <c r="C385" s="125"/>
    </row>
    <row r="386" customFormat="false" ht="16.5" hidden="false" customHeight="false" outlineLevel="0" collapsed="false">
      <c r="C386" s="125"/>
    </row>
    <row r="387" customFormat="false" ht="16.5" hidden="false" customHeight="false" outlineLevel="0" collapsed="false">
      <c r="C387" s="125"/>
    </row>
    <row r="388" customFormat="false" ht="16.5" hidden="false" customHeight="false" outlineLevel="0" collapsed="false">
      <c r="C388" s="125"/>
    </row>
    <row r="389" customFormat="false" ht="16.5" hidden="false" customHeight="false" outlineLevel="0" collapsed="false">
      <c r="C389" s="125"/>
    </row>
    <row r="390" customFormat="false" ht="16.5" hidden="false" customHeight="false" outlineLevel="0" collapsed="false">
      <c r="C390" s="125"/>
    </row>
    <row r="391" customFormat="false" ht="16.5" hidden="false" customHeight="false" outlineLevel="0" collapsed="false">
      <c r="C391" s="125"/>
    </row>
    <row r="392" customFormat="false" ht="16.5" hidden="false" customHeight="false" outlineLevel="0" collapsed="false">
      <c r="C392" s="125"/>
    </row>
    <row r="393" customFormat="false" ht="16.5" hidden="false" customHeight="false" outlineLevel="0" collapsed="false">
      <c r="C393" s="125"/>
    </row>
    <row r="394" customFormat="false" ht="16.5" hidden="false" customHeight="false" outlineLevel="0" collapsed="false">
      <c r="C394" s="125"/>
    </row>
    <row r="395" customFormat="false" ht="16.5" hidden="false" customHeight="false" outlineLevel="0" collapsed="false">
      <c r="C395" s="125"/>
    </row>
    <row r="396" customFormat="false" ht="16.5" hidden="false" customHeight="false" outlineLevel="0" collapsed="false">
      <c r="C396" s="125"/>
    </row>
    <row r="397" customFormat="false" ht="16.5" hidden="false" customHeight="false" outlineLevel="0" collapsed="false">
      <c r="C397" s="125"/>
    </row>
    <row r="398" customFormat="false" ht="16.5" hidden="false" customHeight="false" outlineLevel="0" collapsed="false">
      <c r="C398" s="125"/>
    </row>
    <row r="399" customFormat="false" ht="16.5" hidden="false" customHeight="false" outlineLevel="0" collapsed="false">
      <c r="C399" s="125"/>
    </row>
    <row r="400" customFormat="false" ht="16.5" hidden="false" customHeight="false" outlineLevel="0" collapsed="false">
      <c r="C400" s="125"/>
    </row>
    <row r="401" customFormat="false" ht="16.5" hidden="false" customHeight="false" outlineLevel="0" collapsed="false">
      <c r="C401" s="125"/>
    </row>
    <row r="402" customFormat="false" ht="16.5" hidden="false" customHeight="false" outlineLevel="0" collapsed="false">
      <c r="C402" s="125"/>
    </row>
    <row r="403" customFormat="false" ht="16.5" hidden="false" customHeight="false" outlineLevel="0" collapsed="false">
      <c r="C403" s="125"/>
    </row>
    <row r="404" customFormat="false" ht="16.5" hidden="false" customHeight="false" outlineLevel="0" collapsed="false">
      <c r="C404" s="125"/>
    </row>
    <row r="405" customFormat="false" ht="16.5" hidden="false" customHeight="false" outlineLevel="0" collapsed="false">
      <c r="C405" s="125"/>
    </row>
    <row r="406" customFormat="false" ht="16.5" hidden="false" customHeight="false" outlineLevel="0" collapsed="false">
      <c r="C406" s="125"/>
    </row>
    <row r="407" customFormat="false" ht="16.5" hidden="false" customHeight="false" outlineLevel="0" collapsed="false">
      <c r="C407" s="125"/>
    </row>
    <row r="408" customFormat="false" ht="16.5" hidden="false" customHeight="false" outlineLevel="0" collapsed="false">
      <c r="C408" s="125"/>
    </row>
    <row r="409" customFormat="false" ht="16.5" hidden="false" customHeight="false" outlineLevel="0" collapsed="false">
      <c r="C409" s="125"/>
    </row>
    <row r="410" customFormat="false" ht="16.5" hidden="false" customHeight="false" outlineLevel="0" collapsed="false">
      <c r="C410" s="125"/>
    </row>
    <row r="411" customFormat="false" ht="16.5" hidden="false" customHeight="false" outlineLevel="0" collapsed="false">
      <c r="C411" s="125"/>
    </row>
    <row r="412" customFormat="false" ht="16.5" hidden="false" customHeight="false" outlineLevel="0" collapsed="false">
      <c r="C412" s="125"/>
    </row>
    <row r="413" customFormat="false" ht="16.5" hidden="false" customHeight="false" outlineLevel="0" collapsed="false">
      <c r="C413" s="125"/>
    </row>
    <row r="414" customFormat="false" ht="16.5" hidden="false" customHeight="false" outlineLevel="0" collapsed="false">
      <c r="C414" s="125"/>
    </row>
    <row r="415" customFormat="false" ht="16.5" hidden="false" customHeight="false" outlineLevel="0" collapsed="false">
      <c r="C415" s="125"/>
    </row>
    <row r="416" customFormat="false" ht="16.5" hidden="false" customHeight="false" outlineLevel="0" collapsed="false">
      <c r="C416" s="125"/>
    </row>
    <row r="417" customFormat="false" ht="16.5" hidden="false" customHeight="false" outlineLevel="0" collapsed="false">
      <c r="C417" s="125"/>
    </row>
    <row r="418" customFormat="false" ht="16.5" hidden="false" customHeight="false" outlineLevel="0" collapsed="false">
      <c r="C418" s="125"/>
    </row>
    <row r="419" customFormat="false" ht="16.5" hidden="false" customHeight="false" outlineLevel="0" collapsed="false">
      <c r="C419" s="125"/>
    </row>
    <row r="420" customFormat="false" ht="16.5" hidden="false" customHeight="false" outlineLevel="0" collapsed="false">
      <c r="C420" s="125"/>
    </row>
    <row r="421" customFormat="false" ht="16.5" hidden="false" customHeight="false" outlineLevel="0" collapsed="false">
      <c r="C421" s="125"/>
    </row>
    <row r="422" customFormat="false" ht="16.5" hidden="false" customHeight="false" outlineLevel="0" collapsed="false">
      <c r="C422" s="125"/>
    </row>
    <row r="423" customFormat="false" ht="16.5" hidden="false" customHeight="false" outlineLevel="0" collapsed="false">
      <c r="C423" s="125"/>
    </row>
    <row r="424" customFormat="false" ht="16.5" hidden="false" customHeight="false" outlineLevel="0" collapsed="false">
      <c r="C424" s="125"/>
    </row>
    <row r="425" customFormat="false" ht="16.5" hidden="false" customHeight="false" outlineLevel="0" collapsed="false">
      <c r="C425" s="125"/>
    </row>
    <row r="426" customFormat="false" ht="16.5" hidden="false" customHeight="false" outlineLevel="0" collapsed="false">
      <c r="C426" s="125"/>
    </row>
    <row r="427" customFormat="false" ht="16.5" hidden="false" customHeight="false" outlineLevel="0" collapsed="false">
      <c r="C427" s="125"/>
    </row>
    <row r="428" customFormat="false" ht="16.5" hidden="false" customHeight="false" outlineLevel="0" collapsed="false">
      <c r="C428" s="125"/>
    </row>
    <row r="429" customFormat="false" ht="16.5" hidden="false" customHeight="false" outlineLevel="0" collapsed="false">
      <c r="C429" s="125"/>
    </row>
    <row r="430" customFormat="false" ht="16.5" hidden="false" customHeight="false" outlineLevel="0" collapsed="false">
      <c r="C430" s="125"/>
    </row>
    <row r="431" customFormat="false" ht="16.5" hidden="false" customHeight="false" outlineLevel="0" collapsed="false">
      <c r="C431" s="125"/>
    </row>
    <row r="432" customFormat="false" ht="16.5" hidden="false" customHeight="false" outlineLevel="0" collapsed="false">
      <c r="C432" s="125"/>
    </row>
    <row r="433" customFormat="false" ht="16.5" hidden="false" customHeight="false" outlineLevel="0" collapsed="false">
      <c r="C433" s="125"/>
    </row>
    <row r="434" customFormat="false" ht="16.5" hidden="false" customHeight="false" outlineLevel="0" collapsed="false">
      <c r="C434" s="125"/>
    </row>
    <row r="435" customFormat="false" ht="16.5" hidden="false" customHeight="false" outlineLevel="0" collapsed="false">
      <c r="C435" s="125"/>
    </row>
    <row r="436" customFormat="false" ht="16.5" hidden="false" customHeight="false" outlineLevel="0" collapsed="false">
      <c r="C436" s="125"/>
    </row>
    <row r="437" customFormat="false" ht="16.5" hidden="false" customHeight="false" outlineLevel="0" collapsed="false">
      <c r="C437" s="125"/>
    </row>
    <row r="438" customFormat="false" ht="16.5" hidden="false" customHeight="false" outlineLevel="0" collapsed="false">
      <c r="C438" s="125"/>
    </row>
    <row r="439" customFormat="false" ht="16.5" hidden="false" customHeight="false" outlineLevel="0" collapsed="false">
      <c r="C439" s="125"/>
    </row>
    <row r="440" customFormat="false" ht="16.5" hidden="false" customHeight="false" outlineLevel="0" collapsed="false">
      <c r="C440" s="125"/>
    </row>
    <row r="441" customFormat="false" ht="16.5" hidden="false" customHeight="false" outlineLevel="0" collapsed="false">
      <c r="C441" s="125"/>
    </row>
    <row r="442" customFormat="false" ht="16.5" hidden="false" customHeight="false" outlineLevel="0" collapsed="false">
      <c r="C442" s="125"/>
    </row>
    <row r="443" customFormat="false" ht="16.5" hidden="false" customHeight="false" outlineLevel="0" collapsed="false">
      <c r="C443" s="125"/>
    </row>
    <row r="444" customFormat="false" ht="16.5" hidden="false" customHeight="false" outlineLevel="0" collapsed="false">
      <c r="C444" s="125"/>
    </row>
    <row r="445" customFormat="false" ht="16.5" hidden="false" customHeight="false" outlineLevel="0" collapsed="false">
      <c r="C445" s="125"/>
    </row>
    <row r="446" customFormat="false" ht="16.5" hidden="false" customHeight="false" outlineLevel="0" collapsed="false">
      <c r="C446" s="125"/>
    </row>
    <row r="447" customFormat="false" ht="16.5" hidden="false" customHeight="false" outlineLevel="0" collapsed="false">
      <c r="C447" s="125"/>
    </row>
    <row r="448" customFormat="false" ht="16.5" hidden="false" customHeight="false" outlineLevel="0" collapsed="false">
      <c r="C448" s="125"/>
    </row>
    <row r="449" customFormat="false" ht="16.5" hidden="false" customHeight="false" outlineLevel="0" collapsed="false">
      <c r="C449" s="125"/>
    </row>
    <row r="450" customFormat="false" ht="16.5" hidden="false" customHeight="false" outlineLevel="0" collapsed="false">
      <c r="C450" s="125"/>
    </row>
    <row r="451" customFormat="false" ht="16.5" hidden="false" customHeight="false" outlineLevel="0" collapsed="false">
      <c r="C451" s="125"/>
    </row>
    <row r="452" customFormat="false" ht="16.5" hidden="false" customHeight="false" outlineLevel="0" collapsed="false">
      <c r="C452" s="125"/>
    </row>
    <row r="453" customFormat="false" ht="16.5" hidden="false" customHeight="false" outlineLevel="0" collapsed="false">
      <c r="C453" s="125"/>
    </row>
    <row r="454" customFormat="false" ht="16.5" hidden="false" customHeight="false" outlineLevel="0" collapsed="false">
      <c r="C454" s="125"/>
    </row>
    <row r="455" customFormat="false" ht="16.5" hidden="false" customHeight="false" outlineLevel="0" collapsed="false">
      <c r="C455" s="125"/>
    </row>
    <row r="456" customFormat="false" ht="16.5" hidden="false" customHeight="false" outlineLevel="0" collapsed="false">
      <c r="C456" s="125"/>
    </row>
    <row r="457" customFormat="false" ht="16.5" hidden="false" customHeight="false" outlineLevel="0" collapsed="false">
      <c r="C457" s="125"/>
    </row>
    <row r="458" customFormat="false" ht="16.5" hidden="false" customHeight="false" outlineLevel="0" collapsed="false">
      <c r="C458" s="125"/>
    </row>
    <row r="459" customFormat="false" ht="16.5" hidden="false" customHeight="false" outlineLevel="0" collapsed="false">
      <c r="C459" s="125"/>
    </row>
    <row r="460" customFormat="false" ht="16.5" hidden="false" customHeight="false" outlineLevel="0" collapsed="false">
      <c r="C460" s="125"/>
    </row>
    <row r="461" customFormat="false" ht="16.5" hidden="false" customHeight="false" outlineLevel="0" collapsed="false">
      <c r="C461" s="125"/>
    </row>
    <row r="462" customFormat="false" ht="16.5" hidden="false" customHeight="false" outlineLevel="0" collapsed="false">
      <c r="C462" s="125"/>
    </row>
    <row r="463" customFormat="false" ht="16.5" hidden="false" customHeight="false" outlineLevel="0" collapsed="false">
      <c r="C463" s="125"/>
    </row>
    <row r="464" customFormat="false" ht="16.5" hidden="false" customHeight="false" outlineLevel="0" collapsed="false">
      <c r="C464" s="125"/>
    </row>
    <row r="465" customFormat="false" ht="16.5" hidden="false" customHeight="false" outlineLevel="0" collapsed="false">
      <c r="C465" s="125"/>
    </row>
    <row r="466" customFormat="false" ht="16.5" hidden="false" customHeight="false" outlineLevel="0" collapsed="false">
      <c r="C466" s="125"/>
    </row>
    <row r="467" customFormat="false" ht="16.5" hidden="false" customHeight="false" outlineLevel="0" collapsed="false">
      <c r="C467" s="125"/>
    </row>
    <row r="468" customFormat="false" ht="16.5" hidden="false" customHeight="false" outlineLevel="0" collapsed="false">
      <c r="C468" s="125"/>
    </row>
    <row r="469" customFormat="false" ht="16.5" hidden="false" customHeight="false" outlineLevel="0" collapsed="false">
      <c r="C469" s="125"/>
    </row>
    <row r="470" customFormat="false" ht="16.5" hidden="false" customHeight="false" outlineLevel="0" collapsed="false">
      <c r="C470" s="125"/>
    </row>
    <row r="471" customFormat="false" ht="16.5" hidden="false" customHeight="false" outlineLevel="0" collapsed="false">
      <c r="C471" s="125"/>
    </row>
    <row r="472" customFormat="false" ht="16.5" hidden="false" customHeight="false" outlineLevel="0" collapsed="false">
      <c r="C472" s="125"/>
    </row>
    <row r="473" customFormat="false" ht="16.5" hidden="false" customHeight="false" outlineLevel="0" collapsed="false">
      <c r="C473" s="125"/>
    </row>
    <row r="474" customFormat="false" ht="16.5" hidden="false" customHeight="false" outlineLevel="0" collapsed="false">
      <c r="C474" s="125"/>
    </row>
    <row r="475" customFormat="false" ht="16.5" hidden="false" customHeight="false" outlineLevel="0" collapsed="false">
      <c r="C475" s="125"/>
    </row>
    <row r="476" customFormat="false" ht="16.5" hidden="false" customHeight="false" outlineLevel="0" collapsed="false">
      <c r="C476" s="125"/>
    </row>
    <row r="477" customFormat="false" ht="16.5" hidden="false" customHeight="false" outlineLevel="0" collapsed="false">
      <c r="C477" s="125"/>
    </row>
    <row r="478" customFormat="false" ht="16.5" hidden="false" customHeight="false" outlineLevel="0" collapsed="false">
      <c r="C478" s="125"/>
    </row>
    <row r="479" customFormat="false" ht="16.5" hidden="false" customHeight="false" outlineLevel="0" collapsed="false">
      <c r="C479" s="125"/>
    </row>
    <row r="480" customFormat="false" ht="16.5" hidden="false" customHeight="false" outlineLevel="0" collapsed="false">
      <c r="C480" s="125"/>
    </row>
    <row r="481" customFormat="false" ht="16.5" hidden="false" customHeight="false" outlineLevel="0" collapsed="false">
      <c r="C481" s="125"/>
    </row>
    <row r="482" customFormat="false" ht="16.5" hidden="false" customHeight="false" outlineLevel="0" collapsed="false">
      <c r="C482" s="125"/>
    </row>
    <row r="483" customFormat="false" ht="16.5" hidden="false" customHeight="false" outlineLevel="0" collapsed="false">
      <c r="C483" s="125"/>
    </row>
    <row r="484" customFormat="false" ht="16.5" hidden="false" customHeight="false" outlineLevel="0" collapsed="false">
      <c r="C484" s="125"/>
    </row>
    <row r="485" customFormat="false" ht="16.5" hidden="false" customHeight="false" outlineLevel="0" collapsed="false">
      <c r="C485" s="125"/>
    </row>
    <row r="486" customFormat="false" ht="16.5" hidden="false" customHeight="false" outlineLevel="0" collapsed="false">
      <c r="C486" s="125"/>
    </row>
    <row r="487" customFormat="false" ht="16.5" hidden="false" customHeight="false" outlineLevel="0" collapsed="false">
      <c r="C487" s="125"/>
    </row>
    <row r="488" customFormat="false" ht="16.5" hidden="false" customHeight="false" outlineLevel="0" collapsed="false">
      <c r="C488" s="125"/>
    </row>
    <row r="489" customFormat="false" ht="16.5" hidden="false" customHeight="false" outlineLevel="0" collapsed="false">
      <c r="C489" s="125"/>
    </row>
    <row r="490" customFormat="false" ht="16.5" hidden="false" customHeight="false" outlineLevel="0" collapsed="false">
      <c r="C490" s="125"/>
    </row>
    <row r="491" customFormat="false" ht="16.5" hidden="false" customHeight="false" outlineLevel="0" collapsed="false">
      <c r="C491" s="125"/>
    </row>
    <row r="492" customFormat="false" ht="16.5" hidden="false" customHeight="false" outlineLevel="0" collapsed="false">
      <c r="C492" s="125"/>
    </row>
    <row r="493" customFormat="false" ht="16.5" hidden="false" customHeight="false" outlineLevel="0" collapsed="false">
      <c r="C493" s="125"/>
    </row>
    <row r="494" customFormat="false" ht="16.5" hidden="false" customHeight="false" outlineLevel="0" collapsed="false">
      <c r="C494" s="125"/>
    </row>
    <row r="495" customFormat="false" ht="16.5" hidden="false" customHeight="false" outlineLevel="0" collapsed="false">
      <c r="C495" s="125"/>
    </row>
    <row r="496" customFormat="false" ht="16.5" hidden="false" customHeight="false" outlineLevel="0" collapsed="false">
      <c r="C496" s="125"/>
    </row>
    <row r="497" customFormat="false" ht="16.5" hidden="false" customHeight="false" outlineLevel="0" collapsed="false">
      <c r="C497" s="125"/>
    </row>
    <row r="498" customFormat="false" ht="16.5" hidden="false" customHeight="false" outlineLevel="0" collapsed="false">
      <c r="C498" s="125"/>
    </row>
    <row r="499" customFormat="false" ht="16.5" hidden="false" customHeight="false" outlineLevel="0" collapsed="false">
      <c r="C499" s="125"/>
    </row>
    <row r="500" customFormat="false" ht="16.5" hidden="false" customHeight="false" outlineLevel="0" collapsed="false">
      <c r="C500" s="125"/>
    </row>
    <row r="501" customFormat="false" ht="16.5" hidden="false" customHeight="false" outlineLevel="0" collapsed="false">
      <c r="C501" s="125"/>
    </row>
    <row r="502" customFormat="false" ht="16.5" hidden="false" customHeight="false" outlineLevel="0" collapsed="false">
      <c r="C502" s="125"/>
    </row>
    <row r="503" customFormat="false" ht="16.5" hidden="false" customHeight="false" outlineLevel="0" collapsed="false">
      <c r="C503" s="125"/>
    </row>
    <row r="504" customFormat="false" ht="16.5" hidden="false" customHeight="false" outlineLevel="0" collapsed="false">
      <c r="C504" s="125"/>
    </row>
    <row r="505" customFormat="false" ht="16.5" hidden="false" customHeight="false" outlineLevel="0" collapsed="false">
      <c r="C505" s="125"/>
    </row>
    <row r="506" customFormat="false" ht="16.5" hidden="false" customHeight="false" outlineLevel="0" collapsed="false">
      <c r="C506" s="125"/>
    </row>
    <row r="507" customFormat="false" ht="16.5" hidden="false" customHeight="false" outlineLevel="0" collapsed="false">
      <c r="C507" s="125"/>
    </row>
    <row r="508" customFormat="false" ht="16.5" hidden="false" customHeight="false" outlineLevel="0" collapsed="false">
      <c r="C508" s="125"/>
    </row>
    <row r="509" customFormat="false" ht="16.5" hidden="false" customHeight="false" outlineLevel="0" collapsed="false">
      <c r="C509" s="125"/>
    </row>
    <row r="510" customFormat="false" ht="16.5" hidden="false" customHeight="false" outlineLevel="0" collapsed="false">
      <c r="C510" s="125"/>
    </row>
    <row r="511" customFormat="false" ht="16.5" hidden="false" customHeight="false" outlineLevel="0" collapsed="false">
      <c r="C511" s="125"/>
    </row>
    <row r="512" customFormat="false" ht="16.5" hidden="false" customHeight="false" outlineLevel="0" collapsed="false">
      <c r="C512" s="125"/>
    </row>
    <row r="513" customFormat="false" ht="16.5" hidden="false" customHeight="false" outlineLevel="0" collapsed="false">
      <c r="C513" s="125"/>
    </row>
    <row r="514" customFormat="false" ht="16.5" hidden="false" customHeight="false" outlineLevel="0" collapsed="false">
      <c r="C514" s="125"/>
    </row>
    <row r="515" customFormat="false" ht="16.5" hidden="false" customHeight="false" outlineLevel="0" collapsed="false">
      <c r="C515" s="125"/>
    </row>
    <row r="516" customFormat="false" ht="16.5" hidden="false" customHeight="false" outlineLevel="0" collapsed="false">
      <c r="C516" s="125"/>
    </row>
    <row r="517" customFormat="false" ht="16.5" hidden="false" customHeight="false" outlineLevel="0" collapsed="false">
      <c r="C517" s="125"/>
    </row>
    <row r="518" customFormat="false" ht="16.5" hidden="false" customHeight="false" outlineLevel="0" collapsed="false">
      <c r="C518" s="125"/>
    </row>
    <row r="519" customFormat="false" ht="16.5" hidden="false" customHeight="false" outlineLevel="0" collapsed="false">
      <c r="C519" s="125"/>
    </row>
    <row r="520" customFormat="false" ht="16.5" hidden="false" customHeight="false" outlineLevel="0" collapsed="false">
      <c r="C520" s="125"/>
    </row>
    <row r="521" customFormat="false" ht="16.5" hidden="false" customHeight="false" outlineLevel="0" collapsed="false">
      <c r="C521" s="125"/>
    </row>
    <row r="522" customFormat="false" ht="16.5" hidden="false" customHeight="false" outlineLevel="0" collapsed="false">
      <c r="C522" s="125"/>
    </row>
    <row r="523" customFormat="false" ht="16.5" hidden="false" customHeight="false" outlineLevel="0" collapsed="false">
      <c r="C523" s="125"/>
    </row>
    <row r="524" customFormat="false" ht="16.5" hidden="false" customHeight="false" outlineLevel="0" collapsed="false">
      <c r="C524" s="125"/>
    </row>
    <row r="525" customFormat="false" ht="16.5" hidden="false" customHeight="false" outlineLevel="0" collapsed="false">
      <c r="C525" s="125"/>
    </row>
    <row r="526" customFormat="false" ht="16.5" hidden="false" customHeight="false" outlineLevel="0" collapsed="false">
      <c r="C526" s="125"/>
    </row>
    <row r="527" customFormat="false" ht="16.5" hidden="false" customHeight="false" outlineLevel="0" collapsed="false">
      <c r="C527" s="125"/>
    </row>
    <row r="528" customFormat="false" ht="16.5" hidden="false" customHeight="false" outlineLevel="0" collapsed="false">
      <c r="C528" s="125"/>
    </row>
    <row r="529" customFormat="false" ht="16.5" hidden="false" customHeight="false" outlineLevel="0" collapsed="false">
      <c r="C529" s="125"/>
    </row>
    <row r="530" customFormat="false" ht="16.5" hidden="false" customHeight="false" outlineLevel="0" collapsed="false">
      <c r="C530" s="125"/>
    </row>
    <row r="531" customFormat="false" ht="16.5" hidden="false" customHeight="false" outlineLevel="0" collapsed="false">
      <c r="C531" s="125"/>
    </row>
    <row r="532" customFormat="false" ht="16.5" hidden="false" customHeight="false" outlineLevel="0" collapsed="false">
      <c r="C532" s="125"/>
    </row>
    <row r="533" customFormat="false" ht="16.5" hidden="false" customHeight="false" outlineLevel="0" collapsed="false">
      <c r="C533" s="125"/>
    </row>
    <row r="534" customFormat="false" ht="16.5" hidden="false" customHeight="false" outlineLevel="0" collapsed="false">
      <c r="C534" s="125"/>
    </row>
    <row r="535" customFormat="false" ht="16.5" hidden="false" customHeight="false" outlineLevel="0" collapsed="false">
      <c r="C535" s="125"/>
    </row>
    <row r="536" customFormat="false" ht="16.5" hidden="false" customHeight="false" outlineLevel="0" collapsed="false">
      <c r="C536" s="125"/>
    </row>
    <row r="537" customFormat="false" ht="16.5" hidden="false" customHeight="false" outlineLevel="0" collapsed="false">
      <c r="C537" s="125"/>
    </row>
    <row r="538" customFormat="false" ht="16.5" hidden="false" customHeight="false" outlineLevel="0" collapsed="false">
      <c r="C538" s="125"/>
    </row>
    <row r="539" customFormat="false" ht="16.5" hidden="false" customHeight="false" outlineLevel="0" collapsed="false">
      <c r="C539" s="125"/>
    </row>
    <row r="540" customFormat="false" ht="16.5" hidden="false" customHeight="false" outlineLevel="0" collapsed="false">
      <c r="C540" s="125"/>
    </row>
    <row r="541" customFormat="false" ht="16.5" hidden="false" customHeight="false" outlineLevel="0" collapsed="false">
      <c r="C541" s="125"/>
    </row>
    <row r="542" customFormat="false" ht="16.5" hidden="false" customHeight="false" outlineLevel="0" collapsed="false">
      <c r="C542" s="125"/>
    </row>
    <row r="543" customFormat="false" ht="16.5" hidden="false" customHeight="false" outlineLevel="0" collapsed="false">
      <c r="C543" s="125"/>
    </row>
    <row r="544" customFormat="false" ht="16.5" hidden="false" customHeight="false" outlineLevel="0" collapsed="false">
      <c r="C544" s="125"/>
    </row>
    <row r="545" customFormat="false" ht="16.5" hidden="false" customHeight="false" outlineLevel="0" collapsed="false">
      <c r="C545" s="125"/>
    </row>
    <row r="546" customFormat="false" ht="16.5" hidden="false" customHeight="false" outlineLevel="0" collapsed="false">
      <c r="C546" s="125"/>
    </row>
    <row r="547" customFormat="false" ht="16.5" hidden="false" customHeight="false" outlineLevel="0" collapsed="false">
      <c r="C547" s="125"/>
    </row>
    <row r="548" customFormat="false" ht="16.5" hidden="false" customHeight="false" outlineLevel="0" collapsed="false">
      <c r="C548" s="125"/>
    </row>
    <row r="549" customFormat="false" ht="16.5" hidden="false" customHeight="false" outlineLevel="0" collapsed="false">
      <c r="C549" s="125"/>
    </row>
    <row r="550" customFormat="false" ht="16.5" hidden="false" customHeight="false" outlineLevel="0" collapsed="false">
      <c r="C550" s="125"/>
    </row>
    <row r="551" customFormat="false" ht="16.5" hidden="false" customHeight="false" outlineLevel="0" collapsed="false">
      <c r="C551" s="125"/>
    </row>
    <row r="552" customFormat="false" ht="16.5" hidden="false" customHeight="false" outlineLevel="0" collapsed="false">
      <c r="C552" s="125"/>
    </row>
    <row r="553" customFormat="false" ht="16.5" hidden="false" customHeight="false" outlineLevel="0" collapsed="false">
      <c r="C553" s="125"/>
    </row>
    <row r="554" customFormat="false" ht="16.5" hidden="false" customHeight="false" outlineLevel="0" collapsed="false">
      <c r="C554" s="125"/>
    </row>
    <row r="555" customFormat="false" ht="16.5" hidden="false" customHeight="false" outlineLevel="0" collapsed="false">
      <c r="C555" s="125"/>
    </row>
    <row r="556" customFormat="false" ht="16.5" hidden="false" customHeight="false" outlineLevel="0" collapsed="false">
      <c r="C556" s="125"/>
    </row>
    <row r="557" customFormat="false" ht="16.5" hidden="false" customHeight="false" outlineLevel="0" collapsed="false">
      <c r="C557" s="125"/>
    </row>
    <row r="558" customFormat="false" ht="16.5" hidden="false" customHeight="false" outlineLevel="0" collapsed="false">
      <c r="C558" s="125"/>
    </row>
    <row r="559" customFormat="false" ht="16.5" hidden="false" customHeight="false" outlineLevel="0" collapsed="false">
      <c r="C559" s="125"/>
    </row>
    <row r="560" customFormat="false" ht="16.5" hidden="false" customHeight="false" outlineLevel="0" collapsed="false">
      <c r="C560" s="125"/>
    </row>
    <row r="561" customFormat="false" ht="16.5" hidden="false" customHeight="false" outlineLevel="0" collapsed="false">
      <c r="C561" s="125"/>
    </row>
    <row r="562" customFormat="false" ht="16.5" hidden="false" customHeight="false" outlineLevel="0" collapsed="false">
      <c r="C562" s="125"/>
    </row>
    <row r="563" customFormat="false" ht="16.5" hidden="false" customHeight="false" outlineLevel="0" collapsed="false">
      <c r="C563" s="125"/>
    </row>
    <row r="564" customFormat="false" ht="16.5" hidden="false" customHeight="false" outlineLevel="0" collapsed="false">
      <c r="C564" s="125"/>
    </row>
    <row r="565" customFormat="false" ht="16.5" hidden="false" customHeight="false" outlineLevel="0" collapsed="false">
      <c r="C565" s="125"/>
    </row>
    <row r="566" customFormat="false" ht="16.5" hidden="false" customHeight="false" outlineLevel="0" collapsed="false">
      <c r="C566" s="125"/>
    </row>
    <row r="567" customFormat="false" ht="16.5" hidden="false" customHeight="false" outlineLevel="0" collapsed="false">
      <c r="C567" s="125"/>
    </row>
    <row r="568" customFormat="false" ht="16.5" hidden="false" customHeight="false" outlineLevel="0" collapsed="false">
      <c r="C568" s="125"/>
    </row>
    <row r="569" customFormat="false" ht="16.5" hidden="false" customHeight="false" outlineLevel="0" collapsed="false">
      <c r="C569" s="125"/>
    </row>
    <row r="570" customFormat="false" ht="16.5" hidden="false" customHeight="false" outlineLevel="0" collapsed="false">
      <c r="C570" s="125"/>
    </row>
    <row r="571" customFormat="false" ht="16.5" hidden="false" customHeight="false" outlineLevel="0" collapsed="false">
      <c r="C571" s="125"/>
    </row>
    <row r="572" customFormat="false" ht="16.5" hidden="false" customHeight="false" outlineLevel="0" collapsed="false">
      <c r="C572" s="125"/>
    </row>
    <row r="573" customFormat="false" ht="16.5" hidden="false" customHeight="false" outlineLevel="0" collapsed="false">
      <c r="C573" s="125"/>
    </row>
    <row r="574" customFormat="false" ht="16.5" hidden="false" customHeight="false" outlineLevel="0" collapsed="false">
      <c r="C574" s="125"/>
    </row>
    <row r="575" customFormat="false" ht="16.5" hidden="false" customHeight="false" outlineLevel="0" collapsed="false">
      <c r="C575" s="125"/>
    </row>
    <row r="576" customFormat="false" ht="16.5" hidden="false" customHeight="false" outlineLevel="0" collapsed="false">
      <c r="C576" s="125"/>
    </row>
    <row r="577" customFormat="false" ht="16.5" hidden="false" customHeight="false" outlineLevel="0" collapsed="false">
      <c r="C577" s="125"/>
    </row>
    <row r="578" customFormat="false" ht="16.5" hidden="false" customHeight="false" outlineLevel="0" collapsed="false">
      <c r="C578" s="125"/>
    </row>
    <row r="579" customFormat="false" ht="16.5" hidden="false" customHeight="false" outlineLevel="0" collapsed="false">
      <c r="C579" s="125"/>
    </row>
    <row r="580" customFormat="false" ht="16.5" hidden="false" customHeight="false" outlineLevel="0" collapsed="false">
      <c r="C580" s="125"/>
    </row>
    <row r="581" customFormat="false" ht="16.5" hidden="false" customHeight="false" outlineLevel="0" collapsed="false">
      <c r="C581" s="125"/>
    </row>
    <row r="582" customFormat="false" ht="16.5" hidden="false" customHeight="false" outlineLevel="0" collapsed="false">
      <c r="C582" s="125"/>
    </row>
    <row r="583" customFormat="false" ht="16.5" hidden="false" customHeight="false" outlineLevel="0" collapsed="false">
      <c r="C583" s="125"/>
    </row>
    <row r="584" customFormat="false" ht="16.5" hidden="false" customHeight="false" outlineLevel="0" collapsed="false">
      <c r="C584" s="125"/>
    </row>
    <row r="585" customFormat="false" ht="16.5" hidden="false" customHeight="false" outlineLevel="0" collapsed="false">
      <c r="C585" s="125"/>
    </row>
    <row r="586" customFormat="false" ht="16.5" hidden="false" customHeight="false" outlineLevel="0" collapsed="false">
      <c r="C586" s="125"/>
    </row>
    <row r="587" customFormat="false" ht="16.5" hidden="false" customHeight="false" outlineLevel="0" collapsed="false">
      <c r="C587" s="125"/>
    </row>
    <row r="588" customFormat="false" ht="16.5" hidden="false" customHeight="false" outlineLevel="0" collapsed="false">
      <c r="C588" s="125"/>
    </row>
    <row r="589" customFormat="false" ht="16.5" hidden="false" customHeight="false" outlineLevel="0" collapsed="false">
      <c r="C589" s="125"/>
    </row>
    <row r="590" customFormat="false" ht="16.5" hidden="false" customHeight="false" outlineLevel="0" collapsed="false">
      <c r="C590" s="125"/>
    </row>
    <row r="591" customFormat="false" ht="16.5" hidden="false" customHeight="false" outlineLevel="0" collapsed="false">
      <c r="C591" s="125"/>
    </row>
    <row r="592" customFormat="false" ht="16.5" hidden="false" customHeight="false" outlineLevel="0" collapsed="false">
      <c r="C592" s="125"/>
    </row>
    <row r="593" customFormat="false" ht="16.5" hidden="false" customHeight="false" outlineLevel="0" collapsed="false">
      <c r="C593" s="125"/>
    </row>
    <row r="594" customFormat="false" ht="16.5" hidden="false" customHeight="false" outlineLevel="0" collapsed="false">
      <c r="C594" s="125"/>
    </row>
    <row r="595" customFormat="false" ht="16.5" hidden="false" customHeight="false" outlineLevel="0" collapsed="false">
      <c r="C595" s="125"/>
    </row>
    <row r="596" customFormat="false" ht="16.5" hidden="false" customHeight="false" outlineLevel="0" collapsed="false">
      <c r="C596" s="125"/>
    </row>
    <row r="597" customFormat="false" ht="16.5" hidden="false" customHeight="false" outlineLevel="0" collapsed="false">
      <c r="C597" s="125"/>
    </row>
    <row r="598" customFormat="false" ht="16.5" hidden="false" customHeight="false" outlineLevel="0" collapsed="false">
      <c r="C598" s="125"/>
    </row>
    <row r="599" customFormat="false" ht="16.5" hidden="false" customHeight="false" outlineLevel="0" collapsed="false">
      <c r="C599" s="125"/>
    </row>
    <row r="600" customFormat="false" ht="16.5" hidden="false" customHeight="false" outlineLevel="0" collapsed="false">
      <c r="C600" s="125"/>
    </row>
    <row r="601" customFormat="false" ht="16.5" hidden="false" customHeight="false" outlineLevel="0" collapsed="false">
      <c r="C601" s="125"/>
    </row>
    <row r="602" customFormat="false" ht="16.5" hidden="false" customHeight="false" outlineLevel="0" collapsed="false">
      <c r="C602" s="125"/>
    </row>
    <row r="603" customFormat="false" ht="16.5" hidden="false" customHeight="false" outlineLevel="0" collapsed="false">
      <c r="C603" s="125"/>
    </row>
    <row r="604" customFormat="false" ht="16.5" hidden="false" customHeight="false" outlineLevel="0" collapsed="false">
      <c r="C604" s="125"/>
    </row>
    <row r="605" customFormat="false" ht="16.5" hidden="false" customHeight="false" outlineLevel="0" collapsed="false">
      <c r="C605" s="125"/>
    </row>
    <row r="606" customFormat="false" ht="16.5" hidden="false" customHeight="false" outlineLevel="0" collapsed="false">
      <c r="C606" s="125"/>
    </row>
    <row r="607" customFormat="false" ht="16.5" hidden="false" customHeight="false" outlineLevel="0" collapsed="false">
      <c r="C607" s="125"/>
    </row>
    <row r="608" customFormat="false" ht="16.5" hidden="false" customHeight="false" outlineLevel="0" collapsed="false">
      <c r="C608" s="125"/>
    </row>
    <row r="609" customFormat="false" ht="16.5" hidden="false" customHeight="false" outlineLevel="0" collapsed="false">
      <c r="C609" s="125"/>
    </row>
    <row r="610" customFormat="false" ht="16.5" hidden="false" customHeight="false" outlineLevel="0" collapsed="false">
      <c r="C610" s="125"/>
    </row>
    <row r="611" customFormat="false" ht="16.5" hidden="false" customHeight="false" outlineLevel="0" collapsed="false">
      <c r="C611" s="125"/>
    </row>
    <row r="612" customFormat="false" ht="16.5" hidden="false" customHeight="false" outlineLevel="0" collapsed="false">
      <c r="C612" s="125"/>
    </row>
    <row r="613" customFormat="false" ht="16.5" hidden="false" customHeight="false" outlineLevel="0" collapsed="false">
      <c r="C613" s="125"/>
    </row>
    <row r="614" customFormat="false" ht="16.5" hidden="false" customHeight="false" outlineLevel="0" collapsed="false">
      <c r="C614" s="125"/>
    </row>
    <row r="615" customFormat="false" ht="16.5" hidden="false" customHeight="false" outlineLevel="0" collapsed="false">
      <c r="C615" s="125"/>
    </row>
    <row r="616" customFormat="false" ht="16.5" hidden="false" customHeight="false" outlineLevel="0" collapsed="false">
      <c r="C616" s="125"/>
    </row>
    <row r="617" customFormat="false" ht="16.5" hidden="false" customHeight="false" outlineLevel="0" collapsed="false">
      <c r="C617" s="125"/>
    </row>
    <row r="618" customFormat="false" ht="16.5" hidden="false" customHeight="false" outlineLevel="0" collapsed="false">
      <c r="C618" s="125"/>
    </row>
    <row r="619" customFormat="false" ht="16.5" hidden="false" customHeight="false" outlineLevel="0" collapsed="false">
      <c r="C619" s="125"/>
    </row>
    <row r="620" customFormat="false" ht="16.5" hidden="false" customHeight="false" outlineLevel="0" collapsed="false">
      <c r="C620" s="125"/>
    </row>
    <row r="621" customFormat="false" ht="16.5" hidden="false" customHeight="false" outlineLevel="0" collapsed="false">
      <c r="C621" s="125"/>
    </row>
    <row r="622" customFormat="false" ht="16.5" hidden="false" customHeight="false" outlineLevel="0" collapsed="false">
      <c r="C622" s="125"/>
    </row>
    <row r="623" customFormat="false" ht="16.5" hidden="false" customHeight="false" outlineLevel="0" collapsed="false">
      <c r="C623" s="125"/>
    </row>
    <row r="624" customFormat="false" ht="16.5" hidden="false" customHeight="false" outlineLevel="0" collapsed="false">
      <c r="C624" s="125"/>
    </row>
    <row r="625" customFormat="false" ht="16.5" hidden="false" customHeight="false" outlineLevel="0" collapsed="false">
      <c r="C625" s="125"/>
    </row>
    <row r="626" customFormat="false" ht="16.5" hidden="false" customHeight="false" outlineLevel="0" collapsed="false">
      <c r="C626" s="125"/>
    </row>
    <row r="627" customFormat="false" ht="16.5" hidden="false" customHeight="false" outlineLevel="0" collapsed="false">
      <c r="C627" s="125"/>
    </row>
    <row r="628" customFormat="false" ht="16.5" hidden="false" customHeight="false" outlineLevel="0" collapsed="false">
      <c r="C628" s="125"/>
    </row>
    <row r="629" customFormat="false" ht="16.5" hidden="false" customHeight="false" outlineLevel="0" collapsed="false">
      <c r="C629" s="125"/>
    </row>
    <row r="630" customFormat="false" ht="16.5" hidden="false" customHeight="false" outlineLevel="0" collapsed="false">
      <c r="C630" s="125"/>
    </row>
    <row r="631" customFormat="false" ht="16.5" hidden="false" customHeight="false" outlineLevel="0" collapsed="false">
      <c r="C631" s="125"/>
    </row>
    <row r="632" customFormat="false" ht="16.5" hidden="false" customHeight="false" outlineLevel="0" collapsed="false">
      <c r="C632" s="125"/>
    </row>
    <row r="633" customFormat="false" ht="16.5" hidden="false" customHeight="false" outlineLevel="0" collapsed="false">
      <c r="C633" s="125"/>
    </row>
    <row r="634" customFormat="false" ht="16.5" hidden="false" customHeight="false" outlineLevel="0" collapsed="false">
      <c r="C634" s="125"/>
    </row>
    <row r="635" customFormat="false" ht="16.5" hidden="false" customHeight="false" outlineLevel="0" collapsed="false">
      <c r="C635" s="125"/>
    </row>
    <row r="636" customFormat="false" ht="16.5" hidden="false" customHeight="false" outlineLevel="0" collapsed="false">
      <c r="C636" s="125"/>
    </row>
    <row r="637" customFormat="false" ht="16.5" hidden="false" customHeight="false" outlineLevel="0" collapsed="false">
      <c r="C637" s="125"/>
    </row>
    <row r="638" customFormat="false" ht="16.5" hidden="false" customHeight="false" outlineLevel="0" collapsed="false">
      <c r="C638" s="125"/>
    </row>
    <row r="639" customFormat="false" ht="16.5" hidden="false" customHeight="false" outlineLevel="0" collapsed="false">
      <c r="C639" s="125"/>
    </row>
    <row r="640" customFormat="false" ht="16.5" hidden="false" customHeight="false" outlineLevel="0" collapsed="false">
      <c r="C640" s="125"/>
    </row>
    <row r="641" customFormat="false" ht="16.5" hidden="false" customHeight="false" outlineLevel="0" collapsed="false">
      <c r="C641" s="125"/>
    </row>
    <row r="642" customFormat="false" ht="16.5" hidden="false" customHeight="false" outlineLevel="0" collapsed="false">
      <c r="C642" s="125"/>
    </row>
    <row r="643" customFormat="false" ht="16.5" hidden="false" customHeight="false" outlineLevel="0" collapsed="false">
      <c r="C643" s="125"/>
    </row>
    <row r="644" customFormat="false" ht="16.5" hidden="false" customHeight="false" outlineLevel="0" collapsed="false">
      <c r="C644" s="125"/>
    </row>
    <row r="645" customFormat="false" ht="16.5" hidden="false" customHeight="false" outlineLevel="0" collapsed="false">
      <c r="C645" s="125"/>
    </row>
    <row r="646" customFormat="false" ht="16.5" hidden="false" customHeight="false" outlineLevel="0" collapsed="false">
      <c r="C646" s="125"/>
    </row>
    <row r="647" customFormat="false" ht="16.5" hidden="false" customHeight="false" outlineLevel="0" collapsed="false">
      <c r="C647" s="125"/>
    </row>
    <row r="648" customFormat="false" ht="16.5" hidden="false" customHeight="false" outlineLevel="0" collapsed="false">
      <c r="C648" s="125"/>
    </row>
    <row r="649" customFormat="false" ht="16.5" hidden="false" customHeight="false" outlineLevel="0" collapsed="false">
      <c r="C649" s="125"/>
    </row>
    <row r="650" customFormat="false" ht="16.5" hidden="false" customHeight="false" outlineLevel="0" collapsed="false">
      <c r="C650" s="125"/>
    </row>
    <row r="651" customFormat="false" ht="16.5" hidden="false" customHeight="false" outlineLevel="0" collapsed="false">
      <c r="C651" s="125"/>
    </row>
    <row r="652" customFormat="false" ht="16.5" hidden="false" customHeight="false" outlineLevel="0" collapsed="false">
      <c r="C652" s="125"/>
    </row>
    <row r="653" customFormat="false" ht="16.5" hidden="false" customHeight="false" outlineLevel="0" collapsed="false">
      <c r="C653" s="125"/>
    </row>
    <row r="654" customFormat="false" ht="16.5" hidden="false" customHeight="false" outlineLevel="0" collapsed="false">
      <c r="C654" s="125"/>
    </row>
    <row r="655" customFormat="false" ht="16.5" hidden="false" customHeight="false" outlineLevel="0" collapsed="false">
      <c r="C655" s="125"/>
    </row>
    <row r="656" customFormat="false" ht="16.5" hidden="false" customHeight="false" outlineLevel="0" collapsed="false">
      <c r="C656" s="125"/>
    </row>
    <row r="657" customFormat="false" ht="16.5" hidden="false" customHeight="false" outlineLevel="0" collapsed="false">
      <c r="C657" s="125"/>
    </row>
    <row r="658" customFormat="false" ht="16.5" hidden="false" customHeight="false" outlineLevel="0" collapsed="false">
      <c r="C658" s="125"/>
    </row>
    <row r="659" customFormat="false" ht="16.5" hidden="false" customHeight="false" outlineLevel="0" collapsed="false">
      <c r="C659" s="125"/>
    </row>
    <row r="660" customFormat="false" ht="16.5" hidden="false" customHeight="false" outlineLevel="0" collapsed="false">
      <c r="C660" s="125"/>
    </row>
    <row r="661" customFormat="false" ht="16.5" hidden="false" customHeight="false" outlineLevel="0" collapsed="false">
      <c r="C661" s="125"/>
    </row>
    <row r="662" customFormat="false" ht="16.5" hidden="false" customHeight="false" outlineLevel="0" collapsed="false">
      <c r="C662" s="125"/>
    </row>
    <row r="663" customFormat="false" ht="16.5" hidden="false" customHeight="false" outlineLevel="0" collapsed="false">
      <c r="C663" s="125"/>
    </row>
    <row r="664" customFormat="false" ht="16.5" hidden="false" customHeight="false" outlineLevel="0" collapsed="false">
      <c r="C664" s="125"/>
    </row>
    <row r="665" customFormat="false" ht="16.5" hidden="false" customHeight="false" outlineLevel="0" collapsed="false">
      <c r="C665" s="125"/>
    </row>
    <row r="666" customFormat="false" ht="16.5" hidden="false" customHeight="false" outlineLevel="0" collapsed="false">
      <c r="C666" s="125"/>
    </row>
    <row r="667" customFormat="false" ht="16.5" hidden="false" customHeight="false" outlineLevel="0" collapsed="false">
      <c r="C667" s="125"/>
    </row>
    <row r="668" customFormat="false" ht="16.5" hidden="false" customHeight="false" outlineLevel="0" collapsed="false">
      <c r="C668" s="125"/>
    </row>
    <row r="669" customFormat="false" ht="16.5" hidden="false" customHeight="false" outlineLevel="0" collapsed="false">
      <c r="C669" s="125"/>
    </row>
    <row r="670" customFormat="false" ht="16.5" hidden="false" customHeight="false" outlineLevel="0" collapsed="false">
      <c r="C670" s="125"/>
    </row>
    <row r="671" customFormat="false" ht="16.5" hidden="false" customHeight="false" outlineLevel="0" collapsed="false">
      <c r="C671" s="125"/>
    </row>
    <row r="672" customFormat="false" ht="16.5" hidden="false" customHeight="false" outlineLevel="0" collapsed="false">
      <c r="C672" s="125"/>
    </row>
    <row r="673" customFormat="false" ht="16.5" hidden="false" customHeight="false" outlineLevel="0" collapsed="false">
      <c r="C673" s="125"/>
    </row>
    <row r="674" customFormat="false" ht="16.5" hidden="false" customHeight="false" outlineLevel="0" collapsed="false">
      <c r="C674" s="125"/>
    </row>
    <row r="675" customFormat="false" ht="16.5" hidden="false" customHeight="false" outlineLevel="0" collapsed="false">
      <c r="C675" s="125"/>
    </row>
    <row r="676" customFormat="false" ht="16.5" hidden="false" customHeight="false" outlineLevel="0" collapsed="false">
      <c r="C676" s="125"/>
    </row>
    <row r="677" customFormat="false" ht="16.5" hidden="false" customHeight="false" outlineLevel="0" collapsed="false">
      <c r="C677" s="125"/>
    </row>
    <row r="678" customFormat="false" ht="16.5" hidden="false" customHeight="false" outlineLevel="0" collapsed="false">
      <c r="C678" s="125"/>
    </row>
    <row r="679" customFormat="false" ht="16.5" hidden="false" customHeight="false" outlineLevel="0" collapsed="false">
      <c r="C679" s="125"/>
    </row>
    <row r="680" customFormat="false" ht="16.5" hidden="false" customHeight="false" outlineLevel="0" collapsed="false">
      <c r="C680" s="125"/>
    </row>
    <row r="681" customFormat="false" ht="16.5" hidden="false" customHeight="false" outlineLevel="0" collapsed="false">
      <c r="C681" s="125"/>
    </row>
    <row r="682" customFormat="false" ht="16.5" hidden="false" customHeight="false" outlineLevel="0" collapsed="false">
      <c r="C682" s="125"/>
    </row>
    <row r="683" customFormat="false" ht="16.5" hidden="false" customHeight="false" outlineLevel="0" collapsed="false">
      <c r="C683" s="125"/>
    </row>
    <row r="684" customFormat="false" ht="16.5" hidden="false" customHeight="false" outlineLevel="0" collapsed="false">
      <c r="C684" s="125"/>
    </row>
    <row r="685" customFormat="false" ht="16.5" hidden="false" customHeight="false" outlineLevel="0" collapsed="false">
      <c r="C685" s="125"/>
    </row>
    <row r="686" customFormat="false" ht="16.5" hidden="false" customHeight="false" outlineLevel="0" collapsed="false">
      <c r="C686" s="125"/>
    </row>
    <row r="687" customFormat="false" ht="16.5" hidden="false" customHeight="false" outlineLevel="0" collapsed="false">
      <c r="C687" s="125"/>
    </row>
    <row r="688" customFormat="false" ht="16.5" hidden="false" customHeight="false" outlineLevel="0" collapsed="false">
      <c r="C688" s="125"/>
    </row>
    <row r="689" customFormat="false" ht="16.5" hidden="false" customHeight="false" outlineLevel="0" collapsed="false">
      <c r="C689" s="125"/>
    </row>
    <row r="690" customFormat="false" ht="16.5" hidden="false" customHeight="false" outlineLevel="0" collapsed="false">
      <c r="C690" s="125"/>
    </row>
    <row r="691" customFormat="false" ht="16.5" hidden="false" customHeight="false" outlineLevel="0" collapsed="false">
      <c r="C691" s="125"/>
    </row>
    <row r="692" customFormat="false" ht="16.5" hidden="false" customHeight="false" outlineLevel="0" collapsed="false">
      <c r="C692" s="125"/>
    </row>
    <row r="693" customFormat="false" ht="16.5" hidden="false" customHeight="false" outlineLevel="0" collapsed="false">
      <c r="C693" s="125"/>
    </row>
    <row r="694" customFormat="false" ht="16.5" hidden="false" customHeight="false" outlineLevel="0" collapsed="false">
      <c r="C694" s="125"/>
    </row>
    <row r="695" customFormat="false" ht="16.5" hidden="false" customHeight="false" outlineLevel="0" collapsed="false">
      <c r="C695" s="125"/>
    </row>
    <row r="696" customFormat="false" ht="16.5" hidden="false" customHeight="false" outlineLevel="0" collapsed="false">
      <c r="C696" s="125"/>
    </row>
    <row r="697" customFormat="false" ht="16.5" hidden="false" customHeight="false" outlineLevel="0" collapsed="false">
      <c r="C697" s="125"/>
    </row>
    <row r="698" customFormat="false" ht="16.5" hidden="false" customHeight="false" outlineLevel="0" collapsed="false">
      <c r="C698" s="125"/>
    </row>
    <row r="699" customFormat="false" ht="16.5" hidden="false" customHeight="false" outlineLevel="0" collapsed="false">
      <c r="C699" s="125"/>
    </row>
    <row r="700" customFormat="false" ht="16.5" hidden="false" customHeight="false" outlineLevel="0" collapsed="false">
      <c r="C700" s="125"/>
    </row>
    <row r="701" customFormat="false" ht="16.5" hidden="false" customHeight="false" outlineLevel="0" collapsed="false">
      <c r="C701" s="125"/>
    </row>
    <row r="702" customFormat="false" ht="16.5" hidden="false" customHeight="false" outlineLevel="0" collapsed="false">
      <c r="C702" s="125"/>
    </row>
    <row r="703" customFormat="false" ht="16.5" hidden="false" customHeight="false" outlineLevel="0" collapsed="false">
      <c r="C703" s="125"/>
    </row>
    <row r="704" customFormat="false" ht="16.5" hidden="false" customHeight="false" outlineLevel="0" collapsed="false">
      <c r="C704" s="125"/>
    </row>
    <row r="705" customFormat="false" ht="16.5" hidden="false" customHeight="false" outlineLevel="0" collapsed="false">
      <c r="C705" s="125"/>
    </row>
    <row r="706" customFormat="false" ht="16.5" hidden="false" customHeight="false" outlineLevel="0" collapsed="false">
      <c r="C706" s="125"/>
    </row>
    <row r="707" customFormat="false" ht="16.5" hidden="false" customHeight="false" outlineLevel="0" collapsed="false">
      <c r="C707" s="125"/>
    </row>
    <row r="708" customFormat="false" ht="16.5" hidden="false" customHeight="false" outlineLevel="0" collapsed="false">
      <c r="C708" s="125"/>
    </row>
    <row r="709" customFormat="false" ht="16.5" hidden="false" customHeight="false" outlineLevel="0" collapsed="false">
      <c r="C709" s="125"/>
    </row>
    <row r="710" customFormat="false" ht="16.5" hidden="false" customHeight="false" outlineLevel="0" collapsed="false">
      <c r="C710" s="125"/>
    </row>
    <row r="711" customFormat="false" ht="16.5" hidden="false" customHeight="false" outlineLevel="0" collapsed="false">
      <c r="C711" s="125"/>
    </row>
    <row r="712" customFormat="false" ht="16.5" hidden="false" customHeight="false" outlineLevel="0" collapsed="false">
      <c r="C712" s="125"/>
    </row>
    <row r="713" customFormat="false" ht="16.5" hidden="false" customHeight="false" outlineLevel="0" collapsed="false">
      <c r="C713" s="125"/>
    </row>
    <row r="714" customFormat="false" ht="16.5" hidden="false" customHeight="false" outlineLevel="0" collapsed="false">
      <c r="C714" s="125"/>
    </row>
    <row r="715" customFormat="false" ht="16.5" hidden="false" customHeight="false" outlineLevel="0" collapsed="false">
      <c r="C715" s="125"/>
    </row>
    <row r="716" customFormat="false" ht="16.5" hidden="false" customHeight="false" outlineLevel="0" collapsed="false">
      <c r="C716" s="125"/>
    </row>
    <row r="717" customFormat="false" ht="16.5" hidden="false" customHeight="false" outlineLevel="0" collapsed="false">
      <c r="C717" s="125"/>
    </row>
    <row r="718" customFormat="false" ht="16.5" hidden="false" customHeight="false" outlineLevel="0" collapsed="false">
      <c r="C718" s="125"/>
    </row>
    <row r="719" customFormat="false" ht="16.5" hidden="false" customHeight="false" outlineLevel="0" collapsed="false">
      <c r="C719" s="125"/>
    </row>
    <row r="720" customFormat="false" ht="16.5" hidden="false" customHeight="false" outlineLevel="0" collapsed="false">
      <c r="C720" s="125"/>
    </row>
    <row r="721" customFormat="false" ht="16.5" hidden="false" customHeight="false" outlineLevel="0" collapsed="false">
      <c r="C721" s="125"/>
    </row>
    <row r="722" customFormat="false" ht="16.5" hidden="false" customHeight="false" outlineLevel="0" collapsed="false">
      <c r="C722" s="125"/>
    </row>
    <row r="723" customFormat="false" ht="16.5" hidden="false" customHeight="false" outlineLevel="0" collapsed="false">
      <c r="C723" s="125"/>
    </row>
    <row r="724" customFormat="false" ht="16.5" hidden="false" customHeight="false" outlineLevel="0" collapsed="false">
      <c r="C724" s="125"/>
    </row>
    <row r="725" customFormat="false" ht="16.5" hidden="false" customHeight="false" outlineLevel="0" collapsed="false">
      <c r="C725" s="125"/>
    </row>
    <row r="726" customFormat="false" ht="16.5" hidden="false" customHeight="false" outlineLevel="0" collapsed="false">
      <c r="C726" s="125"/>
    </row>
    <row r="727" customFormat="false" ht="16.5" hidden="false" customHeight="false" outlineLevel="0" collapsed="false">
      <c r="C727" s="125"/>
    </row>
    <row r="728" customFormat="false" ht="16.5" hidden="false" customHeight="false" outlineLevel="0" collapsed="false">
      <c r="C728" s="125"/>
    </row>
    <row r="729" customFormat="false" ht="16.5" hidden="false" customHeight="false" outlineLevel="0" collapsed="false">
      <c r="C729" s="125"/>
    </row>
    <row r="730" customFormat="false" ht="16.5" hidden="false" customHeight="false" outlineLevel="0" collapsed="false">
      <c r="C730" s="125"/>
    </row>
    <row r="731" customFormat="false" ht="16.5" hidden="false" customHeight="false" outlineLevel="0" collapsed="false">
      <c r="C731" s="125"/>
    </row>
    <row r="732" customFormat="false" ht="16.5" hidden="false" customHeight="false" outlineLevel="0" collapsed="false">
      <c r="C732" s="125"/>
    </row>
    <row r="733" customFormat="false" ht="16.5" hidden="false" customHeight="false" outlineLevel="0" collapsed="false">
      <c r="C733" s="125"/>
    </row>
    <row r="734" customFormat="false" ht="16.5" hidden="false" customHeight="false" outlineLevel="0" collapsed="false">
      <c r="C734" s="125"/>
    </row>
    <row r="735" customFormat="false" ht="16.5" hidden="false" customHeight="false" outlineLevel="0" collapsed="false">
      <c r="C735" s="125"/>
    </row>
    <row r="736" customFormat="false" ht="16.5" hidden="false" customHeight="false" outlineLevel="0" collapsed="false">
      <c r="C736" s="125"/>
    </row>
    <row r="737" customFormat="false" ht="16.5" hidden="false" customHeight="false" outlineLevel="0" collapsed="false">
      <c r="C737" s="125"/>
    </row>
    <row r="738" customFormat="false" ht="16.5" hidden="false" customHeight="false" outlineLevel="0" collapsed="false">
      <c r="C738" s="125"/>
    </row>
    <row r="739" customFormat="false" ht="16.5" hidden="false" customHeight="false" outlineLevel="0" collapsed="false">
      <c r="C739" s="125"/>
    </row>
    <row r="740" customFormat="false" ht="16.5" hidden="false" customHeight="false" outlineLevel="0" collapsed="false">
      <c r="C740" s="125"/>
    </row>
    <row r="741" customFormat="false" ht="16.5" hidden="false" customHeight="false" outlineLevel="0" collapsed="false">
      <c r="C741" s="125"/>
    </row>
    <row r="742" customFormat="false" ht="16.5" hidden="false" customHeight="false" outlineLevel="0" collapsed="false">
      <c r="C742" s="125"/>
    </row>
    <row r="743" customFormat="false" ht="16.5" hidden="false" customHeight="false" outlineLevel="0" collapsed="false">
      <c r="C743" s="125"/>
    </row>
    <row r="744" customFormat="false" ht="16.5" hidden="false" customHeight="false" outlineLevel="0" collapsed="false">
      <c r="C744" s="125"/>
    </row>
    <row r="745" customFormat="false" ht="16.5" hidden="false" customHeight="false" outlineLevel="0" collapsed="false">
      <c r="C745" s="125"/>
    </row>
    <row r="746" customFormat="false" ht="16.5" hidden="false" customHeight="false" outlineLevel="0" collapsed="false">
      <c r="C746" s="125"/>
    </row>
    <row r="747" customFormat="false" ht="16.5" hidden="false" customHeight="false" outlineLevel="0" collapsed="false">
      <c r="C747" s="125"/>
    </row>
    <row r="748" customFormat="false" ht="16.5" hidden="false" customHeight="false" outlineLevel="0" collapsed="false">
      <c r="C748" s="125"/>
    </row>
    <row r="749" customFormat="false" ht="16.5" hidden="false" customHeight="false" outlineLevel="0" collapsed="false">
      <c r="C749" s="125"/>
    </row>
    <row r="750" customFormat="false" ht="16.5" hidden="false" customHeight="false" outlineLevel="0" collapsed="false">
      <c r="C750" s="125"/>
    </row>
    <row r="751" customFormat="false" ht="16.5" hidden="false" customHeight="false" outlineLevel="0" collapsed="false">
      <c r="C751" s="125"/>
    </row>
    <row r="752" customFormat="false" ht="16.5" hidden="false" customHeight="false" outlineLevel="0" collapsed="false">
      <c r="C752" s="125"/>
    </row>
    <row r="753" customFormat="false" ht="16.5" hidden="false" customHeight="false" outlineLevel="0" collapsed="false">
      <c r="C753" s="125"/>
    </row>
    <row r="754" customFormat="false" ht="16.5" hidden="false" customHeight="false" outlineLevel="0" collapsed="false">
      <c r="C754" s="125"/>
    </row>
    <row r="755" customFormat="false" ht="16.5" hidden="false" customHeight="false" outlineLevel="0" collapsed="false">
      <c r="C755" s="125"/>
    </row>
    <row r="756" customFormat="false" ht="16.5" hidden="false" customHeight="false" outlineLevel="0" collapsed="false">
      <c r="C756" s="125"/>
    </row>
    <row r="757" customFormat="false" ht="16.5" hidden="false" customHeight="false" outlineLevel="0" collapsed="false">
      <c r="C757" s="125"/>
    </row>
    <row r="758" customFormat="false" ht="16.5" hidden="false" customHeight="false" outlineLevel="0" collapsed="false">
      <c r="C758" s="125"/>
    </row>
    <row r="759" customFormat="false" ht="16.5" hidden="false" customHeight="false" outlineLevel="0" collapsed="false">
      <c r="C759" s="125"/>
    </row>
    <row r="760" customFormat="false" ht="16.5" hidden="false" customHeight="false" outlineLevel="0" collapsed="false">
      <c r="C760" s="125"/>
    </row>
    <row r="761" customFormat="false" ht="16.5" hidden="false" customHeight="false" outlineLevel="0" collapsed="false">
      <c r="C761" s="125"/>
    </row>
    <row r="762" customFormat="false" ht="16.5" hidden="false" customHeight="false" outlineLevel="0" collapsed="false">
      <c r="C762" s="125"/>
    </row>
    <row r="763" customFormat="false" ht="16.5" hidden="false" customHeight="false" outlineLevel="0" collapsed="false">
      <c r="C763" s="125"/>
    </row>
    <row r="764" customFormat="false" ht="16.5" hidden="false" customHeight="false" outlineLevel="0" collapsed="false">
      <c r="C764" s="125"/>
    </row>
    <row r="765" customFormat="false" ht="16.5" hidden="false" customHeight="false" outlineLevel="0" collapsed="false">
      <c r="C765" s="125"/>
    </row>
    <row r="766" customFormat="false" ht="16.5" hidden="false" customHeight="false" outlineLevel="0" collapsed="false">
      <c r="C766" s="125"/>
    </row>
    <row r="767" customFormat="false" ht="16.5" hidden="false" customHeight="false" outlineLevel="0" collapsed="false">
      <c r="C767" s="125"/>
    </row>
    <row r="768" customFormat="false" ht="16.5" hidden="false" customHeight="false" outlineLevel="0" collapsed="false">
      <c r="C768" s="125"/>
    </row>
    <row r="769" customFormat="false" ht="16.5" hidden="false" customHeight="false" outlineLevel="0" collapsed="false">
      <c r="C769" s="125"/>
    </row>
    <row r="770" customFormat="false" ht="16.5" hidden="false" customHeight="false" outlineLevel="0" collapsed="false">
      <c r="C770" s="125"/>
    </row>
    <row r="771" customFormat="false" ht="16.5" hidden="false" customHeight="false" outlineLevel="0" collapsed="false">
      <c r="C771" s="125"/>
    </row>
    <row r="772" customFormat="false" ht="16.5" hidden="false" customHeight="false" outlineLevel="0" collapsed="false">
      <c r="C772" s="125"/>
    </row>
    <row r="773" customFormat="false" ht="16.5" hidden="false" customHeight="false" outlineLevel="0" collapsed="false">
      <c r="C773" s="125"/>
    </row>
    <row r="774" customFormat="false" ht="16.5" hidden="false" customHeight="false" outlineLevel="0" collapsed="false">
      <c r="C774" s="125"/>
    </row>
    <row r="775" customFormat="false" ht="16.5" hidden="false" customHeight="false" outlineLevel="0" collapsed="false">
      <c r="C775" s="125"/>
    </row>
    <row r="776" customFormat="false" ht="16.5" hidden="false" customHeight="false" outlineLevel="0" collapsed="false">
      <c r="C776" s="125"/>
    </row>
    <row r="777" customFormat="false" ht="16.5" hidden="false" customHeight="false" outlineLevel="0" collapsed="false">
      <c r="C777" s="125"/>
    </row>
    <row r="778" customFormat="false" ht="16.5" hidden="false" customHeight="false" outlineLevel="0" collapsed="false">
      <c r="C778" s="125"/>
    </row>
    <row r="779" customFormat="false" ht="16.5" hidden="false" customHeight="false" outlineLevel="0" collapsed="false">
      <c r="C779" s="125"/>
    </row>
    <row r="780" customFormat="false" ht="16.5" hidden="false" customHeight="false" outlineLevel="0" collapsed="false">
      <c r="C780" s="125"/>
    </row>
    <row r="781" customFormat="false" ht="16.5" hidden="false" customHeight="false" outlineLevel="0" collapsed="false">
      <c r="C781" s="125"/>
    </row>
    <row r="782" customFormat="false" ht="16.5" hidden="false" customHeight="false" outlineLevel="0" collapsed="false">
      <c r="C782" s="125"/>
    </row>
    <row r="783" customFormat="false" ht="16.5" hidden="false" customHeight="false" outlineLevel="0" collapsed="false">
      <c r="C783" s="125"/>
    </row>
    <row r="784" customFormat="false" ht="16.5" hidden="false" customHeight="false" outlineLevel="0" collapsed="false">
      <c r="C784" s="125"/>
    </row>
    <row r="785" customFormat="false" ht="16.5" hidden="false" customHeight="false" outlineLevel="0" collapsed="false">
      <c r="C785" s="125"/>
    </row>
    <row r="786" customFormat="false" ht="16.5" hidden="false" customHeight="false" outlineLevel="0" collapsed="false">
      <c r="C786" s="125"/>
    </row>
    <row r="787" customFormat="false" ht="16.5" hidden="false" customHeight="false" outlineLevel="0" collapsed="false">
      <c r="C787" s="125"/>
    </row>
    <row r="788" customFormat="false" ht="16.5" hidden="false" customHeight="false" outlineLevel="0" collapsed="false">
      <c r="C788" s="125"/>
    </row>
    <row r="789" customFormat="false" ht="16.5" hidden="false" customHeight="false" outlineLevel="0" collapsed="false">
      <c r="C789" s="125"/>
    </row>
    <row r="790" customFormat="false" ht="16.5" hidden="false" customHeight="false" outlineLevel="0" collapsed="false">
      <c r="C790" s="125"/>
    </row>
    <row r="791" customFormat="false" ht="16.5" hidden="false" customHeight="false" outlineLevel="0" collapsed="false">
      <c r="C791" s="125"/>
    </row>
    <row r="792" customFormat="false" ht="16.5" hidden="false" customHeight="false" outlineLevel="0" collapsed="false">
      <c r="C792" s="125"/>
    </row>
    <row r="793" customFormat="false" ht="16.5" hidden="false" customHeight="false" outlineLevel="0" collapsed="false">
      <c r="C793" s="125"/>
    </row>
    <row r="794" customFormat="false" ht="16.5" hidden="false" customHeight="false" outlineLevel="0" collapsed="false">
      <c r="C794" s="125"/>
    </row>
    <row r="795" customFormat="false" ht="16.5" hidden="false" customHeight="false" outlineLevel="0" collapsed="false">
      <c r="C795" s="125"/>
    </row>
    <row r="796" customFormat="false" ht="16.5" hidden="false" customHeight="false" outlineLevel="0" collapsed="false">
      <c r="C796" s="125"/>
    </row>
    <row r="797" customFormat="false" ht="16.5" hidden="false" customHeight="false" outlineLevel="0" collapsed="false">
      <c r="C797" s="125"/>
    </row>
    <row r="798" customFormat="false" ht="16.5" hidden="false" customHeight="false" outlineLevel="0" collapsed="false">
      <c r="C798" s="125"/>
    </row>
    <row r="799" customFormat="false" ht="16.5" hidden="false" customHeight="false" outlineLevel="0" collapsed="false">
      <c r="C799" s="125"/>
    </row>
    <row r="800" customFormat="false" ht="16.5" hidden="false" customHeight="false" outlineLevel="0" collapsed="false">
      <c r="C800" s="125"/>
    </row>
    <row r="801" customFormat="false" ht="16.5" hidden="false" customHeight="false" outlineLevel="0" collapsed="false">
      <c r="C801" s="125"/>
    </row>
    <row r="802" customFormat="false" ht="16.5" hidden="false" customHeight="false" outlineLevel="0" collapsed="false">
      <c r="C802" s="125"/>
    </row>
    <row r="803" customFormat="false" ht="16.5" hidden="false" customHeight="false" outlineLevel="0" collapsed="false">
      <c r="C803" s="125"/>
    </row>
    <row r="804" customFormat="false" ht="16.5" hidden="false" customHeight="false" outlineLevel="0" collapsed="false">
      <c r="C804" s="125"/>
    </row>
    <row r="805" customFormat="false" ht="16.5" hidden="false" customHeight="false" outlineLevel="0" collapsed="false">
      <c r="C805" s="125"/>
    </row>
    <row r="806" customFormat="false" ht="16.5" hidden="false" customHeight="false" outlineLevel="0" collapsed="false">
      <c r="C806" s="125"/>
    </row>
    <row r="807" customFormat="false" ht="16.5" hidden="false" customHeight="false" outlineLevel="0" collapsed="false">
      <c r="C807" s="125"/>
    </row>
    <row r="808" customFormat="false" ht="16.5" hidden="false" customHeight="false" outlineLevel="0" collapsed="false">
      <c r="C808" s="125"/>
    </row>
    <row r="809" customFormat="false" ht="16.5" hidden="false" customHeight="false" outlineLevel="0" collapsed="false">
      <c r="C809" s="125"/>
    </row>
    <row r="810" customFormat="false" ht="16.5" hidden="false" customHeight="false" outlineLevel="0" collapsed="false">
      <c r="C810" s="125"/>
    </row>
    <row r="811" customFormat="false" ht="16.5" hidden="false" customHeight="false" outlineLevel="0" collapsed="false">
      <c r="C811" s="125"/>
    </row>
    <row r="812" customFormat="false" ht="16.5" hidden="false" customHeight="false" outlineLevel="0" collapsed="false">
      <c r="C812" s="125"/>
    </row>
    <row r="813" customFormat="false" ht="16.5" hidden="false" customHeight="false" outlineLevel="0" collapsed="false">
      <c r="C813" s="125"/>
    </row>
    <row r="814" customFormat="false" ht="16.5" hidden="false" customHeight="false" outlineLevel="0" collapsed="false">
      <c r="C814" s="125"/>
    </row>
    <row r="815" customFormat="false" ht="16.5" hidden="false" customHeight="false" outlineLevel="0" collapsed="false">
      <c r="C815" s="125"/>
    </row>
    <row r="816" customFormat="false" ht="16.5" hidden="false" customHeight="false" outlineLevel="0" collapsed="false">
      <c r="C816" s="125"/>
    </row>
    <row r="817" customFormat="false" ht="16.5" hidden="false" customHeight="false" outlineLevel="0" collapsed="false">
      <c r="C817" s="125"/>
    </row>
    <row r="818" customFormat="false" ht="16.5" hidden="false" customHeight="false" outlineLevel="0" collapsed="false">
      <c r="C818" s="125"/>
    </row>
    <row r="819" customFormat="false" ht="16.5" hidden="false" customHeight="false" outlineLevel="0" collapsed="false">
      <c r="C819" s="125"/>
    </row>
    <row r="820" customFormat="false" ht="16.5" hidden="false" customHeight="false" outlineLevel="0" collapsed="false">
      <c r="C820" s="125"/>
    </row>
    <row r="821" customFormat="false" ht="16.5" hidden="false" customHeight="false" outlineLevel="0" collapsed="false">
      <c r="C821" s="125"/>
    </row>
    <row r="822" customFormat="false" ht="16.5" hidden="false" customHeight="false" outlineLevel="0" collapsed="false">
      <c r="C822" s="125"/>
    </row>
    <row r="823" customFormat="false" ht="16.5" hidden="false" customHeight="false" outlineLevel="0" collapsed="false">
      <c r="C823" s="125"/>
    </row>
    <row r="824" customFormat="false" ht="16.5" hidden="false" customHeight="false" outlineLevel="0" collapsed="false">
      <c r="C824" s="125"/>
    </row>
    <row r="825" customFormat="false" ht="16.5" hidden="false" customHeight="false" outlineLevel="0" collapsed="false">
      <c r="C825" s="125"/>
    </row>
    <row r="826" customFormat="false" ht="16.5" hidden="false" customHeight="false" outlineLevel="0" collapsed="false">
      <c r="C826" s="125"/>
    </row>
    <row r="827" customFormat="false" ht="16.5" hidden="false" customHeight="false" outlineLevel="0" collapsed="false">
      <c r="C827" s="125"/>
    </row>
    <row r="828" customFormat="false" ht="16.5" hidden="false" customHeight="false" outlineLevel="0" collapsed="false">
      <c r="C828" s="125"/>
    </row>
    <row r="829" customFormat="false" ht="16.5" hidden="false" customHeight="false" outlineLevel="0" collapsed="false">
      <c r="C829" s="125"/>
    </row>
    <row r="830" customFormat="false" ht="16.5" hidden="false" customHeight="false" outlineLevel="0" collapsed="false">
      <c r="C830" s="125"/>
    </row>
    <row r="831" customFormat="false" ht="16.5" hidden="false" customHeight="false" outlineLevel="0" collapsed="false">
      <c r="C831" s="125"/>
    </row>
    <row r="832" customFormat="false" ht="16.5" hidden="false" customHeight="false" outlineLevel="0" collapsed="false">
      <c r="C832" s="125"/>
    </row>
    <row r="833" customFormat="false" ht="16.5" hidden="false" customHeight="false" outlineLevel="0" collapsed="false">
      <c r="C833" s="125"/>
    </row>
    <row r="834" customFormat="false" ht="16.5" hidden="false" customHeight="false" outlineLevel="0" collapsed="false">
      <c r="C834" s="125"/>
    </row>
    <row r="835" customFormat="false" ht="16.5" hidden="false" customHeight="false" outlineLevel="0" collapsed="false">
      <c r="C835" s="125"/>
    </row>
    <row r="836" customFormat="false" ht="16.5" hidden="false" customHeight="false" outlineLevel="0" collapsed="false">
      <c r="C836" s="125"/>
    </row>
    <row r="837" customFormat="false" ht="16.5" hidden="false" customHeight="false" outlineLevel="0" collapsed="false">
      <c r="C837" s="125"/>
    </row>
    <row r="838" customFormat="false" ht="16.5" hidden="false" customHeight="false" outlineLevel="0" collapsed="false">
      <c r="C838" s="125"/>
    </row>
    <row r="839" customFormat="false" ht="16.5" hidden="false" customHeight="false" outlineLevel="0" collapsed="false">
      <c r="C839" s="125"/>
    </row>
    <row r="840" customFormat="false" ht="16.5" hidden="false" customHeight="false" outlineLevel="0" collapsed="false">
      <c r="C840" s="125"/>
    </row>
    <row r="841" customFormat="false" ht="16.5" hidden="false" customHeight="false" outlineLevel="0" collapsed="false">
      <c r="C841" s="125"/>
    </row>
    <row r="842" customFormat="false" ht="16.5" hidden="false" customHeight="false" outlineLevel="0" collapsed="false">
      <c r="C842" s="125"/>
    </row>
    <row r="843" customFormat="false" ht="16.5" hidden="false" customHeight="false" outlineLevel="0" collapsed="false">
      <c r="C843" s="125"/>
    </row>
    <row r="844" customFormat="false" ht="16.5" hidden="false" customHeight="false" outlineLevel="0" collapsed="false">
      <c r="C844" s="125"/>
    </row>
    <row r="845" customFormat="false" ht="16.5" hidden="false" customHeight="false" outlineLevel="0" collapsed="false">
      <c r="C845" s="125"/>
    </row>
    <row r="846" customFormat="false" ht="16.5" hidden="false" customHeight="false" outlineLevel="0" collapsed="false">
      <c r="C846" s="125"/>
    </row>
    <row r="847" customFormat="false" ht="16.5" hidden="false" customHeight="false" outlineLevel="0" collapsed="false">
      <c r="C847" s="125"/>
    </row>
    <row r="848" customFormat="false" ht="16.5" hidden="false" customHeight="false" outlineLevel="0" collapsed="false">
      <c r="C848" s="125"/>
    </row>
    <row r="849" customFormat="false" ht="16.5" hidden="false" customHeight="false" outlineLevel="0" collapsed="false">
      <c r="C849" s="125"/>
    </row>
    <row r="850" customFormat="false" ht="16.5" hidden="false" customHeight="false" outlineLevel="0" collapsed="false">
      <c r="C850" s="125"/>
    </row>
    <row r="851" customFormat="false" ht="16.5" hidden="false" customHeight="false" outlineLevel="0" collapsed="false">
      <c r="C851" s="125"/>
    </row>
    <row r="852" customFormat="false" ht="16.5" hidden="false" customHeight="false" outlineLevel="0" collapsed="false">
      <c r="C852" s="125"/>
    </row>
    <row r="853" customFormat="false" ht="16.5" hidden="false" customHeight="false" outlineLevel="0" collapsed="false">
      <c r="C853" s="125"/>
    </row>
    <row r="854" customFormat="false" ht="16.5" hidden="false" customHeight="false" outlineLevel="0" collapsed="false">
      <c r="C854" s="125"/>
    </row>
    <row r="855" customFormat="false" ht="16.5" hidden="false" customHeight="false" outlineLevel="0" collapsed="false">
      <c r="C855" s="125"/>
    </row>
    <row r="856" customFormat="false" ht="16.5" hidden="false" customHeight="false" outlineLevel="0" collapsed="false">
      <c r="C856" s="125"/>
    </row>
    <row r="857" customFormat="false" ht="16.5" hidden="false" customHeight="false" outlineLevel="0" collapsed="false">
      <c r="C857" s="125"/>
    </row>
    <row r="858" customFormat="false" ht="16.5" hidden="false" customHeight="false" outlineLevel="0" collapsed="false">
      <c r="C858" s="125"/>
    </row>
    <row r="859" customFormat="false" ht="16.5" hidden="false" customHeight="false" outlineLevel="0" collapsed="false">
      <c r="C859" s="125"/>
    </row>
    <row r="860" customFormat="false" ht="16.5" hidden="false" customHeight="false" outlineLevel="0" collapsed="false">
      <c r="C860" s="125"/>
    </row>
    <row r="861" customFormat="false" ht="16.5" hidden="false" customHeight="false" outlineLevel="0" collapsed="false">
      <c r="C861" s="125"/>
    </row>
    <row r="862" customFormat="false" ht="16.5" hidden="false" customHeight="false" outlineLevel="0" collapsed="false">
      <c r="C862" s="125"/>
    </row>
    <row r="863" customFormat="false" ht="16.5" hidden="false" customHeight="false" outlineLevel="0" collapsed="false">
      <c r="C863" s="125"/>
    </row>
    <row r="864" customFormat="false" ht="16.5" hidden="false" customHeight="false" outlineLevel="0" collapsed="false">
      <c r="C864" s="125"/>
    </row>
    <row r="865" customFormat="false" ht="16.5" hidden="false" customHeight="false" outlineLevel="0" collapsed="false">
      <c r="C865" s="125"/>
    </row>
    <row r="866" customFormat="false" ht="16.5" hidden="false" customHeight="false" outlineLevel="0" collapsed="false">
      <c r="C866" s="125"/>
    </row>
    <row r="867" customFormat="false" ht="16.5" hidden="false" customHeight="false" outlineLevel="0" collapsed="false">
      <c r="C867" s="125"/>
    </row>
    <row r="868" customFormat="false" ht="16.5" hidden="false" customHeight="false" outlineLevel="0" collapsed="false">
      <c r="C868" s="125"/>
    </row>
    <row r="869" customFormat="false" ht="16.5" hidden="false" customHeight="false" outlineLevel="0" collapsed="false">
      <c r="C869" s="125"/>
    </row>
    <row r="870" customFormat="false" ht="16.5" hidden="false" customHeight="false" outlineLevel="0" collapsed="false">
      <c r="C870" s="125"/>
    </row>
    <row r="871" customFormat="false" ht="16.5" hidden="false" customHeight="false" outlineLevel="0" collapsed="false">
      <c r="C871" s="125"/>
    </row>
    <row r="872" customFormat="false" ht="16.5" hidden="false" customHeight="false" outlineLevel="0" collapsed="false">
      <c r="C872" s="125"/>
    </row>
    <row r="873" customFormat="false" ht="16.5" hidden="false" customHeight="false" outlineLevel="0" collapsed="false">
      <c r="C873" s="125"/>
    </row>
    <row r="874" customFormat="false" ht="16.5" hidden="false" customHeight="false" outlineLevel="0" collapsed="false">
      <c r="C874" s="125"/>
    </row>
    <row r="875" customFormat="false" ht="16.5" hidden="false" customHeight="false" outlineLevel="0" collapsed="false">
      <c r="C875" s="125"/>
    </row>
    <row r="876" customFormat="false" ht="16.5" hidden="false" customHeight="false" outlineLevel="0" collapsed="false">
      <c r="C876" s="125"/>
    </row>
    <row r="877" customFormat="false" ht="16.5" hidden="false" customHeight="false" outlineLevel="0" collapsed="false">
      <c r="C877" s="125"/>
    </row>
    <row r="878" customFormat="false" ht="16.5" hidden="false" customHeight="false" outlineLevel="0" collapsed="false">
      <c r="C878" s="125"/>
    </row>
    <row r="879" customFormat="false" ht="16.5" hidden="false" customHeight="false" outlineLevel="0" collapsed="false">
      <c r="C879" s="125"/>
    </row>
    <row r="880" customFormat="false" ht="16.5" hidden="false" customHeight="false" outlineLevel="0" collapsed="false">
      <c r="C880" s="125"/>
    </row>
    <row r="881" customFormat="false" ht="16.5" hidden="false" customHeight="false" outlineLevel="0" collapsed="false">
      <c r="C881" s="125"/>
    </row>
    <row r="882" customFormat="false" ht="16.5" hidden="false" customHeight="false" outlineLevel="0" collapsed="false">
      <c r="C882" s="125"/>
    </row>
    <row r="883" customFormat="false" ht="16.5" hidden="false" customHeight="false" outlineLevel="0" collapsed="false">
      <c r="C883" s="125"/>
    </row>
    <row r="884" customFormat="false" ht="16.5" hidden="false" customHeight="false" outlineLevel="0" collapsed="false">
      <c r="C884" s="125"/>
    </row>
    <row r="885" customFormat="false" ht="16.5" hidden="false" customHeight="false" outlineLevel="0" collapsed="false">
      <c r="C885" s="125"/>
    </row>
    <row r="886" customFormat="false" ht="16.5" hidden="false" customHeight="false" outlineLevel="0" collapsed="false">
      <c r="C886" s="125"/>
    </row>
    <row r="887" customFormat="false" ht="16.5" hidden="false" customHeight="false" outlineLevel="0" collapsed="false">
      <c r="C887" s="125"/>
    </row>
    <row r="888" customFormat="false" ht="16.5" hidden="false" customHeight="false" outlineLevel="0" collapsed="false">
      <c r="C888" s="125"/>
    </row>
    <row r="889" customFormat="false" ht="16.5" hidden="false" customHeight="false" outlineLevel="0" collapsed="false">
      <c r="C889" s="125"/>
    </row>
    <row r="890" customFormat="false" ht="16.5" hidden="false" customHeight="false" outlineLevel="0" collapsed="false">
      <c r="C890" s="125"/>
    </row>
    <row r="891" customFormat="false" ht="16.5" hidden="false" customHeight="false" outlineLevel="0" collapsed="false">
      <c r="C891" s="125"/>
    </row>
    <row r="892" customFormat="false" ht="16.5" hidden="false" customHeight="false" outlineLevel="0" collapsed="false">
      <c r="C892" s="125"/>
    </row>
    <row r="893" customFormat="false" ht="16.5" hidden="false" customHeight="false" outlineLevel="0" collapsed="false">
      <c r="C893" s="125"/>
    </row>
    <row r="894" customFormat="false" ht="16.5" hidden="false" customHeight="false" outlineLevel="0" collapsed="false">
      <c r="C894" s="125"/>
    </row>
    <row r="895" customFormat="false" ht="16.5" hidden="false" customHeight="false" outlineLevel="0" collapsed="false">
      <c r="C895" s="125"/>
    </row>
    <row r="896" customFormat="false" ht="16.5" hidden="false" customHeight="false" outlineLevel="0" collapsed="false">
      <c r="C896" s="125"/>
    </row>
    <row r="897" customFormat="false" ht="16.5" hidden="false" customHeight="false" outlineLevel="0" collapsed="false">
      <c r="C897" s="125"/>
    </row>
    <row r="898" customFormat="false" ht="16.5" hidden="false" customHeight="false" outlineLevel="0" collapsed="false">
      <c r="C898" s="125"/>
    </row>
    <row r="899" customFormat="false" ht="16.5" hidden="false" customHeight="false" outlineLevel="0" collapsed="false">
      <c r="C899" s="125"/>
    </row>
    <row r="900" customFormat="false" ht="16.5" hidden="false" customHeight="false" outlineLevel="0" collapsed="false">
      <c r="C900" s="125"/>
    </row>
    <row r="901" customFormat="false" ht="16.5" hidden="false" customHeight="false" outlineLevel="0" collapsed="false">
      <c r="C901" s="125"/>
    </row>
    <row r="902" customFormat="false" ht="16.5" hidden="false" customHeight="false" outlineLevel="0" collapsed="false">
      <c r="C902" s="125"/>
    </row>
    <row r="903" customFormat="false" ht="16.5" hidden="false" customHeight="false" outlineLevel="0" collapsed="false">
      <c r="C903" s="125"/>
    </row>
    <row r="904" customFormat="false" ht="16.5" hidden="false" customHeight="false" outlineLevel="0" collapsed="false">
      <c r="C904" s="125"/>
    </row>
    <row r="905" customFormat="false" ht="16.5" hidden="false" customHeight="false" outlineLevel="0" collapsed="false">
      <c r="C905" s="125"/>
    </row>
    <row r="906" customFormat="false" ht="16.5" hidden="false" customHeight="false" outlineLevel="0" collapsed="false">
      <c r="C906" s="125"/>
    </row>
    <row r="907" customFormat="false" ht="16.5" hidden="false" customHeight="false" outlineLevel="0" collapsed="false">
      <c r="C907" s="125"/>
    </row>
    <row r="908" customFormat="false" ht="16.5" hidden="false" customHeight="false" outlineLevel="0" collapsed="false">
      <c r="C908" s="125"/>
    </row>
    <row r="909" customFormat="false" ht="16.5" hidden="false" customHeight="false" outlineLevel="0" collapsed="false">
      <c r="C909" s="125"/>
    </row>
    <row r="910" customFormat="false" ht="16.5" hidden="false" customHeight="false" outlineLevel="0" collapsed="false">
      <c r="C910" s="125"/>
    </row>
    <row r="911" customFormat="false" ht="16.5" hidden="false" customHeight="false" outlineLevel="0" collapsed="false">
      <c r="C911" s="125"/>
    </row>
    <row r="912" customFormat="false" ht="16.5" hidden="false" customHeight="false" outlineLevel="0" collapsed="false">
      <c r="C912" s="125"/>
    </row>
    <row r="913" customFormat="false" ht="16.5" hidden="false" customHeight="false" outlineLevel="0" collapsed="false">
      <c r="C913" s="125"/>
    </row>
    <row r="914" customFormat="false" ht="16.5" hidden="false" customHeight="false" outlineLevel="0" collapsed="false">
      <c r="C914" s="125"/>
    </row>
    <row r="915" customFormat="false" ht="16.5" hidden="false" customHeight="false" outlineLevel="0" collapsed="false">
      <c r="C915" s="125"/>
    </row>
    <row r="916" customFormat="false" ht="16.5" hidden="false" customHeight="false" outlineLevel="0" collapsed="false">
      <c r="C916" s="125"/>
    </row>
    <row r="917" customFormat="false" ht="16.5" hidden="false" customHeight="false" outlineLevel="0" collapsed="false">
      <c r="C917" s="125"/>
    </row>
    <row r="918" customFormat="false" ht="16.5" hidden="false" customHeight="false" outlineLevel="0" collapsed="false">
      <c r="C918" s="125"/>
    </row>
    <row r="919" customFormat="false" ht="16.5" hidden="false" customHeight="false" outlineLevel="0" collapsed="false">
      <c r="C919" s="125"/>
    </row>
    <row r="920" customFormat="false" ht="16.5" hidden="false" customHeight="false" outlineLevel="0" collapsed="false">
      <c r="C920" s="125"/>
    </row>
    <row r="921" customFormat="false" ht="16.5" hidden="false" customHeight="false" outlineLevel="0" collapsed="false">
      <c r="C921" s="125"/>
    </row>
    <row r="922" customFormat="false" ht="16.5" hidden="false" customHeight="false" outlineLevel="0" collapsed="false">
      <c r="C922" s="125"/>
    </row>
    <row r="923" customFormat="false" ht="16.5" hidden="false" customHeight="false" outlineLevel="0" collapsed="false">
      <c r="C923" s="125"/>
    </row>
    <row r="924" customFormat="false" ht="16.5" hidden="false" customHeight="false" outlineLevel="0" collapsed="false">
      <c r="C924" s="125"/>
    </row>
    <row r="925" customFormat="false" ht="16.5" hidden="false" customHeight="false" outlineLevel="0" collapsed="false">
      <c r="C925" s="125"/>
    </row>
    <row r="926" customFormat="false" ht="16.5" hidden="false" customHeight="false" outlineLevel="0" collapsed="false">
      <c r="C926" s="125"/>
    </row>
    <row r="927" customFormat="false" ht="16.5" hidden="false" customHeight="false" outlineLevel="0" collapsed="false">
      <c r="C927" s="125"/>
    </row>
    <row r="928" customFormat="false" ht="16.5" hidden="false" customHeight="false" outlineLevel="0" collapsed="false">
      <c r="C928" s="125"/>
    </row>
    <row r="929" customFormat="false" ht="16.5" hidden="false" customHeight="false" outlineLevel="0" collapsed="false">
      <c r="C929" s="125"/>
    </row>
    <row r="930" customFormat="false" ht="16.5" hidden="false" customHeight="false" outlineLevel="0" collapsed="false">
      <c r="C930" s="125"/>
    </row>
    <row r="931" customFormat="false" ht="16.5" hidden="false" customHeight="false" outlineLevel="0" collapsed="false">
      <c r="C931" s="125"/>
    </row>
    <row r="932" customFormat="false" ht="16.5" hidden="false" customHeight="false" outlineLevel="0" collapsed="false">
      <c r="C932" s="125"/>
    </row>
    <row r="933" customFormat="false" ht="16.5" hidden="false" customHeight="false" outlineLevel="0" collapsed="false">
      <c r="C933" s="125"/>
    </row>
    <row r="934" customFormat="false" ht="16.5" hidden="false" customHeight="false" outlineLevel="0" collapsed="false">
      <c r="C934" s="125"/>
    </row>
    <row r="935" customFormat="false" ht="16.5" hidden="false" customHeight="false" outlineLevel="0" collapsed="false">
      <c r="C935" s="125"/>
    </row>
    <row r="936" customFormat="false" ht="16.5" hidden="false" customHeight="false" outlineLevel="0" collapsed="false">
      <c r="C936" s="125"/>
    </row>
    <row r="937" customFormat="false" ht="16.5" hidden="false" customHeight="false" outlineLevel="0" collapsed="false">
      <c r="C937" s="125"/>
    </row>
    <row r="938" customFormat="false" ht="16.5" hidden="false" customHeight="false" outlineLevel="0" collapsed="false">
      <c r="C938" s="125"/>
    </row>
    <row r="939" customFormat="false" ht="16.5" hidden="false" customHeight="false" outlineLevel="0" collapsed="false">
      <c r="C939" s="125"/>
    </row>
    <row r="940" customFormat="false" ht="16.5" hidden="false" customHeight="false" outlineLevel="0" collapsed="false">
      <c r="C940" s="125"/>
    </row>
    <row r="941" customFormat="false" ht="16.5" hidden="false" customHeight="false" outlineLevel="0" collapsed="false">
      <c r="C941" s="125"/>
    </row>
    <row r="942" customFormat="false" ht="16.5" hidden="false" customHeight="false" outlineLevel="0" collapsed="false">
      <c r="C942" s="125"/>
    </row>
    <row r="943" customFormat="false" ht="16.5" hidden="false" customHeight="false" outlineLevel="0" collapsed="false">
      <c r="C943" s="125"/>
    </row>
    <row r="944" customFormat="false" ht="16.5" hidden="false" customHeight="false" outlineLevel="0" collapsed="false">
      <c r="C944" s="125"/>
    </row>
    <row r="945" customFormat="false" ht="16.5" hidden="false" customHeight="false" outlineLevel="0" collapsed="false">
      <c r="C945" s="125"/>
    </row>
    <row r="946" customFormat="false" ht="16.5" hidden="false" customHeight="false" outlineLevel="0" collapsed="false">
      <c r="C946" s="125"/>
    </row>
    <row r="947" customFormat="false" ht="16.5" hidden="false" customHeight="false" outlineLevel="0" collapsed="false">
      <c r="C947" s="125"/>
    </row>
    <row r="948" customFormat="false" ht="16.5" hidden="false" customHeight="false" outlineLevel="0" collapsed="false">
      <c r="C948" s="125"/>
    </row>
    <row r="949" customFormat="false" ht="16.5" hidden="false" customHeight="false" outlineLevel="0" collapsed="false">
      <c r="C949" s="125"/>
    </row>
    <row r="950" customFormat="false" ht="16.5" hidden="false" customHeight="false" outlineLevel="0" collapsed="false">
      <c r="C950" s="125"/>
    </row>
    <row r="951" customFormat="false" ht="16.5" hidden="false" customHeight="false" outlineLevel="0" collapsed="false">
      <c r="C951" s="125"/>
    </row>
    <row r="952" customFormat="false" ht="16.5" hidden="false" customHeight="false" outlineLevel="0" collapsed="false">
      <c r="C952" s="125"/>
    </row>
    <row r="953" customFormat="false" ht="16.5" hidden="false" customHeight="false" outlineLevel="0" collapsed="false">
      <c r="C953" s="125"/>
    </row>
    <row r="954" customFormat="false" ht="16.5" hidden="false" customHeight="false" outlineLevel="0" collapsed="false">
      <c r="C954" s="125"/>
    </row>
    <row r="955" customFormat="false" ht="16.5" hidden="false" customHeight="false" outlineLevel="0" collapsed="false">
      <c r="C955" s="125"/>
    </row>
    <row r="956" customFormat="false" ht="16.5" hidden="false" customHeight="false" outlineLevel="0" collapsed="false">
      <c r="C956" s="125"/>
    </row>
    <row r="957" customFormat="false" ht="16.5" hidden="false" customHeight="false" outlineLevel="0" collapsed="false">
      <c r="C957" s="125"/>
    </row>
    <row r="958" customFormat="false" ht="16.5" hidden="false" customHeight="false" outlineLevel="0" collapsed="false">
      <c r="C958" s="125"/>
    </row>
    <row r="959" customFormat="false" ht="16.5" hidden="false" customHeight="false" outlineLevel="0" collapsed="false">
      <c r="C959" s="125"/>
    </row>
    <row r="960" customFormat="false" ht="16.5" hidden="false" customHeight="false" outlineLevel="0" collapsed="false">
      <c r="C960" s="125"/>
    </row>
    <row r="961" customFormat="false" ht="16.5" hidden="false" customHeight="false" outlineLevel="0" collapsed="false">
      <c r="C961" s="125"/>
    </row>
    <row r="962" customFormat="false" ht="16.5" hidden="false" customHeight="false" outlineLevel="0" collapsed="false">
      <c r="C962" s="125"/>
    </row>
    <row r="963" customFormat="false" ht="16.5" hidden="false" customHeight="false" outlineLevel="0" collapsed="false">
      <c r="C963" s="125"/>
    </row>
    <row r="964" customFormat="false" ht="16.5" hidden="false" customHeight="false" outlineLevel="0" collapsed="false">
      <c r="C964" s="125"/>
    </row>
    <row r="965" customFormat="false" ht="16.5" hidden="false" customHeight="false" outlineLevel="0" collapsed="false">
      <c r="C965" s="125"/>
    </row>
    <row r="966" customFormat="false" ht="16.5" hidden="false" customHeight="false" outlineLevel="0" collapsed="false">
      <c r="C966" s="125"/>
    </row>
    <row r="967" customFormat="false" ht="16.5" hidden="false" customHeight="false" outlineLevel="0" collapsed="false">
      <c r="C967" s="125"/>
    </row>
    <row r="968" customFormat="false" ht="16.5" hidden="false" customHeight="false" outlineLevel="0" collapsed="false">
      <c r="C968" s="125"/>
    </row>
    <row r="969" customFormat="false" ht="16.5" hidden="false" customHeight="false" outlineLevel="0" collapsed="false">
      <c r="C969" s="125"/>
    </row>
    <row r="970" customFormat="false" ht="16.5" hidden="false" customHeight="false" outlineLevel="0" collapsed="false">
      <c r="C970" s="125"/>
    </row>
    <row r="971" customFormat="false" ht="16.5" hidden="false" customHeight="false" outlineLevel="0" collapsed="false">
      <c r="C971" s="125"/>
    </row>
    <row r="972" customFormat="false" ht="16.5" hidden="false" customHeight="false" outlineLevel="0" collapsed="false">
      <c r="C972" s="125"/>
    </row>
    <row r="973" customFormat="false" ht="16.5" hidden="false" customHeight="false" outlineLevel="0" collapsed="false">
      <c r="C973" s="125"/>
    </row>
    <row r="974" customFormat="false" ht="16.5" hidden="false" customHeight="false" outlineLevel="0" collapsed="false">
      <c r="C974" s="125"/>
    </row>
    <row r="975" customFormat="false" ht="16.5" hidden="false" customHeight="false" outlineLevel="0" collapsed="false">
      <c r="C975" s="125"/>
    </row>
    <row r="976" customFormat="false" ht="16.5" hidden="false" customHeight="false" outlineLevel="0" collapsed="false">
      <c r="C976" s="125"/>
    </row>
    <row r="977" customFormat="false" ht="16.5" hidden="false" customHeight="false" outlineLevel="0" collapsed="false">
      <c r="C977" s="125"/>
    </row>
    <row r="978" customFormat="false" ht="16.5" hidden="false" customHeight="false" outlineLevel="0" collapsed="false">
      <c r="C978" s="125"/>
    </row>
    <row r="979" customFormat="false" ht="16.5" hidden="false" customHeight="false" outlineLevel="0" collapsed="false">
      <c r="C979" s="125"/>
    </row>
    <row r="980" customFormat="false" ht="16.5" hidden="false" customHeight="false" outlineLevel="0" collapsed="false">
      <c r="C980" s="125"/>
    </row>
    <row r="981" customFormat="false" ht="16.5" hidden="false" customHeight="false" outlineLevel="0" collapsed="false">
      <c r="C981" s="125"/>
    </row>
    <row r="982" customFormat="false" ht="16.5" hidden="false" customHeight="false" outlineLevel="0" collapsed="false">
      <c r="C982" s="125"/>
    </row>
    <row r="983" customFormat="false" ht="16.5" hidden="false" customHeight="false" outlineLevel="0" collapsed="false">
      <c r="C983" s="125"/>
    </row>
    <row r="984" customFormat="false" ht="16.5" hidden="false" customHeight="false" outlineLevel="0" collapsed="false">
      <c r="C984" s="125"/>
    </row>
    <row r="985" customFormat="false" ht="16.5" hidden="false" customHeight="false" outlineLevel="0" collapsed="false">
      <c r="C985" s="125"/>
    </row>
    <row r="986" customFormat="false" ht="16.5" hidden="false" customHeight="false" outlineLevel="0" collapsed="false">
      <c r="C986" s="125"/>
    </row>
    <row r="987" customFormat="false" ht="16.5" hidden="false" customHeight="false" outlineLevel="0" collapsed="false">
      <c r="C987" s="125"/>
    </row>
    <row r="988" customFormat="false" ht="16.5" hidden="false" customHeight="false" outlineLevel="0" collapsed="false">
      <c r="C988" s="125"/>
    </row>
    <row r="989" customFormat="false" ht="16.5" hidden="false" customHeight="false" outlineLevel="0" collapsed="false">
      <c r="C989" s="125"/>
    </row>
    <row r="990" customFormat="false" ht="16.5" hidden="false" customHeight="false" outlineLevel="0" collapsed="false">
      <c r="C990" s="125"/>
    </row>
    <row r="991" customFormat="false" ht="16.5" hidden="false" customHeight="false" outlineLevel="0" collapsed="false">
      <c r="C991" s="125"/>
    </row>
    <row r="992" customFormat="false" ht="16.5" hidden="false" customHeight="false" outlineLevel="0" collapsed="false">
      <c r="C992" s="125"/>
    </row>
    <row r="993" customFormat="false" ht="16.5" hidden="false" customHeight="false" outlineLevel="0" collapsed="false">
      <c r="C993" s="125"/>
    </row>
    <row r="994" customFormat="false" ht="16.5" hidden="false" customHeight="false" outlineLevel="0" collapsed="false">
      <c r="C994" s="125"/>
    </row>
    <row r="995" customFormat="false" ht="16.5" hidden="false" customHeight="false" outlineLevel="0" collapsed="false">
      <c r="C995" s="125"/>
    </row>
    <row r="996" customFormat="false" ht="16.5" hidden="false" customHeight="false" outlineLevel="0" collapsed="false">
      <c r="C996" s="125"/>
    </row>
    <row r="997" customFormat="false" ht="16.5" hidden="false" customHeight="false" outlineLevel="0" collapsed="false">
      <c r="C997" s="125"/>
    </row>
    <row r="998" customFormat="false" ht="16.5" hidden="false" customHeight="false" outlineLevel="0" collapsed="false">
      <c r="C998" s="125"/>
    </row>
    <row r="999" customFormat="false" ht="16.5" hidden="false" customHeight="false" outlineLevel="0" collapsed="false">
      <c r="C999" s="125"/>
    </row>
    <row r="1000" customFormat="false" ht="16.5" hidden="false" customHeight="false" outlineLevel="0" collapsed="false">
      <c r="C1000" s="125"/>
    </row>
    <row r="1001" customFormat="false" ht="16.5" hidden="false" customHeight="false" outlineLevel="0" collapsed="false">
      <c r="C1001" s="125"/>
    </row>
    <row r="1002" customFormat="false" ht="16.5" hidden="false" customHeight="false" outlineLevel="0" collapsed="false">
      <c r="C1002" s="125"/>
    </row>
    <row r="1003" customFormat="false" ht="16.5" hidden="false" customHeight="false" outlineLevel="0" collapsed="false">
      <c r="C1003" s="125"/>
    </row>
    <row r="1004" customFormat="false" ht="16.5" hidden="false" customHeight="false" outlineLevel="0" collapsed="false">
      <c r="C1004" s="125"/>
    </row>
    <row r="1005" customFormat="false" ht="16.5" hidden="false" customHeight="false" outlineLevel="0" collapsed="false">
      <c r="C1005" s="125"/>
    </row>
    <row r="1006" customFormat="false" ht="16.5" hidden="false" customHeight="false" outlineLevel="0" collapsed="false">
      <c r="C1006" s="125"/>
    </row>
    <row r="1007" customFormat="false" ht="16.5" hidden="false" customHeight="false" outlineLevel="0" collapsed="false">
      <c r="C1007" s="125"/>
    </row>
    <row r="1008" customFormat="false" ht="16.5" hidden="false" customHeight="false" outlineLevel="0" collapsed="false">
      <c r="C1008" s="125"/>
    </row>
    <row r="1009" customFormat="false" ht="16.5" hidden="false" customHeight="false" outlineLevel="0" collapsed="false">
      <c r="C1009" s="125"/>
    </row>
    <row r="1010" customFormat="false" ht="16.5" hidden="false" customHeight="false" outlineLevel="0" collapsed="false">
      <c r="C1010" s="125"/>
    </row>
    <row r="1011" customFormat="false" ht="16.5" hidden="false" customHeight="false" outlineLevel="0" collapsed="false">
      <c r="C1011" s="125"/>
    </row>
    <row r="1012" customFormat="false" ht="16.5" hidden="false" customHeight="false" outlineLevel="0" collapsed="false">
      <c r="C1012" s="125"/>
    </row>
    <row r="1013" customFormat="false" ht="16.5" hidden="false" customHeight="false" outlineLevel="0" collapsed="false">
      <c r="C1013" s="125"/>
    </row>
    <row r="1014" customFormat="false" ht="16.5" hidden="false" customHeight="false" outlineLevel="0" collapsed="false">
      <c r="C1014" s="125"/>
    </row>
    <row r="1015" customFormat="false" ht="16.5" hidden="false" customHeight="false" outlineLevel="0" collapsed="false">
      <c r="C1015" s="125"/>
    </row>
    <row r="1016" customFormat="false" ht="16.5" hidden="false" customHeight="false" outlineLevel="0" collapsed="false">
      <c r="C1016" s="125"/>
    </row>
    <row r="1017" customFormat="false" ht="16.5" hidden="false" customHeight="false" outlineLevel="0" collapsed="false">
      <c r="C1017" s="125"/>
    </row>
    <row r="1018" customFormat="false" ht="16.5" hidden="false" customHeight="false" outlineLevel="0" collapsed="false">
      <c r="C1018" s="125"/>
    </row>
    <row r="1019" customFormat="false" ht="16.5" hidden="false" customHeight="false" outlineLevel="0" collapsed="false">
      <c r="C1019" s="125"/>
    </row>
    <row r="1020" customFormat="false" ht="16.5" hidden="false" customHeight="false" outlineLevel="0" collapsed="false">
      <c r="C1020" s="125"/>
    </row>
    <row r="1021" customFormat="false" ht="16.5" hidden="false" customHeight="false" outlineLevel="0" collapsed="false">
      <c r="C1021" s="125"/>
    </row>
    <row r="1022" customFormat="false" ht="16.5" hidden="false" customHeight="false" outlineLevel="0" collapsed="false">
      <c r="C1022" s="125"/>
    </row>
    <row r="1023" customFormat="false" ht="16.5" hidden="false" customHeight="false" outlineLevel="0" collapsed="false">
      <c r="C1023" s="125"/>
    </row>
    <row r="1024" customFormat="false" ht="16.5" hidden="false" customHeight="false" outlineLevel="0" collapsed="false">
      <c r="C1024" s="125"/>
    </row>
    <row r="1025" customFormat="false" ht="16.5" hidden="false" customHeight="false" outlineLevel="0" collapsed="false">
      <c r="C1025" s="125"/>
    </row>
    <row r="1026" customFormat="false" ht="16.5" hidden="false" customHeight="false" outlineLevel="0" collapsed="false">
      <c r="C1026" s="125"/>
    </row>
    <row r="1027" customFormat="false" ht="16.5" hidden="false" customHeight="false" outlineLevel="0" collapsed="false">
      <c r="C1027" s="125"/>
    </row>
    <row r="1028" customFormat="false" ht="16.5" hidden="false" customHeight="false" outlineLevel="0" collapsed="false">
      <c r="C1028" s="125"/>
    </row>
    <row r="1029" customFormat="false" ht="16.5" hidden="false" customHeight="false" outlineLevel="0" collapsed="false">
      <c r="C1029" s="125"/>
    </row>
    <row r="1030" customFormat="false" ht="16.5" hidden="false" customHeight="false" outlineLevel="0" collapsed="false">
      <c r="C1030" s="125"/>
    </row>
    <row r="1031" customFormat="false" ht="16.5" hidden="false" customHeight="false" outlineLevel="0" collapsed="false">
      <c r="C1031" s="125"/>
    </row>
    <row r="1032" customFormat="false" ht="16.5" hidden="false" customHeight="false" outlineLevel="0" collapsed="false">
      <c r="C1032" s="125"/>
    </row>
    <row r="1033" customFormat="false" ht="16.5" hidden="false" customHeight="false" outlineLevel="0" collapsed="false">
      <c r="C1033" s="125"/>
    </row>
    <row r="1034" customFormat="false" ht="16.5" hidden="false" customHeight="false" outlineLevel="0" collapsed="false">
      <c r="C1034" s="125"/>
    </row>
    <row r="1035" customFormat="false" ht="16.5" hidden="false" customHeight="false" outlineLevel="0" collapsed="false">
      <c r="C1035" s="125"/>
    </row>
    <row r="1036" customFormat="false" ht="16.5" hidden="false" customHeight="false" outlineLevel="0" collapsed="false">
      <c r="C1036" s="125"/>
    </row>
    <row r="1037" customFormat="false" ht="16.5" hidden="false" customHeight="false" outlineLevel="0" collapsed="false">
      <c r="C1037" s="125"/>
    </row>
    <row r="1038" customFormat="false" ht="16.5" hidden="false" customHeight="false" outlineLevel="0" collapsed="false">
      <c r="C1038" s="125"/>
    </row>
    <row r="1039" customFormat="false" ht="16.5" hidden="false" customHeight="false" outlineLevel="0" collapsed="false">
      <c r="C1039" s="125"/>
    </row>
    <row r="1040" customFormat="false" ht="16.5" hidden="false" customHeight="false" outlineLevel="0" collapsed="false">
      <c r="C1040" s="125"/>
    </row>
    <row r="1041" customFormat="false" ht="16.5" hidden="false" customHeight="false" outlineLevel="0" collapsed="false">
      <c r="C1041" s="125"/>
    </row>
    <row r="1042" customFormat="false" ht="16.5" hidden="false" customHeight="false" outlineLevel="0" collapsed="false">
      <c r="C1042" s="125"/>
    </row>
    <row r="1043" customFormat="false" ht="16.5" hidden="false" customHeight="false" outlineLevel="0" collapsed="false">
      <c r="C1043" s="125"/>
    </row>
    <row r="1044" customFormat="false" ht="16.5" hidden="false" customHeight="false" outlineLevel="0" collapsed="false">
      <c r="C1044" s="125"/>
    </row>
    <row r="1045" customFormat="false" ht="16.5" hidden="false" customHeight="false" outlineLevel="0" collapsed="false">
      <c r="C1045" s="125"/>
    </row>
    <row r="1046" customFormat="false" ht="16.5" hidden="false" customHeight="false" outlineLevel="0" collapsed="false">
      <c r="C1046" s="125"/>
    </row>
    <row r="1047" customFormat="false" ht="16.5" hidden="false" customHeight="false" outlineLevel="0" collapsed="false">
      <c r="C1047" s="125"/>
    </row>
    <row r="1048" customFormat="false" ht="16.5" hidden="false" customHeight="false" outlineLevel="0" collapsed="false">
      <c r="C1048" s="125"/>
    </row>
    <row r="1049" customFormat="false" ht="16.5" hidden="false" customHeight="false" outlineLevel="0" collapsed="false">
      <c r="C1049" s="125"/>
    </row>
    <row r="1050" customFormat="false" ht="16.5" hidden="false" customHeight="false" outlineLevel="0" collapsed="false">
      <c r="C1050" s="125"/>
    </row>
    <row r="1051" customFormat="false" ht="16.5" hidden="false" customHeight="false" outlineLevel="0" collapsed="false">
      <c r="C1051" s="125"/>
    </row>
    <row r="1052" customFormat="false" ht="16.5" hidden="false" customHeight="false" outlineLevel="0" collapsed="false">
      <c r="C1052" s="125"/>
    </row>
    <row r="1053" customFormat="false" ht="16.5" hidden="false" customHeight="false" outlineLevel="0" collapsed="false">
      <c r="C1053" s="125"/>
    </row>
    <row r="1054" customFormat="false" ht="16.5" hidden="false" customHeight="false" outlineLevel="0" collapsed="false">
      <c r="C1054" s="125"/>
    </row>
    <row r="1055" customFormat="false" ht="16.5" hidden="false" customHeight="false" outlineLevel="0" collapsed="false">
      <c r="C1055" s="125"/>
    </row>
    <row r="1056" customFormat="false" ht="16.5" hidden="false" customHeight="false" outlineLevel="0" collapsed="false">
      <c r="C1056" s="125"/>
    </row>
    <row r="1057" customFormat="false" ht="16.5" hidden="false" customHeight="false" outlineLevel="0" collapsed="false">
      <c r="C1057" s="125"/>
    </row>
    <row r="1058" customFormat="false" ht="16.5" hidden="false" customHeight="false" outlineLevel="0" collapsed="false">
      <c r="C1058" s="125"/>
    </row>
    <row r="1059" customFormat="false" ht="16.5" hidden="false" customHeight="false" outlineLevel="0" collapsed="false">
      <c r="C1059" s="125"/>
    </row>
    <row r="1060" customFormat="false" ht="16.5" hidden="false" customHeight="false" outlineLevel="0" collapsed="false">
      <c r="C1060" s="125"/>
    </row>
    <row r="1061" customFormat="false" ht="16.5" hidden="false" customHeight="false" outlineLevel="0" collapsed="false">
      <c r="C1061" s="125"/>
    </row>
    <row r="1062" customFormat="false" ht="16.5" hidden="false" customHeight="false" outlineLevel="0" collapsed="false">
      <c r="C1062" s="125"/>
    </row>
    <row r="1063" customFormat="false" ht="16.5" hidden="false" customHeight="false" outlineLevel="0" collapsed="false">
      <c r="C1063" s="125"/>
    </row>
    <row r="1064" customFormat="false" ht="16.5" hidden="false" customHeight="false" outlineLevel="0" collapsed="false">
      <c r="C1064" s="125"/>
    </row>
    <row r="1065" customFormat="false" ht="16.5" hidden="false" customHeight="false" outlineLevel="0" collapsed="false">
      <c r="C1065" s="125"/>
    </row>
    <row r="1066" customFormat="false" ht="16.5" hidden="false" customHeight="false" outlineLevel="0" collapsed="false">
      <c r="C1066" s="125"/>
    </row>
    <row r="1067" customFormat="false" ht="16.5" hidden="false" customHeight="false" outlineLevel="0" collapsed="false">
      <c r="C1067" s="125"/>
    </row>
    <row r="1068" customFormat="false" ht="16.5" hidden="false" customHeight="false" outlineLevel="0" collapsed="false">
      <c r="C1068" s="125"/>
    </row>
    <row r="1069" customFormat="false" ht="16.5" hidden="false" customHeight="false" outlineLevel="0" collapsed="false">
      <c r="C1069" s="125"/>
    </row>
    <row r="1070" customFormat="false" ht="16.5" hidden="false" customHeight="false" outlineLevel="0" collapsed="false">
      <c r="C1070" s="125"/>
    </row>
    <row r="1071" customFormat="false" ht="16.5" hidden="false" customHeight="false" outlineLevel="0" collapsed="false">
      <c r="C1071" s="125"/>
    </row>
    <row r="1072" customFormat="false" ht="16.5" hidden="false" customHeight="false" outlineLevel="0" collapsed="false">
      <c r="C1072" s="125"/>
    </row>
    <row r="1073" customFormat="false" ht="16.5" hidden="false" customHeight="false" outlineLevel="0" collapsed="false">
      <c r="C1073" s="125"/>
    </row>
    <row r="1074" customFormat="false" ht="16.5" hidden="false" customHeight="false" outlineLevel="0" collapsed="false">
      <c r="C1074" s="125"/>
    </row>
    <row r="1075" customFormat="false" ht="16.5" hidden="false" customHeight="false" outlineLevel="0" collapsed="false">
      <c r="C1075" s="125"/>
    </row>
    <row r="1076" customFormat="false" ht="16.5" hidden="false" customHeight="false" outlineLevel="0" collapsed="false">
      <c r="C1076" s="125"/>
    </row>
    <row r="1077" customFormat="false" ht="16.5" hidden="false" customHeight="false" outlineLevel="0" collapsed="false">
      <c r="C1077" s="125"/>
    </row>
    <row r="1078" customFormat="false" ht="16.5" hidden="false" customHeight="false" outlineLevel="0" collapsed="false">
      <c r="C1078" s="125"/>
    </row>
    <row r="1079" customFormat="false" ht="16.5" hidden="false" customHeight="false" outlineLevel="0" collapsed="false">
      <c r="C1079" s="125"/>
    </row>
    <row r="1080" customFormat="false" ht="16.5" hidden="false" customHeight="false" outlineLevel="0" collapsed="false">
      <c r="C1080" s="125"/>
    </row>
    <row r="1081" customFormat="false" ht="16.5" hidden="false" customHeight="false" outlineLevel="0" collapsed="false">
      <c r="C1081" s="125"/>
    </row>
    <row r="1082" customFormat="false" ht="16.5" hidden="false" customHeight="false" outlineLevel="0" collapsed="false">
      <c r="C1082" s="125"/>
    </row>
    <row r="1083" customFormat="false" ht="16.5" hidden="false" customHeight="false" outlineLevel="0" collapsed="false">
      <c r="C1083" s="125"/>
    </row>
    <row r="1084" customFormat="false" ht="16.5" hidden="false" customHeight="false" outlineLevel="0" collapsed="false">
      <c r="C1084" s="125"/>
    </row>
    <row r="1085" customFormat="false" ht="16.5" hidden="false" customHeight="false" outlineLevel="0" collapsed="false">
      <c r="C1085" s="125"/>
    </row>
    <row r="1086" customFormat="false" ht="16.5" hidden="false" customHeight="false" outlineLevel="0" collapsed="false">
      <c r="C1086" s="125"/>
    </row>
    <row r="1087" customFormat="false" ht="16.5" hidden="false" customHeight="false" outlineLevel="0" collapsed="false">
      <c r="C1087" s="125"/>
    </row>
    <row r="1088" customFormat="false" ht="16.5" hidden="false" customHeight="false" outlineLevel="0" collapsed="false">
      <c r="C1088" s="125"/>
    </row>
    <row r="1089" customFormat="false" ht="16.5" hidden="false" customHeight="false" outlineLevel="0" collapsed="false">
      <c r="C1089" s="125"/>
    </row>
    <row r="1090" customFormat="false" ht="16.5" hidden="false" customHeight="false" outlineLevel="0" collapsed="false">
      <c r="C1090" s="125"/>
    </row>
    <row r="1091" customFormat="false" ht="16.5" hidden="false" customHeight="false" outlineLevel="0" collapsed="false">
      <c r="C1091" s="125"/>
    </row>
    <row r="1092" customFormat="false" ht="16.5" hidden="false" customHeight="false" outlineLevel="0" collapsed="false">
      <c r="C1092" s="125"/>
    </row>
    <row r="1093" customFormat="false" ht="16.5" hidden="false" customHeight="false" outlineLevel="0" collapsed="false">
      <c r="C1093" s="125"/>
    </row>
    <row r="1094" customFormat="false" ht="16.5" hidden="false" customHeight="false" outlineLevel="0" collapsed="false">
      <c r="C1094" s="125"/>
    </row>
    <row r="1095" customFormat="false" ht="16.5" hidden="false" customHeight="false" outlineLevel="0" collapsed="false">
      <c r="C1095" s="125"/>
    </row>
    <row r="1096" customFormat="false" ht="16.5" hidden="false" customHeight="false" outlineLevel="0" collapsed="false">
      <c r="C1096" s="125"/>
    </row>
    <row r="1097" customFormat="false" ht="16.5" hidden="false" customHeight="false" outlineLevel="0" collapsed="false">
      <c r="C1097" s="125"/>
    </row>
    <row r="1098" customFormat="false" ht="16.5" hidden="false" customHeight="false" outlineLevel="0" collapsed="false">
      <c r="C1098" s="125"/>
    </row>
    <row r="1099" customFormat="false" ht="16.5" hidden="false" customHeight="false" outlineLevel="0" collapsed="false">
      <c r="C1099" s="125"/>
    </row>
    <row r="1100" customFormat="false" ht="16.5" hidden="false" customHeight="false" outlineLevel="0" collapsed="false">
      <c r="C1100" s="125"/>
    </row>
    <row r="1101" customFormat="false" ht="16.5" hidden="false" customHeight="false" outlineLevel="0" collapsed="false">
      <c r="C1101" s="125"/>
    </row>
    <row r="1102" customFormat="false" ht="16.5" hidden="false" customHeight="false" outlineLevel="0" collapsed="false">
      <c r="C1102" s="125"/>
    </row>
    <row r="1103" customFormat="false" ht="16.5" hidden="false" customHeight="false" outlineLevel="0" collapsed="false">
      <c r="C1103" s="125"/>
    </row>
    <row r="1104" customFormat="false" ht="16.5" hidden="false" customHeight="false" outlineLevel="0" collapsed="false">
      <c r="C1104" s="125"/>
    </row>
    <row r="1105" customFormat="false" ht="16.5" hidden="false" customHeight="false" outlineLevel="0" collapsed="false">
      <c r="C1105" s="125"/>
    </row>
    <row r="1106" customFormat="false" ht="16.5" hidden="false" customHeight="false" outlineLevel="0" collapsed="false">
      <c r="C1106" s="125"/>
    </row>
    <row r="1107" customFormat="false" ht="16.5" hidden="false" customHeight="false" outlineLevel="0" collapsed="false">
      <c r="C1107" s="125"/>
    </row>
    <row r="1108" customFormat="false" ht="16.5" hidden="false" customHeight="false" outlineLevel="0" collapsed="false">
      <c r="C1108" s="125"/>
    </row>
    <row r="1109" customFormat="false" ht="16.5" hidden="false" customHeight="false" outlineLevel="0" collapsed="false">
      <c r="C1109" s="125"/>
    </row>
    <row r="1110" customFormat="false" ht="16.5" hidden="false" customHeight="false" outlineLevel="0" collapsed="false">
      <c r="C1110" s="125"/>
    </row>
    <row r="1111" customFormat="false" ht="16.5" hidden="false" customHeight="false" outlineLevel="0" collapsed="false">
      <c r="C1111" s="125"/>
    </row>
    <row r="1112" customFormat="false" ht="16.5" hidden="false" customHeight="false" outlineLevel="0" collapsed="false">
      <c r="C1112" s="125"/>
    </row>
    <row r="1113" customFormat="false" ht="16.5" hidden="false" customHeight="false" outlineLevel="0" collapsed="false">
      <c r="C1113" s="125"/>
    </row>
    <row r="1114" customFormat="false" ht="16.5" hidden="false" customHeight="false" outlineLevel="0" collapsed="false">
      <c r="C1114" s="125"/>
    </row>
    <row r="1115" customFormat="false" ht="16.5" hidden="false" customHeight="false" outlineLevel="0" collapsed="false">
      <c r="C1115" s="125"/>
    </row>
    <row r="1116" customFormat="false" ht="16.5" hidden="false" customHeight="false" outlineLevel="0" collapsed="false">
      <c r="C1116" s="125"/>
    </row>
    <row r="1117" customFormat="false" ht="16.5" hidden="false" customHeight="false" outlineLevel="0" collapsed="false">
      <c r="C1117" s="125"/>
    </row>
    <row r="1118" customFormat="false" ht="16.5" hidden="false" customHeight="false" outlineLevel="0" collapsed="false">
      <c r="C1118" s="125"/>
    </row>
    <row r="1119" customFormat="false" ht="16.5" hidden="false" customHeight="false" outlineLevel="0" collapsed="false">
      <c r="C1119" s="125"/>
    </row>
    <row r="1120" customFormat="false" ht="16.5" hidden="false" customHeight="false" outlineLevel="0" collapsed="false">
      <c r="C1120" s="125"/>
    </row>
    <row r="1121" customFormat="false" ht="16.5" hidden="false" customHeight="false" outlineLevel="0" collapsed="false">
      <c r="C1121" s="125"/>
    </row>
    <row r="1122" customFormat="false" ht="16.5" hidden="false" customHeight="false" outlineLevel="0" collapsed="false">
      <c r="C1122" s="125"/>
    </row>
    <row r="1123" customFormat="false" ht="16.5" hidden="false" customHeight="false" outlineLevel="0" collapsed="false">
      <c r="C1123" s="125"/>
    </row>
    <row r="1124" customFormat="false" ht="16.5" hidden="false" customHeight="false" outlineLevel="0" collapsed="false">
      <c r="C1124" s="125"/>
    </row>
    <row r="1125" customFormat="false" ht="16.5" hidden="false" customHeight="false" outlineLevel="0" collapsed="false">
      <c r="C1125" s="125"/>
    </row>
    <row r="1126" customFormat="false" ht="16.5" hidden="false" customHeight="false" outlineLevel="0" collapsed="false">
      <c r="C1126" s="125"/>
    </row>
    <row r="1127" customFormat="false" ht="16.5" hidden="false" customHeight="false" outlineLevel="0" collapsed="false">
      <c r="C1127" s="125"/>
    </row>
    <row r="1128" customFormat="false" ht="16.5" hidden="false" customHeight="false" outlineLevel="0" collapsed="false">
      <c r="C1128" s="125"/>
    </row>
    <row r="1129" customFormat="false" ht="16.5" hidden="false" customHeight="false" outlineLevel="0" collapsed="false">
      <c r="C1129" s="125"/>
    </row>
    <row r="1130" customFormat="false" ht="16.5" hidden="false" customHeight="false" outlineLevel="0" collapsed="false">
      <c r="C1130" s="125"/>
    </row>
    <row r="1131" customFormat="false" ht="16.5" hidden="false" customHeight="false" outlineLevel="0" collapsed="false">
      <c r="C1131" s="125"/>
    </row>
    <row r="1132" customFormat="false" ht="16.5" hidden="false" customHeight="false" outlineLevel="0" collapsed="false">
      <c r="C1132" s="125"/>
    </row>
    <row r="1133" customFormat="false" ht="16.5" hidden="false" customHeight="false" outlineLevel="0" collapsed="false">
      <c r="C1133" s="125"/>
    </row>
    <row r="1134" customFormat="false" ht="16.5" hidden="false" customHeight="false" outlineLevel="0" collapsed="false">
      <c r="C1134" s="125"/>
    </row>
    <row r="1135" customFormat="false" ht="16.5" hidden="false" customHeight="false" outlineLevel="0" collapsed="false">
      <c r="C1135" s="125"/>
    </row>
    <row r="1136" customFormat="false" ht="16.5" hidden="false" customHeight="false" outlineLevel="0" collapsed="false">
      <c r="C1136" s="125"/>
    </row>
    <row r="1137" customFormat="false" ht="16.5" hidden="false" customHeight="false" outlineLevel="0" collapsed="false">
      <c r="C1137" s="125"/>
    </row>
    <row r="1138" customFormat="false" ht="16.5" hidden="false" customHeight="false" outlineLevel="0" collapsed="false">
      <c r="C1138" s="125"/>
    </row>
    <row r="1139" customFormat="false" ht="16.5" hidden="false" customHeight="false" outlineLevel="0" collapsed="false">
      <c r="C1139" s="125"/>
    </row>
    <row r="1140" customFormat="false" ht="16.5" hidden="false" customHeight="false" outlineLevel="0" collapsed="false">
      <c r="C1140" s="125"/>
    </row>
    <row r="1141" customFormat="false" ht="16.5" hidden="false" customHeight="false" outlineLevel="0" collapsed="false">
      <c r="C1141" s="125"/>
    </row>
    <row r="1142" customFormat="false" ht="16.5" hidden="false" customHeight="false" outlineLevel="0" collapsed="false">
      <c r="C1142" s="125"/>
    </row>
    <row r="1143" customFormat="false" ht="16.5" hidden="false" customHeight="false" outlineLevel="0" collapsed="false">
      <c r="C1143" s="125"/>
    </row>
    <row r="1144" customFormat="false" ht="16.5" hidden="false" customHeight="false" outlineLevel="0" collapsed="false">
      <c r="C1144" s="125"/>
    </row>
    <row r="1145" customFormat="false" ht="16.5" hidden="false" customHeight="false" outlineLevel="0" collapsed="false">
      <c r="C1145" s="125"/>
    </row>
    <row r="1146" customFormat="false" ht="16.5" hidden="false" customHeight="false" outlineLevel="0" collapsed="false">
      <c r="C1146" s="125"/>
    </row>
    <row r="1147" customFormat="false" ht="16.5" hidden="false" customHeight="false" outlineLevel="0" collapsed="false">
      <c r="C1147" s="125"/>
    </row>
    <row r="1148" customFormat="false" ht="16.5" hidden="false" customHeight="false" outlineLevel="0" collapsed="false">
      <c r="C1148" s="125"/>
    </row>
    <row r="1149" customFormat="false" ht="16.5" hidden="false" customHeight="false" outlineLevel="0" collapsed="false">
      <c r="C1149" s="125"/>
    </row>
    <row r="1150" customFormat="false" ht="16.5" hidden="false" customHeight="false" outlineLevel="0" collapsed="false">
      <c r="C1150" s="125"/>
    </row>
    <row r="1151" customFormat="false" ht="16.5" hidden="false" customHeight="false" outlineLevel="0" collapsed="false">
      <c r="C1151" s="125"/>
    </row>
    <row r="1152" customFormat="false" ht="16.5" hidden="false" customHeight="false" outlineLevel="0" collapsed="false">
      <c r="C1152" s="125"/>
    </row>
    <row r="1153" customFormat="false" ht="16.5" hidden="false" customHeight="false" outlineLevel="0" collapsed="false">
      <c r="C1153" s="125"/>
    </row>
    <row r="1154" customFormat="false" ht="16.5" hidden="false" customHeight="false" outlineLevel="0" collapsed="false">
      <c r="C1154" s="125"/>
    </row>
    <row r="1155" customFormat="false" ht="16.5" hidden="false" customHeight="false" outlineLevel="0" collapsed="false">
      <c r="C1155" s="125"/>
    </row>
    <row r="1156" customFormat="false" ht="16.5" hidden="false" customHeight="false" outlineLevel="0" collapsed="false">
      <c r="C1156" s="125"/>
    </row>
    <row r="1157" customFormat="false" ht="16.5" hidden="false" customHeight="false" outlineLevel="0" collapsed="false">
      <c r="C1157" s="125"/>
    </row>
    <row r="1158" customFormat="false" ht="16.5" hidden="false" customHeight="false" outlineLevel="0" collapsed="false">
      <c r="C1158" s="125"/>
    </row>
    <row r="1159" customFormat="false" ht="16.5" hidden="false" customHeight="false" outlineLevel="0" collapsed="false">
      <c r="C1159" s="125"/>
    </row>
    <row r="1160" customFormat="false" ht="16.5" hidden="false" customHeight="false" outlineLevel="0" collapsed="false">
      <c r="C1160" s="125"/>
    </row>
    <row r="1161" customFormat="false" ht="16.5" hidden="false" customHeight="false" outlineLevel="0" collapsed="false">
      <c r="C1161" s="125"/>
    </row>
    <row r="1162" customFormat="false" ht="16.5" hidden="false" customHeight="false" outlineLevel="0" collapsed="false">
      <c r="C1162" s="125"/>
    </row>
    <row r="1163" customFormat="false" ht="16.5" hidden="false" customHeight="false" outlineLevel="0" collapsed="false">
      <c r="C1163" s="125"/>
    </row>
    <row r="1164" customFormat="false" ht="16.5" hidden="false" customHeight="false" outlineLevel="0" collapsed="false">
      <c r="C1164" s="125"/>
    </row>
    <row r="1165" customFormat="false" ht="16.5" hidden="false" customHeight="false" outlineLevel="0" collapsed="false">
      <c r="C1165" s="125"/>
    </row>
    <row r="1166" customFormat="false" ht="16.5" hidden="false" customHeight="false" outlineLevel="0" collapsed="false">
      <c r="C1166" s="125"/>
    </row>
    <row r="1167" customFormat="false" ht="16.5" hidden="false" customHeight="false" outlineLevel="0" collapsed="false">
      <c r="C1167" s="125"/>
    </row>
    <row r="1168" customFormat="false" ht="16.5" hidden="false" customHeight="false" outlineLevel="0" collapsed="false">
      <c r="C1168" s="125"/>
    </row>
    <row r="1169" customFormat="false" ht="16.5" hidden="false" customHeight="false" outlineLevel="0" collapsed="false">
      <c r="C1169" s="125"/>
    </row>
    <row r="1170" customFormat="false" ht="16.5" hidden="false" customHeight="false" outlineLevel="0" collapsed="false">
      <c r="C1170" s="125"/>
    </row>
    <row r="1171" customFormat="false" ht="16.5" hidden="false" customHeight="false" outlineLevel="0" collapsed="false">
      <c r="C1171" s="125"/>
    </row>
    <row r="1172" customFormat="false" ht="16.5" hidden="false" customHeight="false" outlineLevel="0" collapsed="false">
      <c r="C1172" s="125"/>
    </row>
    <row r="1173" customFormat="false" ht="16.5" hidden="false" customHeight="false" outlineLevel="0" collapsed="false">
      <c r="C1173" s="125"/>
    </row>
    <row r="1174" customFormat="false" ht="16.5" hidden="false" customHeight="false" outlineLevel="0" collapsed="false">
      <c r="C1174" s="125"/>
    </row>
    <row r="1175" customFormat="false" ht="16.5" hidden="false" customHeight="false" outlineLevel="0" collapsed="false">
      <c r="C1175" s="125"/>
    </row>
    <row r="1176" customFormat="false" ht="16.5" hidden="false" customHeight="false" outlineLevel="0" collapsed="false">
      <c r="C1176" s="125"/>
    </row>
    <row r="1177" customFormat="false" ht="16.5" hidden="false" customHeight="false" outlineLevel="0" collapsed="false">
      <c r="C1177" s="125"/>
    </row>
    <row r="1178" customFormat="false" ht="16.5" hidden="false" customHeight="false" outlineLevel="0" collapsed="false">
      <c r="C1178" s="125"/>
    </row>
    <row r="1179" customFormat="false" ht="16.5" hidden="false" customHeight="false" outlineLevel="0" collapsed="false">
      <c r="C1179" s="125"/>
    </row>
    <row r="1180" customFormat="false" ht="16.5" hidden="false" customHeight="false" outlineLevel="0" collapsed="false">
      <c r="C1180" s="125"/>
    </row>
    <row r="1181" customFormat="false" ht="16.5" hidden="false" customHeight="false" outlineLevel="0" collapsed="false">
      <c r="C1181" s="125"/>
    </row>
    <row r="1182" customFormat="false" ht="16.5" hidden="false" customHeight="false" outlineLevel="0" collapsed="false">
      <c r="C1182" s="125"/>
    </row>
    <row r="1183" customFormat="false" ht="16.5" hidden="false" customHeight="false" outlineLevel="0" collapsed="false">
      <c r="C1183" s="125"/>
    </row>
    <row r="1184" customFormat="false" ht="16.5" hidden="false" customHeight="false" outlineLevel="0" collapsed="false">
      <c r="C1184" s="125"/>
    </row>
    <row r="1185" customFormat="false" ht="16.5" hidden="false" customHeight="false" outlineLevel="0" collapsed="false">
      <c r="C1185" s="125"/>
    </row>
    <row r="1186" customFormat="false" ht="16.5" hidden="false" customHeight="false" outlineLevel="0" collapsed="false">
      <c r="C1186" s="125"/>
    </row>
    <row r="1187" customFormat="false" ht="16.5" hidden="false" customHeight="false" outlineLevel="0" collapsed="false">
      <c r="C1187" s="125"/>
    </row>
  </sheetData>
  <mergeCells count="2">
    <mergeCell ref="C3:AA3"/>
    <mergeCell ref="AZ3:BL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21" width="1.85"/>
    <col collapsed="false" customWidth="true" hidden="false" outlineLevel="0" max="2" min="2" style="621" width="25.99"/>
    <col collapsed="false" customWidth="true" hidden="false" outlineLevel="0" max="4" min="3" style="621" width="12.85"/>
    <col collapsed="false" customWidth="true" hidden="false" outlineLevel="0" max="5" min="5" style="621" width="10.41"/>
    <col collapsed="false" customWidth="true" hidden="false" outlineLevel="0" max="6" min="6" style="621" width="12.85"/>
    <col collapsed="false" customWidth="true" hidden="false" outlineLevel="0" max="7" min="7" style="621" width="10.71"/>
    <col collapsed="false" customWidth="true" hidden="false" outlineLevel="0" max="8" min="8" style="621" width="10.41"/>
    <col collapsed="false" customWidth="true" hidden="false" outlineLevel="0" max="10" min="9" style="621" width="10.71"/>
    <col collapsed="false" customWidth="true" hidden="false" outlineLevel="0" max="22" min="11" style="621" width="10.41"/>
    <col collapsed="false" customWidth="true" hidden="false" outlineLevel="0" max="23" min="23" style="621" width="10.71"/>
    <col collapsed="false" customWidth="true" hidden="false" outlineLevel="0" max="24" min="24" style="621" width="11.28"/>
    <col collapsed="false" customWidth="true" hidden="false" outlineLevel="0" max="25" min="25" style="621" width="2.84"/>
    <col collapsed="false" customWidth="false" hidden="false" outlineLevel="0" max="257" min="26" style="621" width="9.14"/>
  </cols>
  <sheetData>
    <row r="1" customFormat="false" ht="12.75" hidden="false" customHeight="false" outlineLevel="0" collapsed="false">
      <c r="B1" s="622"/>
      <c r="C1" s="623"/>
      <c r="D1" s="623"/>
      <c r="F1" s="624"/>
      <c r="G1" s="624"/>
      <c r="I1" s="625"/>
      <c r="J1" s="625"/>
    </row>
    <row r="3" customFormat="false" ht="6" hidden="false" customHeight="false" outlineLevel="0" collapsed="false">
      <c r="A3" s="626"/>
      <c r="B3" s="626"/>
      <c r="C3" s="626" t="n">
        <v>1</v>
      </c>
      <c r="D3" s="626" t="n">
        <f aca="false">C3+12</f>
        <v>13</v>
      </c>
      <c r="E3" s="626" t="n">
        <f aca="false">D3+12</f>
        <v>25</v>
      </c>
      <c r="F3" s="626" t="n">
        <f aca="false">E3+12</f>
        <v>37</v>
      </c>
      <c r="G3" s="626" t="n">
        <f aca="false">F3+12</f>
        <v>49</v>
      </c>
      <c r="H3" s="626" t="n">
        <f aca="false">G3+12</f>
        <v>61</v>
      </c>
      <c r="I3" s="626" t="n">
        <f aca="false">H3+12</f>
        <v>73</v>
      </c>
      <c r="J3" s="626" t="n">
        <f aca="false">I3+12</f>
        <v>85</v>
      </c>
      <c r="K3" s="626" t="n">
        <f aca="false">J3+12</f>
        <v>97</v>
      </c>
      <c r="L3" s="626" t="n">
        <f aca="false">K3+12</f>
        <v>109</v>
      </c>
      <c r="M3" s="626" t="n">
        <f aca="false">L3+12</f>
        <v>121</v>
      </c>
      <c r="N3" s="626" t="n">
        <f aca="false">M3+12</f>
        <v>133</v>
      </c>
      <c r="O3" s="626" t="n">
        <f aca="false">N3+12</f>
        <v>145</v>
      </c>
      <c r="P3" s="626" t="n">
        <f aca="false">O3+12</f>
        <v>157</v>
      </c>
      <c r="Q3" s="626" t="n">
        <f aca="false">P3+12</f>
        <v>169</v>
      </c>
      <c r="R3" s="626" t="n">
        <f aca="false">Q3+12</f>
        <v>181</v>
      </c>
      <c r="S3" s="626" t="n">
        <f aca="false">R3+12</f>
        <v>193</v>
      </c>
      <c r="T3" s="626" t="n">
        <f aca="false">S3+12</f>
        <v>205</v>
      </c>
      <c r="U3" s="626" t="n">
        <f aca="false">T3+12</f>
        <v>217</v>
      </c>
      <c r="V3" s="626" t="n">
        <f aca="false">U3+12</f>
        <v>229</v>
      </c>
      <c r="W3" s="626" t="n">
        <f aca="false">V3+12</f>
        <v>241</v>
      </c>
      <c r="X3" s="626"/>
      <c r="Y3" s="626"/>
      <c r="Z3" s="626"/>
      <c r="AA3" s="626"/>
      <c r="AB3" s="626"/>
      <c r="AC3" s="626"/>
      <c r="AD3" s="626"/>
      <c r="AE3" s="626"/>
      <c r="AF3" s="626"/>
      <c r="AG3" s="626"/>
      <c r="AH3" s="626"/>
      <c r="AI3" s="626"/>
      <c r="AJ3" s="626"/>
      <c r="AK3" s="626"/>
      <c r="AL3" s="626"/>
      <c r="AM3" s="626"/>
      <c r="AN3" s="626"/>
      <c r="AO3" s="626"/>
      <c r="AP3" s="626"/>
      <c r="AQ3" s="626"/>
      <c r="AR3" s="626"/>
      <c r="AS3" s="626"/>
      <c r="AT3" s="626"/>
      <c r="AU3" s="626"/>
      <c r="AV3" s="626"/>
      <c r="AW3" s="626"/>
      <c r="AX3" s="626"/>
      <c r="AY3" s="626"/>
      <c r="AZ3" s="626"/>
      <c r="BA3" s="626"/>
      <c r="BB3" s="626"/>
      <c r="BC3" s="626"/>
      <c r="BD3" s="626"/>
      <c r="BE3" s="626"/>
      <c r="BF3" s="626"/>
      <c r="BG3" s="626"/>
      <c r="BH3" s="626"/>
      <c r="BI3" s="626"/>
      <c r="BJ3" s="626"/>
      <c r="BK3" s="626"/>
      <c r="BL3" s="626"/>
      <c r="BM3" s="626"/>
      <c r="BN3" s="626"/>
      <c r="BO3" s="626"/>
      <c r="BP3" s="626"/>
      <c r="BQ3" s="626"/>
      <c r="BR3" s="626"/>
      <c r="BS3" s="626"/>
      <c r="BT3" s="626"/>
      <c r="BU3" s="626"/>
      <c r="BV3" s="626"/>
      <c r="BW3" s="626"/>
      <c r="BX3" s="626"/>
      <c r="BY3" s="626"/>
      <c r="BZ3" s="626"/>
      <c r="CA3" s="626"/>
      <c r="CB3" s="626"/>
      <c r="CC3" s="626"/>
      <c r="CD3" s="626"/>
      <c r="CE3" s="626"/>
      <c r="CF3" s="626"/>
      <c r="CG3" s="626"/>
      <c r="CH3" s="626"/>
      <c r="CI3" s="626"/>
      <c r="CJ3" s="626"/>
      <c r="CK3" s="626"/>
      <c r="CL3" s="626"/>
      <c r="CM3" s="626"/>
      <c r="CN3" s="626"/>
      <c r="CO3" s="626"/>
      <c r="CP3" s="626"/>
      <c r="CQ3" s="626"/>
      <c r="CR3" s="626"/>
      <c r="CS3" s="626"/>
      <c r="CT3" s="626"/>
      <c r="CU3" s="626"/>
      <c r="CV3" s="626"/>
      <c r="CW3" s="626"/>
      <c r="CX3" s="626"/>
      <c r="CY3" s="626"/>
      <c r="CZ3" s="626"/>
      <c r="DA3" s="626"/>
      <c r="DB3" s="626"/>
      <c r="DC3" s="626"/>
      <c r="DD3" s="626"/>
      <c r="DE3" s="626"/>
      <c r="DF3" s="626"/>
      <c r="DG3" s="626"/>
      <c r="DH3" s="626"/>
      <c r="DI3" s="626"/>
      <c r="DJ3" s="626"/>
      <c r="DK3" s="626"/>
      <c r="DL3" s="626"/>
      <c r="DM3" s="626"/>
      <c r="DN3" s="626"/>
      <c r="DO3" s="626"/>
      <c r="DP3" s="626"/>
      <c r="DQ3" s="626"/>
      <c r="DR3" s="626"/>
      <c r="DS3" s="626"/>
      <c r="DT3" s="626"/>
      <c r="DU3" s="626"/>
      <c r="DV3" s="626"/>
      <c r="DW3" s="626"/>
      <c r="DX3" s="626"/>
      <c r="DY3" s="626"/>
      <c r="DZ3" s="626"/>
      <c r="EA3" s="626"/>
      <c r="EB3" s="626"/>
      <c r="EC3" s="626"/>
      <c r="ED3" s="626"/>
      <c r="EE3" s="626"/>
      <c r="EF3" s="626"/>
      <c r="EG3" s="626"/>
      <c r="EH3" s="626"/>
      <c r="EI3" s="626"/>
      <c r="EJ3" s="626"/>
      <c r="EK3" s="626"/>
      <c r="EL3" s="626"/>
      <c r="EM3" s="626"/>
      <c r="EN3" s="626"/>
      <c r="EO3" s="626"/>
      <c r="EP3" s="626"/>
      <c r="EQ3" s="626"/>
      <c r="ER3" s="626"/>
      <c r="ES3" s="626"/>
      <c r="ET3" s="626"/>
      <c r="EU3" s="626"/>
      <c r="EV3" s="626"/>
      <c r="EW3" s="626"/>
      <c r="EX3" s="626"/>
      <c r="EY3" s="626"/>
      <c r="EZ3" s="626"/>
      <c r="FA3" s="626"/>
      <c r="FB3" s="626"/>
      <c r="FC3" s="626"/>
      <c r="FD3" s="626"/>
      <c r="FE3" s="626"/>
      <c r="FF3" s="626"/>
      <c r="FG3" s="626"/>
      <c r="FH3" s="626"/>
      <c r="FI3" s="626"/>
      <c r="FJ3" s="626"/>
      <c r="FK3" s="626"/>
      <c r="FL3" s="626"/>
      <c r="FM3" s="626"/>
      <c r="FN3" s="626"/>
      <c r="FO3" s="626"/>
      <c r="FP3" s="626"/>
      <c r="FQ3" s="626"/>
      <c r="FR3" s="626"/>
      <c r="FS3" s="626"/>
      <c r="FT3" s="626"/>
      <c r="FU3" s="626"/>
      <c r="FV3" s="626"/>
      <c r="FW3" s="626"/>
      <c r="FX3" s="626"/>
      <c r="FY3" s="626"/>
      <c r="FZ3" s="626"/>
      <c r="GA3" s="626"/>
      <c r="GB3" s="626"/>
      <c r="GC3" s="626"/>
      <c r="GD3" s="626"/>
      <c r="GE3" s="626"/>
      <c r="GF3" s="626"/>
      <c r="GG3" s="626"/>
      <c r="GH3" s="626"/>
      <c r="GI3" s="626"/>
      <c r="GJ3" s="626"/>
      <c r="GK3" s="626"/>
      <c r="GL3" s="626"/>
      <c r="GM3" s="626"/>
      <c r="GN3" s="626"/>
      <c r="GO3" s="626"/>
      <c r="GP3" s="626"/>
      <c r="GQ3" s="626"/>
      <c r="GR3" s="626"/>
      <c r="GS3" s="626"/>
      <c r="GT3" s="626"/>
      <c r="GU3" s="626"/>
      <c r="GV3" s="626"/>
      <c r="GW3" s="626"/>
      <c r="GX3" s="626"/>
      <c r="GY3" s="626"/>
      <c r="GZ3" s="626"/>
      <c r="HA3" s="626"/>
      <c r="HB3" s="626"/>
      <c r="HC3" s="626"/>
      <c r="HD3" s="626"/>
      <c r="HE3" s="626"/>
      <c r="HF3" s="626"/>
      <c r="HG3" s="626"/>
      <c r="HH3" s="626"/>
      <c r="HI3" s="626"/>
      <c r="HJ3" s="626"/>
      <c r="HK3" s="626"/>
      <c r="HL3" s="626"/>
      <c r="HM3" s="626"/>
      <c r="HN3" s="626"/>
      <c r="HO3" s="626"/>
      <c r="HP3" s="626"/>
      <c r="HQ3" s="626"/>
      <c r="HR3" s="626"/>
      <c r="HS3" s="626"/>
      <c r="HT3" s="626"/>
      <c r="HU3" s="626"/>
      <c r="HV3" s="626"/>
      <c r="HW3" s="626"/>
      <c r="HX3" s="626"/>
      <c r="HY3" s="626"/>
      <c r="HZ3" s="626"/>
      <c r="IA3" s="626"/>
      <c r="IB3" s="626"/>
      <c r="IC3" s="626"/>
      <c r="ID3" s="626"/>
      <c r="IE3" s="626"/>
      <c r="IF3" s="626"/>
      <c r="IG3" s="626"/>
      <c r="IH3" s="626"/>
      <c r="II3" s="626"/>
      <c r="IJ3" s="626"/>
      <c r="IK3" s="626"/>
      <c r="IL3" s="626"/>
      <c r="IM3" s="626"/>
      <c r="IN3" s="626"/>
      <c r="IO3" s="626"/>
      <c r="IP3" s="626"/>
      <c r="IQ3" s="626"/>
      <c r="IR3" s="626"/>
      <c r="IS3" s="626"/>
      <c r="IT3" s="626"/>
      <c r="IU3" s="626"/>
      <c r="IV3" s="626"/>
      <c r="IW3" s="626"/>
    </row>
    <row r="4" customFormat="false" ht="13.5" hidden="false" customHeight="false" outlineLevel="0" collapsed="false">
      <c r="B4" s="627" t="s">
        <v>307</v>
      </c>
      <c r="C4" s="628" t="n">
        <v>36891</v>
      </c>
      <c r="D4" s="628" t="n">
        <f aca="false">C4+365.25</f>
        <v>37256.25</v>
      </c>
      <c r="E4" s="628" t="n">
        <f aca="false">D4+365.25</f>
        <v>37621.5</v>
      </c>
      <c r="F4" s="628" t="n">
        <f aca="false">E4+365.25</f>
        <v>37986.75</v>
      </c>
      <c r="G4" s="628" t="n">
        <f aca="false">F4+365.25</f>
        <v>38352</v>
      </c>
      <c r="H4" s="628" t="n">
        <f aca="false">G4+365.25</f>
        <v>38717.25</v>
      </c>
      <c r="I4" s="628" t="n">
        <f aca="false">H4+365.25</f>
        <v>39082.5</v>
      </c>
      <c r="J4" s="628" t="n">
        <f aca="false">I4+365.25</f>
        <v>39447.75</v>
      </c>
      <c r="K4" s="628" t="n">
        <f aca="false">J4+365.25</f>
        <v>39813</v>
      </c>
      <c r="L4" s="628" t="n">
        <f aca="false">K4+365.25</f>
        <v>40178.25</v>
      </c>
      <c r="M4" s="628" t="n">
        <f aca="false">L4+365.25</f>
        <v>40543.5</v>
      </c>
      <c r="N4" s="628" t="n">
        <f aca="false">M4+365.25</f>
        <v>40908.75</v>
      </c>
      <c r="O4" s="628" t="n">
        <f aca="false">N4+365.25</f>
        <v>41274</v>
      </c>
      <c r="P4" s="628" t="n">
        <f aca="false">O4+365.25</f>
        <v>41639.25</v>
      </c>
      <c r="Q4" s="628" t="n">
        <f aca="false">P4+365.25</f>
        <v>42004.5</v>
      </c>
      <c r="R4" s="628" t="n">
        <f aca="false">Q4+365.25</f>
        <v>42369.75</v>
      </c>
      <c r="S4" s="628" t="n">
        <f aca="false">R4+365.25</f>
        <v>42735</v>
      </c>
      <c r="T4" s="628" t="n">
        <f aca="false">S4+365.25</f>
        <v>43100.25</v>
      </c>
      <c r="U4" s="628" t="n">
        <f aca="false">T4+365.25</f>
        <v>43465.5</v>
      </c>
      <c r="V4" s="628" t="n">
        <f aca="false">U4+365.25</f>
        <v>43830.75</v>
      </c>
      <c r="W4" s="629" t="n">
        <f aca="false">V4+365.25</f>
        <v>44196</v>
      </c>
      <c r="X4" s="630" t="s">
        <v>60</v>
      </c>
      <c r="Z4" s="631" t="s">
        <v>64</v>
      </c>
    </row>
    <row r="5" customFormat="false" ht="12.75" hidden="false" customHeight="false" outlineLevel="0" collapsed="false">
      <c r="B5" s="621" t="s">
        <v>308</v>
      </c>
      <c r="C5" s="624" t="n">
        <f aca="false">VLOOKUP(C3,'Curve Analysis - Base Case'!$H$10:$N$250,7)</f>
        <v>332640</v>
      </c>
      <c r="D5" s="624" t="n">
        <f aca="false">VLOOKUP(D3,'Curve Analysis - Base Case'!$H$10:$N$250,7)</f>
        <v>332640</v>
      </c>
      <c r="E5" s="624" t="n">
        <f aca="false">VLOOKUP(E3,'Curve Analysis - Base Case'!$H$10:$N$250,7)</f>
        <v>327600</v>
      </c>
      <c r="F5" s="624" t="n">
        <f aca="false">VLOOKUP(F3,'Curve Analysis - Base Case'!$H$10:$N$250,7)</f>
        <v>327600</v>
      </c>
      <c r="G5" s="624" t="n">
        <f aca="false">VLOOKUP(G3,'Curve Analysis - Base Case'!$H$10:$N$250,7)</f>
        <v>332640</v>
      </c>
      <c r="H5" s="624" t="n">
        <f aca="false">VLOOKUP(H3,'Curve Analysis - Base Case'!$H$10:$N$250,7)</f>
        <v>332640</v>
      </c>
      <c r="I5" s="624" t="n">
        <f aca="false">VLOOKUP(I3,'Curve Analysis - Base Case'!$H$10:$N$250,7)</f>
        <v>327600</v>
      </c>
      <c r="J5" s="624" t="n">
        <f aca="false">VLOOKUP(J3,'Curve Analysis - Base Case'!$H$10:$N$250,7)</f>
        <v>327600</v>
      </c>
      <c r="K5" s="624" t="n">
        <f aca="false">VLOOKUP(K3,'Curve Analysis - Base Case'!$H$10:$N$250,7)</f>
        <v>332640</v>
      </c>
      <c r="L5" s="624" t="n">
        <f aca="false">VLOOKUP(L3,'Curve Analysis - Base Case'!$H$10:$N$250,7)</f>
        <v>332640</v>
      </c>
      <c r="M5" s="624" t="n">
        <f aca="false">VLOOKUP(M3,'Curve Analysis - Base Case'!$H$10:$N$250,7)</f>
        <v>327600</v>
      </c>
      <c r="N5" s="624" t="n">
        <f aca="false">VLOOKUP(N3,'Curve Analysis - Base Case'!$H$10:$N$250,7)</f>
        <v>327600</v>
      </c>
      <c r="O5" s="624" t="n">
        <f aca="false">VLOOKUP(O3,'Curve Analysis - Base Case'!$H$10:$N$250,7)</f>
        <v>332640</v>
      </c>
      <c r="P5" s="624" t="n">
        <f aca="false">VLOOKUP(P3,'Curve Analysis - Base Case'!$H$10:$N$250,7)</f>
        <v>332640</v>
      </c>
      <c r="Q5" s="624" t="n">
        <f aca="false">VLOOKUP(Q3,'Curve Analysis - Base Case'!$H$10:$N$250,7)</f>
        <v>327600</v>
      </c>
      <c r="R5" s="624" t="n">
        <f aca="false">VLOOKUP(R3,'Curve Analysis - Base Case'!$H$10:$N$250,7)</f>
        <v>327600</v>
      </c>
      <c r="S5" s="624" t="n">
        <f aca="false">VLOOKUP(S3,'Curve Analysis - Base Case'!$H$10:$N$250,7)</f>
        <v>332640</v>
      </c>
      <c r="T5" s="624" t="n">
        <f aca="false">VLOOKUP(T3,'Curve Analysis - Base Case'!$H$10:$N$250,7)</f>
        <v>332640</v>
      </c>
      <c r="U5" s="624" t="n">
        <f aca="false">VLOOKUP(U3,'Curve Analysis - Base Case'!$H$10:$N$250,7)</f>
        <v>327600</v>
      </c>
      <c r="V5" s="624" t="n">
        <f aca="false">VLOOKUP(V3,'Curve Analysis - Base Case'!$H$10:$N$250,7)</f>
        <v>327600</v>
      </c>
      <c r="W5" s="624" t="n">
        <f aca="false">VLOOKUP(W3,'Curve Analysis - Base Case'!$H$10:$N$250,7)</f>
        <v>332640</v>
      </c>
      <c r="X5" s="624" t="n">
        <f aca="false">SUM(C5:W5)</f>
        <v>6935040</v>
      </c>
      <c r="Z5" s="632" t="n">
        <f aca="false">SUM('Curve Analysis - Base Case'!K4:K250)</f>
        <v>6935040</v>
      </c>
    </row>
    <row r="6" customFormat="false" ht="12.75" hidden="false" customHeight="false" outlineLevel="0" collapsed="false">
      <c r="B6" s="621" t="s">
        <v>104</v>
      </c>
      <c r="C6" s="624" t="n">
        <f aca="false">VLOOKUP(C3,'Curve Analysis - Base Case'!$H$10:$N$250,6)</f>
        <v>323495.818065032</v>
      </c>
      <c r="D6" s="624" t="n">
        <f aca="false">VLOOKUP(D3,'Curve Analysis - Base Case'!$H$10:$N$250,6)</f>
        <v>301575.647295948</v>
      </c>
      <c r="E6" s="624" t="n">
        <f aca="false">VLOOKUP(E3,'Curve Analysis - Base Case'!$H$10:$N$250,6)</f>
        <v>276027.538345716</v>
      </c>
      <c r="F6" s="624" t="n">
        <f aca="false">VLOOKUP(F3,'Curve Analysis - Base Case'!$H$10:$N$250,6)</f>
        <v>256586.11930595</v>
      </c>
      <c r="G6" s="624" t="n">
        <f aca="false">VLOOKUP(G3,'Curve Analysis - Base Case'!$H$10:$N$250,6)</f>
        <v>241983.415300069</v>
      </c>
      <c r="H6" s="624" t="n">
        <f aca="false">VLOOKUP(H3,'Curve Analysis - Base Case'!$H$10:$N$250,6)</f>
        <v>224578.235451555</v>
      </c>
      <c r="I6" s="624" t="n">
        <f aca="false">VLOOKUP(I3,'Curve Analysis - Base Case'!$H$10:$N$250,6)</f>
        <v>205435.998976124</v>
      </c>
      <c r="J6" s="624" t="n">
        <f aca="false">VLOOKUP(J3,'Curve Analysis - Base Case'!$H$10:$N$250,6)</f>
        <v>190796.490491207</v>
      </c>
      <c r="K6" s="624" t="n">
        <f aca="false">VLOOKUP(K3,'Curve Analysis - Base Case'!$H$10:$N$250,6)</f>
        <v>179876.783050305</v>
      </c>
      <c r="L6" s="624" t="n">
        <f aca="false">VLOOKUP(L3,'Curve Analysis - Base Case'!$H$10:$N$250,6)</f>
        <v>166958.414539396</v>
      </c>
      <c r="M6" s="624" t="n">
        <f aca="false">VLOOKUP(M3,'Curve Analysis - Base Case'!$H$10:$N$250,6)</f>
        <v>152712.717606955</v>
      </c>
      <c r="N6" s="624" t="n">
        <f aca="false">VLOOKUP(N3,'Curve Analysis - Base Case'!$H$10:$N$250,6)</f>
        <v>142083.811512529</v>
      </c>
      <c r="O6" s="624" t="n">
        <f aca="false">VLOOKUP(O3,'Curve Analysis - Base Case'!$H$10:$N$250,6)</f>
        <v>134192.474271776</v>
      </c>
      <c r="P6" s="624" t="n">
        <f aca="false">VLOOKUP(P3,'Curve Analysis - Base Case'!$H$10:$N$250,6)</f>
        <v>124835.934373967</v>
      </c>
      <c r="Q6" s="624" t="n">
        <f aca="false">VLOOKUP(Q3,'Curve Analysis - Base Case'!$H$10:$N$250,6)</f>
        <v>114406.402407297</v>
      </c>
      <c r="R6" s="624" t="n">
        <f aca="false">VLOOKUP(R3,'Curve Analysis - Base Case'!$H$10:$N$250,6)</f>
        <v>106493.547636882</v>
      </c>
      <c r="S6" s="624" t="n">
        <f aca="false">VLOOKUP(S3,'Curve Analysis - Base Case'!$H$10:$N$250,6)</f>
        <v>100626.305086898</v>
      </c>
      <c r="T6" s="624" t="n">
        <f aca="false">VLOOKUP(T3,'Curve Analysis - Base Case'!$H$10:$N$250,6)</f>
        <v>93654.2767054261</v>
      </c>
      <c r="U6" s="624" t="n">
        <f aca="false">VLOOKUP(U3,'Curve Analysis - Base Case'!$H$10:$N$250,6)</f>
        <v>85870.1963346597</v>
      </c>
      <c r="V6" s="624" t="n">
        <f aca="false">VLOOKUP(V3,'Curve Analysis - Base Case'!$H$10:$N$250,6)</f>
        <v>79968.5148241808</v>
      </c>
      <c r="W6" s="624" t="n">
        <f aca="false">VLOOKUP(W3,'Curve Analysis - Base Case'!$H$10:$N$250,6)</f>
        <v>75637.3600516719</v>
      </c>
      <c r="X6" s="624" t="n">
        <f aca="false">SUM(C6:W6)</f>
        <v>3577796.00163354</v>
      </c>
      <c r="Z6" s="633" t="n">
        <f aca="false">SUM('Curve Analysis - Base Case'!L4:L250)</f>
        <v>3577796.00163354</v>
      </c>
    </row>
    <row r="7" customFormat="false" ht="12.75" hidden="false" customHeight="false" outlineLevel="0" collapsed="false"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624"/>
      <c r="Q7" s="624"/>
      <c r="R7" s="624"/>
      <c r="S7" s="624"/>
      <c r="T7" s="624"/>
      <c r="U7" s="624"/>
      <c r="V7" s="624"/>
      <c r="W7" s="624"/>
      <c r="X7" s="624"/>
      <c r="Z7" s="623"/>
    </row>
    <row r="8" customFormat="false" ht="12.75" hidden="false" customHeight="false" outlineLevel="0" collapsed="false">
      <c r="B8" s="634" t="s">
        <v>309</v>
      </c>
      <c r="C8" s="635" t="n">
        <f aca="false">VLOOKUP(C3,'Company Volumes'!$E$25:$G$259,3)</f>
        <v>56714.6480730421</v>
      </c>
      <c r="D8" s="635" t="n">
        <f aca="false">VLOOKUP(D3,'Company Volumes'!$E$25:$G$259,3)</f>
        <v>176684.800412258</v>
      </c>
      <c r="E8" s="635" t="n">
        <f aca="false">VLOOKUP(E3,'Company Volumes'!$E$25:$G$259,3)</f>
        <v>178861.105802671</v>
      </c>
      <c r="F8" s="635" t="n">
        <f aca="false">VLOOKUP(F3,'Company Volumes'!$E$25:$G$259,3)</f>
        <v>171454.029634614</v>
      </c>
      <c r="G8" s="635" t="n">
        <f aca="false">VLOOKUP(G3,'Company Volumes'!$E$25:$G$259,3)</f>
        <v>151406.627496231</v>
      </c>
      <c r="H8" s="635" t="n">
        <f aca="false">VLOOKUP(H3,'Company Volumes'!$E$25:$G$259,3)</f>
        <v>133518.016437689</v>
      </c>
      <c r="I8" s="635" t="n">
        <f aca="false">VLOOKUP(I3,'Company Volumes'!$E$25:$G$259,3)</f>
        <v>127949.144044267</v>
      </c>
      <c r="J8" s="635" t="n">
        <f aca="false">VLOOKUP(J3,'Company Volumes'!$E$25:$G$259,3)</f>
        <v>121857.77099811</v>
      </c>
      <c r="K8" s="635" t="n">
        <f aca="false">VLOOKUP(K3,'Company Volumes'!$E$25:$G$259,3)</f>
        <v>112277.102445093</v>
      </c>
      <c r="L8" s="635" t="n">
        <f aca="false">VLOOKUP(L3,'Company Volumes'!$E$25:$G$259,3)</f>
        <v>102525.747095154</v>
      </c>
      <c r="M8" s="635" t="n">
        <f aca="false">VLOOKUP(M3,'Company Volumes'!$E$25:$G$259,3)</f>
        <v>94449.1766390303</v>
      </c>
      <c r="N8" s="635" t="n">
        <f aca="false">VLOOKUP(N3,'Company Volumes'!$E$25:$G$259,3)</f>
        <v>86616.5491215034</v>
      </c>
      <c r="O8" s="635" t="n">
        <f aca="false">VLOOKUP(O3,'Company Volumes'!$E$25:$G$259,3)</f>
        <v>82892.7271929664</v>
      </c>
      <c r="P8" s="635" t="n">
        <f aca="false">VLOOKUP(P3,'Company Volumes'!$E$25:$G$259,3)</f>
        <v>75762.0857383621</v>
      </c>
      <c r="Q8" s="635" t="n">
        <f aca="false">VLOOKUP(Q3,'Company Volumes'!$E$25:$G$259,3)</f>
        <v>71358.1364051547</v>
      </c>
      <c r="R8" s="635" t="n">
        <f aca="false">VLOOKUP(R3,'Company Volumes'!$E$25:$G$259,3)</f>
        <v>64528.1990546851</v>
      </c>
      <c r="S8" s="635" t="n">
        <f aca="false">VLOOKUP(S3,'Company Volumes'!$E$25:$G$259,3)</f>
        <v>60601.786407216</v>
      </c>
      <c r="T8" s="635" t="n">
        <f aca="false">VLOOKUP(T3,'Company Volumes'!$E$25:$G$259,3)</f>
        <v>56079.2583759758</v>
      </c>
      <c r="U8" s="635" t="n">
        <f aca="false">VLOOKUP(U3,'Company Volumes'!$E$25:$G$259,3)</f>
        <v>52318.8060521936</v>
      </c>
      <c r="V8" s="635" t="n">
        <f aca="false">VLOOKUP(V3,'Company Volumes'!$E$25:$G$259,3)</f>
        <v>47092.490019874</v>
      </c>
      <c r="W8" s="635" t="n">
        <f aca="false">VLOOKUP(W3,'Company Volumes'!$E$25:$G$259,3)</f>
        <v>47092.490019874</v>
      </c>
      <c r="X8" s="636" t="n">
        <f aca="false">SUM(C8:W8)</f>
        <v>2072040.69746596</v>
      </c>
      <c r="Z8" s="623"/>
    </row>
    <row r="9" customFormat="false" ht="12.75" hidden="false" customHeight="false" outlineLevel="0" collapsed="false">
      <c r="X9" s="624"/>
      <c r="Z9" s="623"/>
    </row>
    <row r="10" customFormat="false" ht="12.75" hidden="false" customHeight="false" outlineLevel="0" collapsed="false">
      <c r="B10" s="621" t="s">
        <v>310</v>
      </c>
      <c r="C10" s="637" t="n">
        <f aca="false">VLOOKUP(C3,'Curve Analysis - Base Case'!$AD$4:$AH$250,5)</f>
        <v>83.934289640034</v>
      </c>
      <c r="D10" s="637" t="n">
        <f aca="false">VLOOKUP(D3,'Curve Analysis - Base Case'!$AD$4:$AH$250,5)</f>
        <v>78.9578132704877</v>
      </c>
      <c r="E10" s="637" t="n">
        <f aca="false">VLOOKUP(E3,'Curve Analysis - Base Case'!$AD$4:$AH$250,5)</f>
        <v>77.9877026587938</v>
      </c>
      <c r="F10" s="637" t="n">
        <f aca="false">VLOOKUP(F3,'Curve Analysis - Base Case'!$AD$4:$AH$250,5)</f>
        <v>77.3166563094065</v>
      </c>
      <c r="G10" s="637" t="n">
        <f aca="false">VLOOKUP(G3,'Curve Analysis - Base Case'!$AD$4:$AH$250,5)</f>
        <v>77.1135452939621</v>
      </c>
      <c r="H10" s="637" t="n">
        <f aca="false">VLOOKUP(H3,'Curve Analysis - Base Case'!$AD$4:$AH$250,5)</f>
        <v>78.5974294083148</v>
      </c>
      <c r="I10" s="637" t="n">
        <f aca="false">VLOOKUP(I3,'Curve Analysis - Base Case'!$AD$4:$AH$250,5)</f>
        <v>81.0048638851285</v>
      </c>
      <c r="J10" s="637" t="n">
        <f aca="false">VLOOKUP(J3,'Curve Analysis - Base Case'!$AD$4:$AH$250,5)</f>
        <v>82.5035162984106</v>
      </c>
      <c r="K10" s="637" t="n">
        <f aca="false">VLOOKUP(K3,'Curve Analysis - Base Case'!$AD$4:$AH$250,5)</f>
        <v>83.856032505068</v>
      </c>
      <c r="L10" s="637" t="n">
        <f aca="false">VLOOKUP(L3,'Curve Analysis - Base Case'!$AD$4:$AH$250,5)</f>
        <v>86.2358338654912</v>
      </c>
      <c r="M10" s="637" t="n">
        <f aca="false">VLOOKUP(M3,'Curve Analysis - Base Case'!$AD$4:$AH$250,5)</f>
        <v>88.7676623744148</v>
      </c>
      <c r="N10" s="637" t="n">
        <f aca="false">VLOOKUP(N3,'Curve Analysis - Base Case'!$AD$4:$AH$250,5)</f>
        <v>90.0421178244842</v>
      </c>
      <c r="O10" s="637" t="n">
        <f aca="false">VLOOKUP(O3,'Curve Analysis - Base Case'!$AD$4:$AH$250,5)</f>
        <v>91.1810054285579</v>
      </c>
      <c r="P10" s="637" t="n">
        <f aca="false">VLOOKUP(P3,'Curve Analysis - Base Case'!$AD$4:$AH$250,5)</f>
        <v>93.4770515907601</v>
      </c>
      <c r="Q10" s="637" t="n">
        <f aca="false">VLOOKUP(Q3,'Curve Analysis - Base Case'!$AD$4:$AH$250,5)</f>
        <v>95.9105089792509</v>
      </c>
      <c r="R10" s="637" t="n">
        <f aca="false">VLOOKUP(R3,'Curve Analysis - Base Case'!$AD$4:$AH$250,5)</f>
        <v>97.0924987220123</v>
      </c>
      <c r="S10" s="637" t="n">
        <f aca="false">VLOOKUP(S3,'Curve Analysis - Base Case'!$AD$4:$AH$250,5)</f>
        <v>98.1695297137975</v>
      </c>
      <c r="T10" s="637" t="n">
        <f aca="false">VLOOKUP(T3,'Curve Analysis - Base Case'!$AD$4:$AH$250,5)</f>
        <v>100.55670451806</v>
      </c>
      <c r="U10" s="637" t="n">
        <f aca="false">VLOOKUP(U3,'Curve Analysis - Base Case'!$AD$4:$AH$250,5)</f>
        <v>103.053504630671</v>
      </c>
      <c r="V10" s="637" t="n">
        <f aca="false">VLOOKUP(V3,'Curve Analysis - Base Case'!$AD$4:$AH$250,5)</f>
        <v>102.380521489728</v>
      </c>
      <c r="W10" s="637" t="n">
        <f aca="false">VLOOKUP(W3,'Curve Analysis - Base Case'!$AD$4:$AH$250,5)</f>
        <v>101.666102312159</v>
      </c>
      <c r="X10" s="624"/>
      <c r="Z10" s="623"/>
    </row>
    <row r="11" customFormat="false" ht="12.75" hidden="false" customHeight="false" outlineLevel="0" collapsed="false">
      <c r="B11" s="621" t="s">
        <v>311</v>
      </c>
      <c r="C11" s="638" t="n">
        <f aca="false">VLOOKUP(C3,'Curve Analysis - Base Case'!$AD$10:$AL$250,9)</f>
        <v>53.8675429294428</v>
      </c>
      <c r="D11" s="638" t="n">
        <f aca="false">VLOOKUP(D3,'Curve Analysis - Base Case'!$AD$10:$AL$250,9)</f>
        <v>47.6815198862991</v>
      </c>
      <c r="E11" s="638" t="n">
        <f aca="false">VLOOKUP(E3,'Curve Analysis - Base Case'!$AD$10:$AL$250,9)</f>
        <v>46.0623431717233</v>
      </c>
      <c r="F11" s="638" t="n">
        <f aca="false">VLOOKUP(F3,'Curve Analysis - Base Case'!$AD$10:$AL$250,9)</f>
        <v>45.0277753878234</v>
      </c>
      <c r="G11" s="638" t="n">
        <f aca="false">VLOOKUP(G3,'Curve Analysis - Base Case'!$AD$10:$AL$250,9)</f>
        <v>44.6226459673743</v>
      </c>
      <c r="H11" s="638" t="n">
        <f aca="false">VLOOKUP(H3,'Curve Analysis - Base Case'!$AD$10:$AL$250,9)</f>
        <v>44.5652991158627</v>
      </c>
      <c r="I11" s="638" t="n">
        <f aca="false">VLOOKUP(I3,'Curve Analysis - Base Case'!$AD$10:$AL$250,9)</f>
        <v>44.7136200241137</v>
      </c>
      <c r="J11" s="638" t="n">
        <f aca="false">VLOOKUP(J3,'Curve Analysis - Base Case'!$AD$10:$AL$250,9)</f>
        <v>45.0621905180072</v>
      </c>
      <c r="K11" s="638" t="n">
        <f aca="false">VLOOKUP(K3,'Curve Analysis - Base Case'!$AD$10:$AL$250,9)</f>
        <v>45.5063216515667</v>
      </c>
      <c r="L11" s="638" t="n">
        <f aca="false">VLOOKUP(L3,'Curve Analysis - Base Case'!$AD$10:$AL$250,9)</f>
        <v>45.5957938730669</v>
      </c>
      <c r="M11" s="638" t="n">
        <f aca="false">VLOOKUP(M3,'Curve Analysis - Base Case'!$AD$10:$AL$250,9)</f>
        <v>45.662740974787</v>
      </c>
      <c r="N11" s="638" t="n">
        <f aca="false">VLOOKUP(N3,'Curve Analysis - Base Case'!$AD$10:$AL$250,9)</f>
        <v>45.7123855669844</v>
      </c>
      <c r="O11" s="638" t="n">
        <f aca="false">VLOOKUP(O3,'Curve Analysis - Base Case'!$AD$10:$AL$250,9)</f>
        <v>45.7890928734363</v>
      </c>
      <c r="P11" s="638" t="n">
        <f aca="false">VLOOKUP(P3,'Curve Analysis - Base Case'!$AD$10:$AL$250,9)</f>
        <v>45.886235751309</v>
      </c>
      <c r="Q11" s="638" t="n">
        <f aca="false">VLOOKUP(Q3,'Curve Analysis - Base Case'!$AD$10:$AL$250,9)</f>
        <v>45.9609419117684</v>
      </c>
      <c r="R11" s="638" t="n">
        <f aca="false">VLOOKUP(R3,'Curve Analysis - Base Case'!$AD$10:$AL$250,9)</f>
        <v>46.0186164751842</v>
      </c>
      <c r="S11" s="638" t="n">
        <f aca="false">VLOOKUP(S3,'Curve Analysis - Base Case'!$AD$10:$AL$250,9)</f>
        <v>46.1035920410082</v>
      </c>
      <c r="T11" s="638" t="n">
        <f aca="false">VLOOKUP(T3,'Curve Analysis - Base Case'!$AD$10:$AL$250,9)</f>
        <v>46.2092476802689</v>
      </c>
      <c r="U11" s="638" t="n">
        <f aca="false">VLOOKUP(U3,'Curve Analysis - Base Case'!$AD$10:$AL$250,9)</f>
        <v>46.2926745125825</v>
      </c>
      <c r="V11" s="638" t="n">
        <f aca="false">VLOOKUP(V3,'Curve Analysis - Base Case'!$AD$10:$AL$250,9)</f>
        <v>46.3592820499489</v>
      </c>
      <c r="W11" s="638" t="n">
        <f aca="false">VLOOKUP(W3,'Curve Analysis - Base Case'!$AD$10:$AL$250,9)</f>
        <v>46.4535207554849</v>
      </c>
      <c r="X11" s="624"/>
      <c r="Z11" s="623"/>
    </row>
    <row r="12" customFormat="false" ht="12.75" hidden="false" customHeight="false" outlineLevel="0" collapsed="false">
      <c r="B12" s="639" t="s">
        <v>312</v>
      </c>
      <c r="C12" s="640" t="n">
        <f aca="false">C10-C11</f>
        <v>30.0667467105912</v>
      </c>
      <c r="D12" s="640" t="n">
        <f aca="false">D10-D11</f>
        <v>31.2762933841885</v>
      </c>
      <c r="E12" s="640" t="n">
        <f aca="false">E10-E11</f>
        <v>31.9253594870705</v>
      </c>
      <c r="F12" s="640" t="n">
        <f aca="false">F10-F11</f>
        <v>32.2888809215831</v>
      </c>
      <c r="G12" s="640" t="n">
        <f aca="false">G10-G11</f>
        <v>32.4908993265879</v>
      </c>
      <c r="H12" s="640" t="n">
        <f aca="false">H10-H11</f>
        <v>34.0321302924521</v>
      </c>
      <c r="I12" s="640" t="n">
        <f aca="false">I10-I11</f>
        <v>36.2912438610148</v>
      </c>
      <c r="J12" s="640" t="n">
        <f aca="false">J10-J11</f>
        <v>37.4413257804034</v>
      </c>
      <c r="K12" s="640" t="n">
        <f aca="false">K10-K11</f>
        <v>38.3497108535014</v>
      </c>
      <c r="L12" s="640" t="n">
        <f aca="false">L10-L11</f>
        <v>40.6400399924243</v>
      </c>
      <c r="M12" s="640" t="n">
        <f aca="false">M10-M11</f>
        <v>43.1049213996278</v>
      </c>
      <c r="N12" s="640" t="n">
        <f aca="false">N10-N11</f>
        <v>44.3297322574998</v>
      </c>
      <c r="O12" s="640" t="n">
        <f aca="false">O10-O11</f>
        <v>45.3919125551216</v>
      </c>
      <c r="P12" s="640" t="n">
        <f aca="false">P10-P11</f>
        <v>47.5908158394511</v>
      </c>
      <c r="Q12" s="640" t="n">
        <f aca="false">Q10-Q11</f>
        <v>49.9495670674824</v>
      </c>
      <c r="R12" s="640" t="n">
        <f aca="false">R10-R11</f>
        <v>51.0738822468281</v>
      </c>
      <c r="S12" s="640" t="n">
        <f aca="false">S10-S11</f>
        <v>52.0659376727893</v>
      </c>
      <c r="T12" s="640" t="n">
        <f aca="false">T10-T11</f>
        <v>54.3474568377906</v>
      </c>
      <c r="U12" s="640" t="n">
        <f aca="false">U10-U11</f>
        <v>56.7608301180883</v>
      </c>
      <c r="V12" s="640" t="n">
        <f aca="false">V10-V11</f>
        <v>56.0212394397787</v>
      </c>
      <c r="W12" s="640" t="n">
        <f aca="false">W10-W11</f>
        <v>55.2125815566736</v>
      </c>
      <c r="X12" s="641"/>
      <c r="Z12" s="641"/>
    </row>
    <row r="13" customFormat="false" ht="12.75" hidden="false" customHeight="false" outlineLevel="0" collapsed="false">
      <c r="B13" s="639"/>
      <c r="C13" s="642"/>
      <c r="D13" s="642"/>
      <c r="E13" s="642"/>
      <c r="F13" s="642"/>
      <c r="G13" s="642"/>
      <c r="H13" s="642"/>
      <c r="I13" s="642"/>
      <c r="J13" s="642"/>
      <c r="K13" s="642"/>
      <c r="L13" s="642"/>
      <c r="M13" s="642"/>
      <c r="N13" s="642"/>
      <c r="O13" s="642"/>
      <c r="P13" s="642"/>
      <c r="Q13" s="642"/>
      <c r="R13" s="642"/>
      <c r="S13" s="642"/>
      <c r="T13" s="642"/>
      <c r="U13" s="642"/>
      <c r="V13" s="642"/>
      <c r="W13" s="642"/>
      <c r="X13" s="641"/>
      <c r="Z13" s="641"/>
    </row>
    <row r="14" customFormat="false" ht="12.75" hidden="false" customHeight="false" outlineLevel="0" collapsed="false">
      <c r="B14" s="631" t="s">
        <v>313</v>
      </c>
      <c r="C14" s="643"/>
      <c r="D14" s="643"/>
      <c r="E14" s="643"/>
      <c r="F14" s="643"/>
      <c r="G14" s="643"/>
      <c r="H14" s="643"/>
      <c r="I14" s="643"/>
      <c r="J14" s="643"/>
      <c r="K14" s="643"/>
      <c r="L14" s="643"/>
      <c r="M14" s="643"/>
      <c r="N14" s="643"/>
      <c r="O14" s="643"/>
      <c r="P14" s="643"/>
      <c r="Q14" s="643"/>
      <c r="R14" s="643"/>
      <c r="S14" s="643"/>
      <c r="T14" s="643"/>
      <c r="U14" s="643"/>
      <c r="V14" s="643"/>
      <c r="W14" s="644"/>
      <c r="X14" s="645"/>
      <c r="Z14" s="645"/>
    </row>
    <row r="15" customFormat="false" ht="12.75" hidden="false" customHeight="false" outlineLevel="0" collapsed="false">
      <c r="B15" s="646" t="s">
        <v>310</v>
      </c>
      <c r="C15" s="647" t="n">
        <f aca="false">VLOOKUP(C3,'Company Volumes'!$E$31:$J$259,6)</f>
        <v>151.568770644213</v>
      </c>
      <c r="D15" s="647" t="n">
        <f aca="false">VLOOKUP(D3,'Company Volumes'!$E$31:$J$259,6)</f>
        <v>121.360658997605</v>
      </c>
      <c r="E15" s="647" t="n">
        <f aca="false">VLOOKUP(E3,'Company Volumes'!$E$31:$J$259,6)</f>
        <v>108.548172462932</v>
      </c>
      <c r="F15" s="647" t="n">
        <f aca="false">VLOOKUP(F3,'Company Volumes'!$E$31:$J$259,6)</f>
        <v>106.433733600254</v>
      </c>
      <c r="G15" s="647" t="n">
        <f aca="false">VLOOKUP(G3,'Company Volumes'!$E$31:$J$259,6)</f>
        <v>109.349614641506</v>
      </c>
      <c r="H15" s="647" t="n">
        <f aca="false">VLOOKUP(H3,'Company Volumes'!$E$31:$J$259,6)</f>
        <v>94.9566204434613</v>
      </c>
      <c r="I15" s="647" t="n">
        <f aca="false">VLOOKUP(I3,'Company Volumes'!$E$31:$J$259,6)</f>
        <v>105.080309454986</v>
      </c>
      <c r="J15" s="647" t="n">
        <f aca="false">VLOOKUP(J3,'Company Volumes'!$E$31:$J$259,6)</f>
        <v>115.214698970203</v>
      </c>
      <c r="K15" s="647" t="n">
        <f aca="false">VLOOKUP(K3,'Company Volumes'!$E$31:$J$259,6)</f>
        <v>114.471511649964</v>
      </c>
      <c r="L15" s="647" t="n">
        <f aca="false">VLOOKUP(L3,'Company Volumes'!$E$31:$J$259,6)</f>
        <v>110.844239404559</v>
      </c>
      <c r="M15" s="647" t="n">
        <f aca="false">VLOOKUP(M3,'Company Volumes'!$E$31:$J$259,6)</f>
        <v>110.986803374714</v>
      </c>
      <c r="N15" s="647" t="n">
        <f aca="false">VLOOKUP(N3,'Company Volumes'!$E$31:$J$259,6)</f>
        <v>107.66854768474</v>
      </c>
      <c r="O15" s="647" t="n">
        <f aca="false">VLOOKUP(O3,'Company Volumes'!$E$31:$J$259,6)</f>
        <v>104.340523385816</v>
      </c>
      <c r="P15" s="647" t="n">
        <f aca="false">VLOOKUP(P3,'Company Volumes'!$E$31:$J$259,6)</f>
        <v>99.065493926824</v>
      </c>
      <c r="Q15" s="647" t="n">
        <f aca="false">VLOOKUP(Q3,'Company Volumes'!$E$31:$J$259,6)</f>
        <v>104.800577501742</v>
      </c>
      <c r="R15" s="647" t="n">
        <f aca="false">VLOOKUP(R3,'Company Volumes'!$E$31:$J$259,6)</f>
        <v>113.840139579813</v>
      </c>
      <c r="S15" s="647" t="n">
        <f aca="false">VLOOKUP(S3,'Company Volumes'!$E$31:$J$259,6)</f>
        <v>118.936294995668</v>
      </c>
      <c r="T15" s="647" t="n">
        <f aca="false">VLOOKUP(T3,'Company Volumes'!$E$31:$J$259,6)</f>
        <v>118.545952763156</v>
      </c>
      <c r="U15" s="647" t="n">
        <f aca="false">VLOOKUP(U3,'Company Volumes'!$E$31:$J$259,6)</f>
        <v>119.549653202349</v>
      </c>
      <c r="V15" s="647" t="n">
        <f aca="false">VLOOKUP(V3,'Company Volumes'!$E$31:$J$259,6)</f>
        <v>109.735189458634</v>
      </c>
      <c r="W15" s="648" t="s">
        <v>140</v>
      </c>
      <c r="X15" s="624"/>
      <c r="Z15" s="624"/>
    </row>
    <row r="16" customFormat="false" ht="12.75" hidden="false" customHeight="false" outlineLevel="0" collapsed="false">
      <c r="B16" s="646" t="s">
        <v>311</v>
      </c>
      <c r="C16" s="649" t="n">
        <f aca="false">VLOOKUP(C3,'Company Volumes'!$E$31:$L$259,8)</f>
        <v>59.7787172798462</v>
      </c>
      <c r="D16" s="649" t="n">
        <f aca="false">VLOOKUP(D3,'Company Volumes'!$E$31:$L$259,8)</f>
        <v>56.3500132321943</v>
      </c>
      <c r="E16" s="649" t="n">
        <f aca="false">VLOOKUP(E3,'Company Volumes'!$E$31:$L$259,8)</f>
        <v>56.9557927666539</v>
      </c>
      <c r="F16" s="649" t="n">
        <f aca="false">VLOOKUP(F3,'Company Volumes'!$E$31:$L$259,8)</f>
        <v>57.5031423108554</v>
      </c>
      <c r="G16" s="649" t="n">
        <f aca="false">VLOOKUP(G3,'Company Volumes'!$E$31:$L$259,8)</f>
        <v>58.0620341743285</v>
      </c>
      <c r="H16" s="649" t="n">
        <f aca="false">VLOOKUP(H3,'Company Volumes'!$E$31:$L$259,8)</f>
        <v>58.6426762297126</v>
      </c>
      <c r="I16" s="649" t="n">
        <f aca="false">VLOOKUP(I3,'Company Volumes'!$E$31:$L$259,8)</f>
        <v>59.2383030268303</v>
      </c>
      <c r="J16" s="649" t="n">
        <f aca="false">VLOOKUP(J3,'Company Volumes'!$E$31:$L$259,8)</f>
        <v>59.8530815163445</v>
      </c>
      <c r="K16" s="649" t="n">
        <f aca="false">VLOOKUP(K3,'Company Volumes'!$E$31:$L$259,8)</f>
        <v>60.4918678540365</v>
      </c>
      <c r="L16" s="649" t="n">
        <f aca="false">VLOOKUP(L3,'Company Volumes'!$E$31:$L$259,8)</f>
        <v>61.1407130377232</v>
      </c>
      <c r="M16" s="649" t="n">
        <f aca="false">VLOOKUP(M3,'Company Volumes'!$E$31:$L$259,8)</f>
        <v>61.8074065241208</v>
      </c>
      <c r="N16" s="649" t="n">
        <f aca="false">VLOOKUP(N3,'Company Volumes'!$E$31:$L$259,8)</f>
        <v>62.4895236291702</v>
      </c>
      <c r="O16" s="649" t="n">
        <f aca="false">VLOOKUP(O3,'Company Volumes'!$E$31:$L$259,8)</f>
        <v>63.1875071276675</v>
      </c>
      <c r="P16" s="649" t="n">
        <f aca="false">VLOOKUP(P3,'Company Volumes'!$E$31:$L$259,8)</f>
        <v>63.9134364613582</v>
      </c>
      <c r="Q16" s="649" t="n">
        <f aca="false">VLOOKUP(Q3,'Company Volumes'!$E$31:$L$259,8)</f>
        <v>64.6576752936425</v>
      </c>
      <c r="R16" s="649" t="n">
        <f aca="false">VLOOKUP(R3,'Company Volumes'!$E$31:$L$259,8)</f>
        <v>66.3907850377679</v>
      </c>
      <c r="S16" s="649" t="n">
        <f aca="false">VLOOKUP(S3,'Company Volumes'!$E$31:$L$259,8)</f>
        <v>67.1719663558485</v>
      </c>
      <c r="T16" s="649" t="n">
        <f aca="false">VLOOKUP(T3,'Company Volumes'!$E$31:$L$259,8)</f>
        <v>67.9727542530558</v>
      </c>
      <c r="U16" s="649" t="n">
        <f aca="false">VLOOKUP(U3,'Company Volumes'!$E$31:$L$259,8)</f>
        <v>68.7969908247325</v>
      </c>
      <c r="V16" s="649" t="n">
        <f aca="false">VLOOKUP(V3,'Company Volumes'!$E$31:$L$259,8)</f>
        <v>69.6479127844048</v>
      </c>
      <c r="W16" s="650" t="s">
        <v>140</v>
      </c>
      <c r="X16" s="624"/>
      <c r="Z16" s="624"/>
    </row>
    <row r="17" customFormat="false" ht="12.75" hidden="false" customHeight="false" outlineLevel="0" collapsed="false">
      <c r="B17" s="651" t="s">
        <v>312</v>
      </c>
      <c r="C17" s="652" t="n">
        <f aca="false">C15-C16</f>
        <v>91.7900533643665</v>
      </c>
      <c r="D17" s="652" t="n">
        <f aca="false">D15-D16</f>
        <v>65.0106457654108</v>
      </c>
      <c r="E17" s="652" t="n">
        <f aca="false">E15-E16</f>
        <v>51.5923796962784</v>
      </c>
      <c r="F17" s="652" t="n">
        <f aca="false">F15-F16</f>
        <v>48.9305912893985</v>
      </c>
      <c r="G17" s="652" t="n">
        <f aca="false">G15-G16</f>
        <v>51.2875804671776</v>
      </c>
      <c r="H17" s="652" t="n">
        <f aca="false">H15-H16</f>
        <v>36.3139442137487</v>
      </c>
      <c r="I17" s="652" t="n">
        <f aca="false">I15-I16</f>
        <v>45.842006428156</v>
      </c>
      <c r="J17" s="652" t="n">
        <f aca="false">J15-J16</f>
        <v>55.3616174538582</v>
      </c>
      <c r="K17" s="652" t="n">
        <f aca="false">K15-K16</f>
        <v>53.9796437959279</v>
      </c>
      <c r="L17" s="652" t="n">
        <f aca="false">L15-L16</f>
        <v>49.7035263668355</v>
      </c>
      <c r="M17" s="652" t="n">
        <f aca="false">M15-M16</f>
        <v>49.179396850593</v>
      </c>
      <c r="N17" s="652" t="n">
        <f aca="false">N15-N16</f>
        <v>45.1790240555699</v>
      </c>
      <c r="O17" s="652" t="n">
        <f aca="false">O15-O16</f>
        <v>41.1530162581486</v>
      </c>
      <c r="P17" s="652" t="n">
        <f aca="false">P15-P16</f>
        <v>35.1520574654657</v>
      </c>
      <c r="Q17" s="652" t="n">
        <f aca="false">Q15-Q16</f>
        <v>40.1429022080992</v>
      </c>
      <c r="R17" s="652" t="n">
        <f aca="false">R15-R16</f>
        <v>47.4493545420446</v>
      </c>
      <c r="S17" s="652" t="n">
        <f aca="false">S15-S16</f>
        <v>51.7643286398199</v>
      </c>
      <c r="T17" s="652" t="n">
        <f aca="false">T15-T16</f>
        <v>50.5731985101003</v>
      </c>
      <c r="U17" s="652" t="n">
        <f aca="false">U15-U16</f>
        <v>50.7526623776163</v>
      </c>
      <c r="V17" s="652" t="n">
        <f aca="false">V15-V16</f>
        <v>40.0872766742296</v>
      </c>
      <c r="W17" s="650" t="s">
        <v>140</v>
      </c>
      <c r="X17" s="624"/>
      <c r="Z17" s="624"/>
    </row>
    <row r="18" customFormat="false" ht="13.5" hidden="false" customHeight="false" outlineLevel="0" collapsed="false">
      <c r="B18" s="653"/>
      <c r="C18" s="654"/>
      <c r="D18" s="654"/>
      <c r="E18" s="654"/>
      <c r="F18" s="654"/>
      <c r="G18" s="654"/>
      <c r="H18" s="654"/>
      <c r="I18" s="654"/>
      <c r="J18" s="654"/>
      <c r="K18" s="654"/>
      <c r="L18" s="654"/>
      <c r="M18" s="654"/>
      <c r="N18" s="654"/>
      <c r="O18" s="654"/>
      <c r="P18" s="654"/>
      <c r="Q18" s="654"/>
      <c r="R18" s="654"/>
      <c r="S18" s="654"/>
      <c r="T18" s="654"/>
      <c r="U18" s="654"/>
      <c r="V18" s="654"/>
      <c r="W18" s="654"/>
      <c r="X18" s="655"/>
    </row>
    <row r="19" customFormat="false" ht="13.5" hidden="false" customHeight="false" outlineLevel="0" collapsed="false"/>
    <row r="20" customFormat="false" ht="13.5" hidden="false" customHeight="false" outlineLevel="0" collapsed="false">
      <c r="B20" s="627" t="s">
        <v>241</v>
      </c>
      <c r="C20" s="628" t="n">
        <v>36891</v>
      </c>
      <c r="D20" s="628" t="n">
        <f aca="false">C20+365.25</f>
        <v>37256.25</v>
      </c>
      <c r="E20" s="628" t="n">
        <f aca="false">D20+365.25</f>
        <v>37621.5</v>
      </c>
      <c r="F20" s="628" t="n">
        <f aca="false">E20+365.25</f>
        <v>37986.75</v>
      </c>
      <c r="G20" s="628" t="n">
        <f aca="false">F20+365.25</f>
        <v>38352</v>
      </c>
      <c r="H20" s="628" t="n">
        <f aca="false">G20+365.25</f>
        <v>38717.25</v>
      </c>
      <c r="I20" s="628" t="n">
        <f aca="false">H20+365.25</f>
        <v>39082.5</v>
      </c>
      <c r="J20" s="628" t="n">
        <f aca="false">I20+365.25</f>
        <v>39447.75</v>
      </c>
      <c r="K20" s="628" t="n">
        <f aca="false">J20+365.25</f>
        <v>39813</v>
      </c>
      <c r="L20" s="628" t="n">
        <f aca="false">K20+365.25</f>
        <v>40178.25</v>
      </c>
      <c r="M20" s="628" t="n">
        <f aca="false">L20+365.25</f>
        <v>40543.5</v>
      </c>
      <c r="N20" s="628" t="n">
        <f aca="false">M20+365.25</f>
        <v>40908.75</v>
      </c>
      <c r="O20" s="628" t="n">
        <f aca="false">N20+365.25</f>
        <v>41274</v>
      </c>
      <c r="P20" s="628" t="n">
        <f aca="false">O20+365.25</f>
        <v>41639.25</v>
      </c>
      <c r="Q20" s="628" t="n">
        <f aca="false">P20+365.25</f>
        <v>42004.5</v>
      </c>
      <c r="R20" s="628" t="n">
        <f aca="false">Q20+365.25</f>
        <v>42369.75</v>
      </c>
      <c r="S20" s="628" t="n">
        <f aca="false">R20+365.25</f>
        <v>42735</v>
      </c>
      <c r="T20" s="628" t="n">
        <f aca="false">S20+365.25</f>
        <v>43100.25</v>
      </c>
      <c r="U20" s="628" t="n">
        <f aca="false">T20+365.25</f>
        <v>43465.5</v>
      </c>
      <c r="V20" s="628" t="n">
        <f aca="false">U20+365.25</f>
        <v>43830.75</v>
      </c>
      <c r="W20" s="629" t="n">
        <f aca="false">V20+365.25</f>
        <v>44196</v>
      </c>
      <c r="X20" s="656" t="s">
        <v>60</v>
      </c>
    </row>
    <row r="21" customFormat="false" ht="12.75" hidden="false" customHeight="false" outlineLevel="0" collapsed="false">
      <c r="B21" s="624" t="s">
        <v>242</v>
      </c>
      <c r="C21" s="624" t="n">
        <v>0</v>
      </c>
      <c r="D21" s="624" t="n">
        <v>0</v>
      </c>
      <c r="E21" s="624" t="n">
        <v>0</v>
      </c>
      <c r="F21" s="624" t="n">
        <v>0</v>
      </c>
      <c r="G21" s="624" t="n">
        <v>0</v>
      </c>
      <c r="H21" s="624" t="n">
        <v>0</v>
      </c>
      <c r="I21" s="624" t="n">
        <v>0</v>
      </c>
      <c r="J21" s="624" t="n">
        <v>0</v>
      </c>
      <c r="K21" s="624" t="n">
        <v>0</v>
      </c>
      <c r="L21" s="624" t="n">
        <v>0</v>
      </c>
      <c r="M21" s="624" t="n">
        <v>0</v>
      </c>
      <c r="N21" s="624" t="n">
        <v>0</v>
      </c>
      <c r="O21" s="624" t="n">
        <v>0</v>
      </c>
      <c r="P21" s="624" t="n">
        <v>0</v>
      </c>
      <c r="Q21" s="624" t="n">
        <v>0</v>
      </c>
      <c r="R21" s="624" t="n">
        <v>0</v>
      </c>
      <c r="S21" s="624" t="n">
        <v>0</v>
      </c>
      <c r="T21" s="624" t="n">
        <v>0</v>
      </c>
      <c r="U21" s="624" t="n">
        <v>0</v>
      </c>
      <c r="V21" s="624" t="n">
        <v>0</v>
      </c>
      <c r="W21" s="624" t="n">
        <v>0</v>
      </c>
      <c r="X21" s="625" t="n">
        <f aca="false">SUM(C21:W21)</f>
        <v>0</v>
      </c>
    </row>
    <row r="22" customFormat="false" ht="12.75" hidden="false" customHeight="false" outlineLevel="0" collapsed="false">
      <c r="B22" s="624" t="s">
        <v>243</v>
      </c>
      <c r="C22" s="624" t="n">
        <v>0</v>
      </c>
      <c r="D22" s="624" t="n">
        <v>0</v>
      </c>
      <c r="E22" s="624" t="n">
        <v>0</v>
      </c>
      <c r="F22" s="624" t="n">
        <v>0</v>
      </c>
      <c r="G22" s="624" t="n">
        <v>0</v>
      </c>
      <c r="H22" s="624" t="n">
        <v>0</v>
      </c>
      <c r="I22" s="624" t="n">
        <v>0</v>
      </c>
      <c r="J22" s="624" t="n">
        <v>0</v>
      </c>
      <c r="K22" s="624" t="n">
        <v>0</v>
      </c>
      <c r="L22" s="624" t="n">
        <v>0</v>
      </c>
      <c r="M22" s="624" t="n">
        <v>0</v>
      </c>
      <c r="N22" s="624" t="n">
        <v>0</v>
      </c>
      <c r="O22" s="624" t="n">
        <v>0</v>
      </c>
      <c r="P22" s="624" t="n">
        <v>0</v>
      </c>
      <c r="Q22" s="624" t="n">
        <v>0</v>
      </c>
      <c r="R22" s="624" t="n">
        <v>0</v>
      </c>
      <c r="S22" s="624" t="n">
        <v>0</v>
      </c>
      <c r="T22" s="624" t="n">
        <v>0</v>
      </c>
      <c r="U22" s="624" t="n">
        <v>0</v>
      </c>
      <c r="V22" s="624" t="n">
        <v>0</v>
      </c>
      <c r="W22" s="624" t="n">
        <v>0</v>
      </c>
      <c r="X22" s="625" t="n">
        <f aca="false">SUM(C22:W22)</f>
        <v>0</v>
      </c>
    </row>
    <row r="23" customFormat="false" ht="12.75" hidden="false" customHeight="false" outlineLevel="0" collapsed="false">
      <c r="B23" s="624" t="s">
        <v>244</v>
      </c>
      <c r="C23" s="657" t="n">
        <f aca="false">'Financial Statements'!C11</f>
        <v>27939996.0845947</v>
      </c>
      <c r="D23" s="657" t="n">
        <f aca="false">'Financial Statements'!D11</f>
        <v>26282843.1463623</v>
      </c>
      <c r="E23" s="657" t="n">
        <f aca="false">'Financial Statements'!E11</f>
        <v>25565399.1540527</v>
      </c>
      <c r="F23" s="657" t="n">
        <f aca="false">'Financial Statements'!F11</f>
        <v>25345655.1617432</v>
      </c>
      <c r="G23" s="657" t="n">
        <f aca="false">'Financial Statements'!G11</f>
        <v>25668719.1540527</v>
      </c>
      <c r="H23" s="657" t="n">
        <f aca="false">'Financial Statements'!H11</f>
        <v>26161883.1463623</v>
      </c>
      <c r="I23" s="657" t="n">
        <f aca="false">'Financial Statements'!I11</f>
        <v>26554499.1540527</v>
      </c>
      <c r="J23" s="657" t="n">
        <f aca="false">'Financial Statements'!J11</f>
        <v>27046655.1617432</v>
      </c>
      <c r="K23" s="657" t="n">
        <f aca="false">'Financial Statements'!K11</f>
        <v>27914039.1540527</v>
      </c>
      <c r="L23" s="657" t="n">
        <f aca="false">'Financial Statements'!L11</f>
        <v>28705823.1463623</v>
      </c>
      <c r="M23" s="657" t="n">
        <f aca="false">'Financial Statements'!M11</f>
        <v>29099699.1540527</v>
      </c>
      <c r="N23" s="657" t="n">
        <f aca="false">'Financial Statements'!N11</f>
        <v>29518775.1617432</v>
      </c>
      <c r="O23" s="657" t="n">
        <f aca="false">'Financial Statements'!O11</f>
        <v>30353399.1540527</v>
      </c>
      <c r="P23" s="657" t="n">
        <f aca="false">'Financial Statements'!P11</f>
        <v>31117463.1463623</v>
      </c>
      <c r="Q23" s="657" t="n">
        <f aca="false">'Financial Statements'!Q11</f>
        <v>31443299.1540527</v>
      </c>
      <c r="R23" s="657" t="n">
        <f aca="false">'Financial Statements'!R11</f>
        <v>31832135.1617432</v>
      </c>
      <c r="S23" s="657" t="n">
        <f aca="false">'Financial Statements'!S11</f>
        <v>32681879.1540527</v>
      </c>
      <c r="T23" s="657" t="n">
        <f aca="false">'Financial Statements'!T11</f>
        <v>33476183.1463623</v>
      </c>
      <c r="U23" s="657" t="n">
        <f aca="false">'Financial Statements'!U11</f>
        <v>33786899.1540527</v>
      </c>
      <c r="V23" s="657" t="n">
        <f aca="false">'Financial Statements'!V11</f>
        <v>33567155.1617432</v>
      </c>
      <c r="W23" s="657" t="n">
        <f aca="false">'Financial Statements'!W11</f>
        <v>33846119.1540527</v>
      </c>
      <c r="X23" s="658" t="n">
        <f aca="false">SUM(C23:W23)</f>
        <v>617908519.165649</v>
      </c>
    </row>
    <row r="24" customFormat="false" ht="12.75" hidden="false" customHeight="false" outlineLevel="0" collapsed="false">
      <c r="B24" s="659" t="s">
        <v>245</v>
      </c>
      <c r="C24" s="624" t="n">
        <f aca="false">SUM(C21:C23)</f>
        <v>27939996.0845947</v>
      </c>
      <c r="D24" s="624" t="n">
        <f aca="false">SUM(D21:D23)</f>
        <v>26282843.1463623</v>
      </c>
      <c r="E24" s="624" t="n">
        <f aca="false">SUM(E21:E23)</f>
        <v>25565399.1540527</v>
      </c>
      <c r="F24" s="624" t="n">
        <f aca="false">SUM(F21:F23)</f>
        <v>25345655.1617432</v>
      </c>
      <c r="G24" s="624" t="n">
        <f aca="false">SUM(G21:G23)</f>
        <v>25668719.1540527</v>
      </c>
      <c r="H24" s="624" t="n">
        <f aca="false">SUM(H21:H23)</f>
        <v>26161883.1463623</v>
      </c>
      <c r="I24" s="624" t="n">
        <f aca="false">SUM(I21:I23)</f>
        <v>26554499.1540527</v>
      </c>
      <c r="J24" s="624" t="n">
        <f aca="false">SUM(J21:J23)</f>
        <v>27046655.1617432</v>
      </c>
      <c r="K24" s="624" t="n">
        <f aca="false">SUM(K21:K23)</f>
        <v>27914039.1540527</v>
      </c>
      <c r="L24" s="624" t="n">
        <f aca="false">SUM(L21:L23)</f>
        <v>28705823.1463623</v>
      </c>
      <c r="M24" s="624" t="n">
        <f aca="false">SUM(M21:M23)</f>
        <v>29099699.1540527</v>
      </c>
      <c r="N24" s="624" t="n">
        <f aca="false">SUM(N21:N23)</f>
        <v>29518775.1617432</v>
      </c>
      <c r="O24" s="624" t="n">
        <f aca="false">SUM(O21:O23)</f>
        <v>30353399.1540527</v>
      </c>
      <c r="P24" s="624" t="n">
        <f aca="false">SUM(P21:P23)</f>
        <v>31117463.1463623</v>
      </c>
      <c r="Q24" s="624" t="n">
        <f aca="false">SUM(Q21:Q23)</f>
        <v>31443299.1540527</v>
      </c>
      <c r="R24" s="624" t="n">
        <f aca="false">SUM(R21:R23)</f>
        <v>31832135.1617432</v>
      </c>
      <c r="S24" s="624" t="n">
        <f aca="false">SUM(S21:S23)</f>
        <v>32681879.1540527</v>
      </c>
      <c r="T24" s="624" t="n">
        <f aca="false">SUM(T21:T23)</f>
        <v>33476183.1463623</v>
      </c>
      <c r="U24" s="624" t="n">
        <f aca="false">SUM(U21:U23)</f>
        <v>33786899.1540527</v>
      </c>
      <c r="V24" s="624" t="n">
        <f aca="false">SUM(V21:V23)</f>
        <v>33567155.1617432</v>
      </c>
      <c r="W24" s="624" t="n">
        <f aca="false">SUM(W21:W23)</f>
        <v>33846119.1540527</v>
      </c>
      <c r="X24" s="625" t="n">
        <f aca="false">SUM(C24:W24)</f>
        <v>617908519.165649</v>
      </c>
    </row>
    <row r="25" customFormat="false" ht="12.75" hidden="false" customHeight="false" outlineLevel="0" collapsed="false">
      <c r="B25" s="659"/>
      <c r="C25" s="624"/>
      <c r="D25" s="624"/>
      <c r="E25" s="624"/>
      <c r="F25" s="624"/>
      <c r="G25" s="624"/>
      <c r="H25" s="624"/>
      <c r="I25" s="624"/>
      <c r="J25" s="624"/>
      <c r="K25" s="624"/>
      <c r="L25" s="624"/>
      <c r="M25" s="624"/>
      <c r="N25" s="624"/>
      <c r="O25" s="624"/>
      <c r="P25" s="624"/>
      <c r="Q25" s="624"/>
      <c r="R25" s="624"/>
      <c r="S25" s="624"/>
      <c r="T25" s="624"/>
      <c r="U25" s="624"/>
      <c r="V25" s="624"/>
      <c r="W25" s="624"/>
      <c r="X25" s="625"/>
    </row>
    <row r="26" customFormat="false" ht="12.75" hidden="false" customHeight="false" outlineLevel="0" collapsed="false">
      <c r="B26" s="631" t="s">
        <v>313</v>
      </c>
      <c r="C26" s="660"/>
      <c r="D26" s="660"/>
      <c r="E26" s="660"/>
      <c r="F26" s="660"/>
      <c r="G26" s="660"/>
      <c r="H26" s="660"/>
      <c r="I26" s="660"/>
      <c r="J26" s="660"/>
      <c r="K26" s="660"/>
      <c r="L26" s="660"/>
      <c r="M26" s="660"/>
      <c r="N26" s="660"/>
      <c r="O26" s="660"/>
      <c r="P26" s="660"/>
      <c r="Q26" s="660"/>
      <c r="R26" s="660"/>
      <c r="S26" s="660"/>
      <c r="T26" s="660"/>
      <c r="U26" s="660"/>
      <c r="V26" s="660"/>
      <c r="W26" s="660"/>
      <c r="X26" s="661"/>
    </row>
    <row r="27" customFormat="false" ht="12.75" hidden="false" customHeight="false" outlineLevel="0" collapsed="false">
      <c r="B27" s="662" t="s">
        <v>242</v>
      </c>
      <c r="C27" s="663" t="n">
        <v>2670601.9857725</v>
      </c>
      <c r="D27" s="663" t="n">
        <v>8535146.0549558</v>
      </c>
      <c r="E27" s="663" t="n">
        <v>8634523.01313094</v>
      </c>
      <c r="F27" s="663" t="n">
        <v>8843451.11751814</v>
      </c>
      <c r="G27" s="663" t="n">
        <v>9040633.35628184</v>
      </c>
      <c r="H27" s="663" t="n">
        <v>6618257.74185927</v>
      </c>
      <c r="I27" s="663" t="n">
        <v>8589734.40529492</v>
      </c>
      <c r="J27" s="663" t="n">
        <v>10759145.3106416</v>
      </c>
      <c r="K27" s="663" t="n">
        <v>11016859.4657603</v>
      </c>
      <c r="L27" s="663" t="n">
        <v>10402806.1456863</v>
      </c>
      <c r="M27" s="663" t="n">
        <v>10613950.4964245</v>
      </c>
      <c r="N27" s="663" t="n">
        <v>10065807.6892826</v>
      </c>
      <c r="O27" s="663" t="n">
        <v>9828184.2643042</v>
      </c>
      <c r="P27" s="663" t="n">
        <v>9002023.93124951</v>
      </c>
      <c r="Q27" s="663" t="n">
        <v>10633654.779666</v>
      </c>
      <c r="R27" s="663" t="n">
        <v>12213685.6743069</v>
      </c>
      <c r="S27" s="663" t="n">
        <v>13797396.4914107</v>
      </c>
      <c r="T27" s="663" t="n">
        <v>13904796.81456</v>
      </c>
      <c r="U27" s="663" t="n">
        <v>14388474.6065553</v>
      </c>
      <c r="V27" s="663" t="n">
        <v>12153671.2652204</v>
      </c>
      <c r="W27" s="663" t="n">
        <v>0</v>
      </c>
      <c r="X27" s="664" t="n">
        <f aca="false">SUM(C27:V27)</f>
        <v>201712804.609882</v>
      </c>
    </row>
    <row r="28" customFormat="false" ht="12.75" hidden="false" customHeight="false" outlineLevel="0" collapsed="false">
      <c r="B28" s="662" t="s">
        <v>243</v>
      </c>
      <c r="C28" s="663" t="n">
        <v>3028465.48632219</v>
      </c>
      <c r="D28" s="663" t="n">
        <v>7912749.96374319</v>
      </c>
      <c r="E28" s="663" t="n">
        <v>7655439.49246368</v>
      </c>
      <c r="F28" s="663" t="n">
        <v>8061419.88315995</v>
      </c>
      <c r="G28" s="663" t="n">
        <v>8083526.71747672</v>
      </c>
      <c r="H28" s="663" t="n">
        <v>5828136.67636303</v>
      </c>
      <c r="I28" s="663" t="n">
        <v>7637917.42520964</v>
      </c>
      <c r="J28" s="663" t="n">
        <v>9845357.09068578</v>
      </c>
      <c r="K28" s="663" t="n">
        <v>9955023.10084111</v>
      </c>
      <c r="L28" s="663" t="n">
        <v>9220619.80126288</v>
      </c>
      <c r="M28" s="663" t="n">
        <v>9354987.51914461</v>
      </c>
      <c r="N28" s="663" t="n">
        <v>8831379.78099575</v>
      </c>
      <c r="O28" s="663" t="n">
        <v>8892446.63912007</v>
      </c>
      <c r="P28" s="663" t="n">
        <v>8043923.09094344</v>
      </c>
      <c r="Q28" s="663" t="n">
        <v>9481760.11060081</v>
      </c>
      <c r="R28" s="663" t="n">
        <v>11224822.4599806</v>
      </c>
      <c r="S28" s="663" t="n">
        <v>12855472.6681146</v>
      </c>
      <c r="T28" s="663" t="n">
        <v>13011623.0760077</v>
      </c>
      <c r="U28" s="663" t="n">
        <v>13549976.4795152</v>
      </c>
      <c r="V28" s="663" t="n">
        <v>11043297.3111105</v>
      </c>
      <c r="W28" s="663" t="n">
        <v>0</v>
      </c>
      <c r="X28" s="664" t="n">
        <f aca="false">SUM(C28:V28)</f>
        <v>183518344.773061</v>
      </c>
    </row>
    <row r="29" customFormat="false" ht="12.75" hidden="false" customHeight="false" outlineLevel="0" collapsed="false">
      <c r="B29" s="662" t="s">
        <v>244</v>
      </c>
      <c r="C29" s="665" t="n">
        <v>9096988.55755936</v>
      </c>
      <c r="D29" s="665" t="n">
        <v>24969329.618222</v>
      </c>
      <c r="E29" s="665" t="n">
        <v>24953239.6300399</v>
      </c>
      <c r="F29" s="665" t="n">
        <v>25916861.9915016</v>
      </c>
      <c r="G29" s="665" t="n">
        <v>26004163.1363204</v>
      </c>
      <c r="H29" s="665" t="n">
        <v>22029730.4205578</v>
      </c>
      <c r="I29" s="665" t="n">
        <v>25832444.698313</v>
      </c>
      <c r="J29" s="665" t="n">
        <v>29838485.4901512</v>
      </c>
      <c r="K29" s="665" t="n">
        <v>30212118.5261268</v>
      </c>
      <c r="L29" s="665" t="n">
        <v>29552425.0242626</v>
      </c>
      <c r="M29" s="665" t="n">
        <v>30145191.4141162</v>
      </c>
      <c r="N29" s="665" t="n">
        <v>29608482.0592862</v>
      </c>
      <c r="O29" s="665" t="n">
        <v>30318421.7512581</v>
      </c>
      <c r="P29" s="665" t="n">
        <v>29037647.0714352</v>
      </c>
      <c r="Q29" s="665" t="n">
        <v>31932069.3201292</v>
      </c>
      <c r="R29" s="665" t="n">
        <v>34619491.8996777</v>
      </c>
      <c r="S29" s="665" t="n">
        <v>37491533.0483825</v>
      </c>
      <c r="T29" s="665" t="n">
        <v>38148972.5880339</v>
      </c>
      <c r="U29" s="665" t="n">
        <v>39594909.5355522</v>
      </c>
      <c r="V29" s="665" t="n">
        <v>36082035.7493859</v>
      </c>
      <c r="W29" s="665" t="n">
        <v>0</v>
      </c>
      <c r="X29" s="664" t="n">
        <f aca="false">SUM(C29:V29)</f>
        <v>585384541.530312</v>
      </c>
    </row>
    <row r="30" customFormat="false" ht="12.75" hidden="false" customHeight="false" outlineLevel="0" collapsed="false">
      <c r="B30" s="666" t="s">
        <v>245</v>
      </c>
      <c r="C30" s="665" t="n">
        <f aca="false">SUM(C27:C29)</f>
        <v>14796056.0296541</v>
      </c>
      <c r="D30" s="665" t="n">
        <f aca="false">SUM(D27:D29)</f>
        <v>41417225.636921</v>
      </c>
      <c r="E30" s="665" t="n">
        <f aca="false">SUM(E27:E29)</f>
        <v>41243202.1356345</v>
      </c>
      <c r="F30" s="665" t="n">
        <f aca="false">SUM(F27:F29)</f>
        <v>42821732.9921797</v>
      </c>
      <c r="G30" s="665" t="n">
        <f aca="false">SUM(G27:G29)</f>
        <v>43128323.210079</v>
      </c>
      <c r="H30" s="665" t="n">
        <f aca="false">SUM(H27:H29)</f>
        <v>34476124.8387801</v>
      </c>
      <c r="I30" s="665" t="n">
        <f aca="false">SUM(I27:I29)</f>
        <v>42060096.5288176</v>
      </c>
      <c r="J30" s="665" t="n">
        <f aca="false">SUM(J27:J29)</f>
        <v>50442987.8914786</v>
      </c>
      <c r="K30" s="665" t="n">
        <f aca="false">SUM(K27:K29)</f>
        <v>51184001.0927281</v>
      </c>
      <c r="L30" s="665" t="n">
        <f aca="false">SUM(L27:L29)</f>
        <v>49175850.9712118</v>
      </c>
      <c r="M30" s="665" t="n">
        <f aca="false">SUM(M27:M29)</f>
        <v>50114129.4296854</v>
      </c>
      <c r="N30" s="665" t="n">
        <f aca="false">SUM(N27:N29)</f>
        <v>48505669.5295645</v>
      </c>
      <c r="O30" s="665" t="n">
        <f aca="false">SUM(O27:O29)</f>
        <v>49039052.6546824</v>
      </c>
      <c r="P30" s="665" t="n">
        <f aca="false">SUM(P27:P29)</f>
        <v>46083594.0936281</v>
      </c>
      <c r="Q30" s="665" t="n">
        <f aca="false">SUM(Q27:Q29)</f>
        <v>52047484.210396</v>
      </c>
      <c r="R30" s="665" t="n">
        <f aca="false">SUM(R27:R29)</f>
        <v>58058000.0339652</v>
      </c>
      <c r="S30" s="665" t="n">
        <f aca="false">SUM(S27:S29)</f>
        <v>64144402.2079079</v>
      </c>
      <c r="T30" s="665" t="n">
        <f aca="false">SUM(T27:T29)</f>
        <v>65065392.4786015</v>
      </c>
      <c r="U30" s="665" t="n">
        <f aca="false">SUM(U27:U29)</f>
        <v>67533360.6216226</v>
      </c>
      <c r="V30" s="665" t="n">
        <f aca="false">SUM(V27:V29)</f>
        <v>59279004.3257168</v>
      </c>
      <c r="W30" s="665" t="n">
        <v>0</v>
      </c>
      <c r="X30" s="636" t="n">
        <f aca="false">SUM(C30:V30)</f>
        <v>970615690.913255</v>
      </c>
    </row>
    <row r="31" customFormat="false" ht="12.75" hidden="false" customHeight="false" outlineLevel="0" collapsed="false">
      <c r="B31" s="667" t="s">
        <v>314</v>
      </c>
      <c r="C31" s="668" t="n">
        <f aca="false">C24-C30</f>
        <v>13143940.0549407</v>
      </c>
      <c r="D31" s="668" t="n">
        <f aca="false">D24-D30</f>
        <v>-15134382.4905587</v>
      </c>
      <c r="E31" s="668" t="n">
        <f aca="false">E24-E30</f>
        <v>-15677802.9815818</v>
      </c>
      <c r="F31" s="668" t="n">
        <f aca="false">F24-F30</f>
        <v>-17476077.8304365</v>
      </c>
      <c r="G31" s="668" t="n">
        <f aca="false">G24-G30</f>
        <v>-17459604.0560263</v>
      </c>
      <c r="H31" s="668" t="n">
        <f aca="false">H24-H30</f>
        <v>-8314241.69241781</v>
      </c>
      <c r="I31" s="668" t="n">
        <f aca="false">I24-I30</f>
        <v>-15505597.3747649</v>
      </c>
      <c r="J31" s="668" t="n">
        <f aca="false">J24-J30</f>
        <v>-23396332.7297354</v>
      </c>
      <c r="K31" s="668" t="n">
        <f aca="false">K24-K30</f>
        <v>-23269961.9386754</v>
      </c>
      <c r="L31" s="668" t="n">
        <f aca="false">L24-L30</f>
        <v>-20470027.8248495</v>
      </c>
      <c r="M31" s="668" t="n">
        <f aca="false">M24-M30</f>
        <v>-21014430.2756326</v>
      </c>
      <c r="N31" s="668" t="n">
        <f aca="false">N24-N30</f>
        <v>-18986894.3678214</v>
      </c>
      <c r="O31" s="668" t="n">
        <f aca="false">O24-O30</f>
        <v>-18685653.5006296</v>
      </c>
      <c r="P31" s="668" t="n">
        <f aca="false">P24-P30</f>
        <v>-14966130.9472658</v>
      </c>
      <c r="Q31" s="668" t="n">
        <f aca="false">Q24-Q30</f>
        <v>-20604185.0563432</v>
      </c>
      <c r="R31" s="668" t="n">
        <f aca="false">R24-R30</f>
        <v>-26225864.8722221</v>
      </c>
      <c r="S31" s="668" t="n">
        <f aca="false">S24-S30</f>
        <v>-31462523.0538551</v>
      </c>
      <c r="T31" s="668" t="n">
        <f aca="false">T24-T30</f>
        <v>-31589209.3322392</v>
      </c>
      <c r="U31" s="668" t="n">
        <f aca="false">U24-U30</f>
        <v>-33746461.4675699</v>
      </c>
      <c r="V31" s="668" t="n">
        <f aca="false">V24-V30</f>
        <v>-25711849.1639736</v>
      </c>
      <c r="W31" s="668" t="n">
        <v>0</v>
      </c>
      <c r="X31" s="669" t="n">
        <f aca="false">SUM(C31:V31)</f>
        <v>-386553290.901658</v>
      </c>
    </row>
    <row r="32" customFormat="false" ht="12.75" hidden="false" customHeight="false" outlineLevel="0" collapsed="false">
      <c r="B32" s="659"/>
      <c r="C32" s="624"/>
      <c r="D32" s="624"/>
      <c r="E32" s="624"/>
      <c r="F32" s="624"/>
      <c r="G32" s="624"/>
      <c r="H32" s="624"/>
      <c r="I32" s="624"/>
      <c r="J32" s="624"/>
      <c r="K32" s="624"/>
      <c r="L32" s="624"/>
      <c r="M32" s="624"/>
      <c r="N32" s="624"/>
      <c r="O32" s="624"/>
      <c r="P32" s="624"/>
      <c r="Q32" s="624"/>
      <c r="R32" s="624"/>
      <c r="S32" s="624"/>
      <c r="T32" s="624"/>
      <c r="U32" s="624"/>
      <c r="V32" s="624"/>
      <c r="W32" s="624"/>
      <c r="X32" s="625"/>
    </row>
    <row r="33" customFormat="false" ht="12.75" hidden="false" customHeight="false" outlineLevel="0" collapsed="false">
      <c r="B33" s="621" t="s">
        <v>246</v>
      </c>
      <c r="C33" s="624" t="n">
        <f aca="false">'Financial Statements'!C14</f>
        <v>17242395.0152276</v>
      </c>
      <c r="D33" s="624" t="n">
        <f aca="false">'Financial Statements'!D14</f>
        <v>15167349.7555035</v>
      </c>
      <c r="E33" s="624" t="n">
        <f aca="false">'Financial Statements'!E14</f>
        <v>14388814.4825793</v>
      </c>
      <c r="F33" s="624" t="n">
        <f aca="false">'Financial Statements'!F14</f>
        <v>14031040.0216966</v>
      </c>
      <c r="G33" s="624" t="n">
        <f aca="false">'Financial Statements'!G14</f>
        <v>14092494.7898483</v>
      </c>
      <c r="H33" s="624" t="n">
        <f aca="false">'Financial Statements'!H14</f>
        <v>14053089.8227034</v>
      </c>
      <c r="I33" s="624" t="n">
        <f aca="false">'Financial Statements'!I14</f>
        <v>13868226.0890069</v>
      </c>
      <c r="J33" s="624" t="n">
        <f aca="false">'Financial Statements'!J14</f>
        <v>13961402.9378069</v>
      </c>
      <c r="K33" s="624" t="n">
        <f aca="false">'Financial Statements'!K14</f>
        <v>14301988.7089655</v>
      </c>
      <c r="L33" s="624" t="n">
        <f aca="false">'Financial Statements'!L14</f>
        <v>14309122.2232966</v>
      </c>
      <c r="M33" s="624" t="n">
        <f aca="false">'Financial Statements'!M14</f>
        <v>14091354.4264138</v>
      </c>
      <c r="N33" s="624" t="n">
        <f aca="false">'Financial Statements'!N14</f>
        <v>14084220.9120828</v>
      </c>
      <c r="O33" s="624" t="n">
        <f aca="false">'Financial Statements'!O14</f>
        <v>14301988.7089655</v>
      </c>
      <c r="P33" s="624" t="n">
        <f aca="false">'Financial Statements'!P14</f>
        <v>14309122.2232966</v>
      </c>
      <c r="Q33" s="624" t="n">
        <f aca="false">'Financial Statements'!Q14</f>
        <v>14091354.4264138</v>
      </c>
      <c r="R33" s="624" t="n">
        <f aca="false">'Financial Statements'!R14</f>
        <v>14084220.9120828</v>
      </c>
      <c r="S33" s="624" t="n">
        <f aca="false">'Financial Statements'!S14</f>
        <v>14301988.7089655</v>
      </c>
      <c r="T33" s="624" t="n">
        <f aca="false">'Financial Statements'!T14</f>
        <v>14309122.2232966</v>
      </c>
      <c r="U33" s="624" t="n">
        <f aca="false">'Financial Statements'!U14</f>
        <v>14091354.4264138</v>
      </c>
      <c r="V33" s="624" t="n">
        <f aca="false">'Financial Statements'!V14</f>
        <v>14084220.9120828</v>
      </c>
      <c r="W33" s="624" t="n">
        <f aca="false">'Financial Statements'!W14</f>
        <v>14301988.7089655</v>
      </c>
      <c r="X33" s="625" t="n">
        <f aca="false">SUM(C33:W33)</f>
        <v>301466860.435614</v>
      </c>
    </row>
    <row r="34" customFormat="false" ht="12.75" hidden="false" customHeight="false" outlineLevel="0" collapsed="false">
      <c r="B34" s="621" t="s">
        <v>247</v>
      </c>
      <c r="C34" s="657" t="n">
        <f aca="false">'Financial Statements'!C15</f>
        <v>3523432.54333136</v>
      </c>
      <c r="D34" s="657" t="n">
        <f aca="false">'Financial Statements'!D15</f>
        <v>6147102.88279276</v>
      </c>
      <c r="E34" s="657" t="n">
        <f aca="false">'Financial Statements'!E15</f>
        <v>6266050.43731335</v>
      </c>
      <c r="F34" s="657" t="n">
        <f aca="false">'Financial Statements'!F15</f>
        <v>6154027.30974764</v>
      </c>
      <c r="G34" s="657" t="n">
        <f aca="false">'Financial Statements'!G15</f>
        <v>6308855.16189325</v>
      </c>
      <c r="H34" s="657" t="n">
        <f aca="false">'Financial Statements'!H15</f>
        <v>6457779.62754099</v>
      </c>
      <c r="I34" s="657" t="n">
        <f aca="false">'Financial Statements'!I15</f>
        <v>6598022.88851367</v>
      </c>
      <c r="J34" s="657" t="n">
        <f aca="false">'Financial Statements'!J15</f>
        <v>6754807.02070644</v>
      </c>
      <c r="K34" s="657" t="n">
        <f aca="false">'Financial Statements'!K15</f>
        <v>6931490.73355969</v>
      </c>
      <c r="L34" s="657" t="n">
        <f aca="false">'Financial Statements'!L15</f>
        <v>7099934.66105949</v>
      </c>
      <c r="M34" s="657" t="n">
        <f aca="false">'Financial Statements'!M15</f>
        <v>7256490.17672184</v>
      </c>
      <c r="N34" s="657" t="n">
        <f aca="false">'Financial Statements'!N15</f>
        <v>7430854.73809899</v>
      </c>
      <c r="O34" s="657" t="n">
        <f aca="false">'Financial Statements'!O15</f>
        <v>7627679.22069467</v>
      </c>
      <c r="P34" s="657" t="n">
        <f aca="false">'Financial Statements'!P15</f>
        <v>7815381.48874486</v>
      </c>
      <c r="Q34" s="657" t="n">
        <f aca="false">'Financial Statements'!Q15</f>
        <v>7989501.93717619</v>
      </c>
      <c r="R34" s="657" t="n">
        <f aca="false">'Financial Statements'!R15</f>
        <v>8183758.62761653</v>
      </c>
      <c r="S34" s="657" t="n">
        <f aca="false">'Financial Statements'!S15</f>
        <v>8403426.38605052</v>
      </c>
      <c r="T34" s="657" t="n">
        <f aca="false">'Financial Statements'!T15</f>
        <v>8613114.66675779</v>
      </c>
      <c r="U34" s="657" t="n">
        <f aca="false">'Financial Statements'!U15</f>
        <v>8807276.87659717</v>
      </c>
      <c r="V34" s="657" t="n">
        <f aca="false">'Financial Statements'!V15</f>
        <v>9017844.17100406</v>
      </c>
      <c r="W34" s="657" t="n">
        <f aca="false">'Financial Statements'!W15</f>
        <v>8698751.92611106</v>
      </c>
      <c r="X34" s="658" t="n">
        <f aca="false">SUM(C34:W34)</f>
        <v>152085583.482032</v>
      </c>
    </row>
    <row r="35" customFormat="false" ht="12.75" hidden="false" customHeight="false" outlineLevel="0" collapsed="false">
      <c r="B35" s="621" t="s">
        <v>248</v>
      </c>
      <c r="C35" s="625" t="n">
        <f aca="false">C33+C34</f>
        <v>20765827.558559</v>
      </c>
      <c r="D35" s="625" t="n">
        <f aca="false">D33+D34</f>
        <v>21314452.6382962</v>
      </c>
      <c r="E35" s="625" t="n">
        <f aca="false">E33+E34</f>
        <v>20654864.9198927</v>
      </c>
      <c r="F35" s="625" t="n">
        <f aca="false">F33+F34</f>
        <v>20185067.3314442</v>
      </c>
      <c r="G35" s="625" t="n">
        <f aca="false">G33+G34</f>
        <v>20401349.9517415</v>
      </c>
      <c r="H35" s="625" t="n">
        <f aca="false">H33+H34</f>
        <v>20510869.4502444</v>
      </c>
      <c r="I35" s="625" t="n">
        <f aca="false">I33+I34</f>
        <v>20466248.9775206</v>
      </c>
      <c r="J35" s="625" t="n">
        <f aca="false">J33+J34</f>
        <v>20716209.9585133</v>
      </c>
      <c r="K35" s="625" t="n">
        <f aca="false">K33+K34</f>
        <v>21233479.4425252</v>
      </c>
      <c r="L35" s="625" t="n">
        <f aca="false">L33+L34</f>
        <v>21409056.884356</v>
      </c>
      <c r="M35" s="625" t="n">
        <f aca="false">M33+M34</f>
        <v>21347844.6031356</v>
      </c>
      <c r="N35" s="625" t="n">
        <f aca="false">N33+N34</f>
        <v>21515075.6501818</v>
      </c>
      <c r="O35" s="625" t="n">
        <f aca="false">O33+O34</f>
        <v>21929667.9296602</v>
      </c>
      <c r="P35" s="625" t="n">
        <f aca="false">P33+P34</f>
        <v>22124503.7120414</v>
      </c>
      <c r="Q35" s="625" t="n">
        <f aca="false">Q33+Q34</f>
        <v>22080856.36359</v>
      </c>
      <c r="R35" s="625" t="n">
        <f aca="false">R33+R34</f>
        <v>22267979.5396993</v>
      </c>
      <c r="S35" s="625" t="n">
        <f aca="false">S33+S34</f>
        <v>22705415.095016</v>
      </c>
      <c r="T35" s="625" t="n">
        <f aca="false">T33+T34</f>
        <v>22922236.8900543</v>
      </c>
      <c r="U35" s="625" t="n">
        <f aca="false">U33+U34</f>
        <v>22898631.303011</v>
      </c>
      <c r="V35" s="625" t="n">
        <f aca="false">V33+V34</f>
        <v>23102065.0830868</v>
      </c>
      <c r="W35" s="670" t="n">
        <f aca="false">W33+W34</f>
        <v>23000740.6350766</v>
      </c>
      <c r="X35" s="625" t="n">
        <f aca="false">SUM(C35:W35)</f>
        <v>453552443.917646</v>
      </c>
    </row>
    <row r="36" customFormat="false" ht="12.75" hidden="false" customHeight="false" outlineLevel="0" collapsed="false">
      <c r="C36" s="625"/>
      <c r="D36" s="625"/>
      <c r="E36" s="625"/>
      <c r="F36" s="625"/>
      <c r="G36" s="625"/>
      <c r="H36" s="625"/>
      <c r="I36" s="625"/>
      <c r="J36" s="625"/>
      <c r="K36" s="625"/>
      <c r="L36" s="625"/>
      <c r="M36" s="625"/>
      <c r="N36" s="625"/>
      <c r="O36" s="625"/>
      <c r="P36" s="625"/>
      <c r="Q36" s="625"/>
      <c r="R36" s="625"/>
      <c r="S36" s="625"/>
      <c r="T36" s="625"/>
      <c r="U36" s="625"/>
      <c r="V36" s="625"/>
      <c r="W36" s="670"/>
      <c r="X36" s="625"/>
    </row>
    <row r="37" customFormat="false" ht="12.75" hidden="false" customHeight="false" outlineLevel="0" collapsed="false">
      <c r="B37" s="671" t="s">
        <v>315</v>
      </c>
      <c r="C37" s="672" t="n">
        <v>2422536.73382467</v>
      </c>
      <c r="D37" s="672" t="n">
        <v>7479513.51600146</v>
      </c>
      <c r="E37" s="672" t="n">
        <v>8363303.27824396</v>
      </c>
      <c r="F37" s="672" t="n">
        <v>8858159.79193439</v>
      </c>
      <c r="G37" s="672" t="n">
        <v>8649203.74424687</v>
      </c>
      <c r="H37" s="672" t="n">
        <v>8438674.69839761</v>
      </c>
      <c r="I37" s="672" t="n">
        <v>8939758.68717472</v>
      </c>
      <c r="J37" s="672" t="n">
        <v>9415920.97512494</v>
      </c>
      <c r="K37" s="672" t="n">
        <v>9597147.59710321</v>
      </c>
      <c r="L37" s="672" t="n">
        <v>9695689.43493142</v>
      </c>
      <c r="M37" s="672" t="n">
        <v>9878014.63213251</v>
      </c>
      <c r="N37" s="672" t="n">
        <v>10000673.4850745</v>
      </c>
      <c r="O37" s="672" t="n">
        <v>10565153.4398078</v>
      </c>
      <c r="P37" s="672" t="n">
        <v>10658676.0326022</v>
      </c>
      <c r="Q37" s="672" t="n">
        <v>11079901.9207962</v>
      </c>
      <c r="R37" s="672" t="n">
        <v>11354189.1701621</v>
      </c>
      <c r="S37" s="672" t="n">
        <v>11768693.3252107</v>
      </c>
      <c r="T37" s="672" t="n">
        <v>12013159.254116</v>
      </c>
      <c r="U37" s="672" t="n">
        <v>12362516.756548</v>
      </c>
      <c r="V37" s="672" t="n">
        <v>12274783.4143749</v>
      </c>
      <c r="W37" s="672"/>
      <c r="X37" s="661" t="n">
        <f aca="false">SUM(C37:V37)</f>
        <v>193815669.887808</v>
      </c>
    </row>
    <row r="38" customFormat="false" ht="12.75" hidden="false" customHeight="false" outlineLevel="0" collapsed="false">
      <c r="B38" s="667" t="s">
        <v>316</v>
      </c>
      <c r="C38" s="673" t="n">
        <f aca="false">C33-C37</f>
        <v>14819858.2814029</v>
      </c>
      <c r="D38" s="673" t="n">
        <f aca="false">D33-D37</f>
        <v>7687836.23950199</v>
      </c>
      <c r="E38" s="673" t="n">
        <f aca="false">E33-E37</f>
        <v>6025511.20433535</v>
      </c>
      <c r="F38" s="673" t="n">
        <f aca="false">F33-F37</f>
        <v>5172880.22976217</v>
      </c>
      <c r="G38" s="673" t="n">
        <f aca="false">G33-G37</f>
        <v>5443291.04560141</v>
      </c>
      <c r="H38" s="673" t="n">
        <f aca="false">H33-H37</f>
        <v>5614415.12430584</v>
      </c>
      <c r="I38" s="673" t="n">
        <f aca="false">I33-I37</f>
        <v>4928467.40183218</v>
      </c>
      <c r="J38" s="673" t="n">
        <f aca="false">J33-J37</f>
        <v>4545481.96268196</v>
      </c>
      <c r="K38" s="673" t="n">
        <f aca="false">K33-K37</f>
        <v>4704841.11186231</v>
      </c>
      <c r="L38" s="673" t="n">
        <f aca="false">L33-L37</f>
        <v>4613432.78836514</v>
      </c>
      <c r="M38" s="673" t="n">
        <f aca="false">M33-M37</f>
        <v>4213339.79428129</v>
      </c>
      <c r="N38" s="673" t="n">
        <f aca="false">N33-N37</f>
        <v>4083547.42700829</v>
      </c>
      <c r="O38" s="673" t="n">
        <f aca="false">O33-O37</f>
        <v>3736835.26915777</v>
      </c>
      <c r="P38" s="673" t="n">
        <f aca="false">P33-P37</f>
        <v>3650446.19069438</v>
      </c>
      <c r="Q38" s="673" t="n">
        <f aca="false">Q33-Q37</f>
        <v>3011452.50561761</v>
      </c>
      <c r="R38" s="673" t="n">
        <f aca="false">R33-R37</f>
        <v>2730031.74192067</v>
      </c>
      <c r="S38" s="673" t="n">
        <f aca="false">S33-S37</f>
        <v>2533295.38375483</v>
      </c>
      <c r="T38" s="673" t="n">
        <f aca="false">T33-T37</f>
        <v>2295962.9691806</v>
      </c>
      <c r="U38" s="673" t="n">
        <f aca="false">U33-U37</f>
        <v>1728837.66986581</v>
      </c>
      <c r="V38" s="673" t="n">
        <f aca="false">V33-V37</f>
        <v>1809437.4977079</v>
      </c>
      <c r="W38" s="673"/>
      <c r="X38" s="669" t="n">
        <f aca="false">SUM(C38:V38)</f>
        <v>93349201.8388404</v>
      </c>
    </row>
    <row r="39" customFormat="false" ht="12.75" hidden="false" customHeight="false" outlineLevel="0" collapsed="false">
      <c r="C39" s="625"/>
      <c r="D39" s="625"/>
      <c r="E39" s="625"/>
      <c r="F39" s="625"/>
      <c r="G39" s="625"/>
      <c r="H39" s="625"/>
      <c r="I39" s="625"/>
      <c r="J39" s="625"/>
      <c r="K39" s="625"/>
      <c r="L39" s="625"/>
      <c r="M39" s="625"/>
      <c r="N39" s="625"/>
      <c r="O39" s="625"/>
      <c r="P39" s="625"/>
      <c r="Q39" s="625"/>
      <c r="R39" s="625"/>
      <c r="S39" s="625"/>
      <c r="T39" s="625"/>
      <c r="U39" s="625"/>
      <c r="V39" s="625"/>
      <c r="W39" s="670"/>
      <c r="X39" s="625"/>
    </row>
    <row r="40" customFormat="false" ht="12.75" hidden="false" customHeight="false" outlineLevel="0" collapsed="false">
      <c r="B40" s="621" t="s">
        <v>234</v>
      </c>
      <c r="C40" s="625" t="n">
        <f aca="false">C24-C35</f>
        <v>7174168.52603578</v>
      </c>
      <c r="D40" s="625" t="n">
        <f aca="false">D24-D35</f>
        <v>4968390.50806609</v>
      </c>
      <c r="E40" s="625" t="n">
        <f aca="false">E24-E35</f>
        <v>4910534.23416007</v>
      </c>
      <c r="F40" s="625" t="n">
        <f aca="false">F24-F35</f>
        <v>5160587.83029897</v>
      </c>
      <c r="G40" s="625" t="n">
        <f aca="false">G24-G35</f>
        <v>5267369.20231121</v>
      </c>
      <c r="H40" s="625" t="n">
        <f aca="false">H24-H35</f>
        <v>5651013.69611786</v>
      </c>
      <c r="I40" s="625" t="n">
        <f aca="false">I24-I35</f>
        <v>6088250.17653216</v>
      </c>
      <c r="J40" s="625" t="n">
        <f aca="false">J24-J35</f>
        <v>6330445.20322982</v>
      </c>
      <c r="K40" s="625" t="n">
        <f aca="false">K24-K35</f>
        <v>6680559.71152753</v>
      </c>
      <c r="L40" s="625" t="n">
        <f aca="false">L24-L35</f>
        <v>7296766.26200626</v>
      </c>
      <c r="M40" s="625" t="n">
        <f aca="false">M24-M35</f>
        <v>7751854.5509171</v>
      </c>
      <c r="N40" s="625" t="n">
        <f aca="false">N24-N35</f>
        <v>8003699.51156141</v>
      </c>
      <c r="O40" s="625" t="n">
        <f aca="false">O24-O35</f>
        <v>8423731.22439255</v>
      </c>
      <c r="P40" s="625" t="n">
        <f aca="false">P24-P35</f>
        <v>8992959.4343209</v>
      </c>
      <c r="Q40" s="625" t="n">
        <f aca="false">Q24-Q35</f>
        <v>9362442.79046275</v>
      </c>
      <c r="R40" s="625" t="n">
        <f aca="false">R24-R35</f>
        <v>9564155.62204387</v>
      </c>
      <c r="S40" s="625" t="n">
        <f aca="false">S24-S35</f>
        <v>9976464.05903669</v>
      </c>
      <c r="T40" s="625" t="n">
        <f aca="false">T24-T35</f>
        <v>10553946.256308</v>
      </c>
      <c r="U40" s="625" t="n">
        <f aca="false">U24-U35</f>
        <v>10888267.8510418</v>
      </c>
      <c r="V40" s="625" t="n">
        <f aca="false">V24-V35</f>
        <v>10465090.0786563</v>
      </c>
      <c r="W40" s="670" t="n">
        <f aca="false">W24-W35</f>
        <v>10845378.5189762</v>
      </c>
      <c r="X40" s="625" t="n">
        <f aca="false">SUM(C40:W40)</f>
        <v>164356075.248003</v>
      </c>
    </row>
    <row r="41" customFormat="false" ht="12.75" hidden="false" customHeight="false" outlineLevel="0" collapsed="false">
      <c r="C41" s="625"/>
      <c r="D41" s="625"/>
      <c r="E41" s="625"/>
      <c r="F41" s="625"/>
      <c r="G41" s="625"/>
      <c r="H41" s="625"/>
      <c r="I41" s="625"/>
      <c r="J41" s="625"/>
      <c r="K41" s="625"/>
      <c r="L41" s="625"/>
      <c r="M41" s="625"/>
      <c r="N41" s="625"/>
      <c r="O41" s="625"/>
      <c r="P41" s="625"/>
      <c r="Q41" s="625"/>
      <c r="R41" s="625"/>
      <c r="S41" s="625"/>
      <c r="T41" s="625"/>
      <c r="U41" s="625"/>
      <c r="V41" s="625"/>
      <c r="W41" s="670"/>
      <c r="X41" s="625"/>
    </row>
    <row r="42" customFormat="false" ht="12.75" hidden="false" customHeight="false" outlineLevel="0" collapsed="false">
      <c r="B42" s="674" t="s">
        <v>317</v>
      </c>
      <c r="C42" s="635" t="n">
        <v>10131902.4117891</v>
      </c>
      <c r="D42" s="635" t="n">
        <v>27938527.2617595</v>
      </c>
      <c r="E42" s="635" t="n">
        <v>26721677.3583768</v>
      </c>
      <c r="F42" s="635" t="n">
        <v>27900385.3595018</v>
      </c>
      <c r="G42" s="635" t="n">
        <v>28306699.4724848</v>
      </c>
      <c r="H42" s="635" t="n">
        <v>19806537.8926287</v>
      </c>
      <c r="I42" s="635" t="n">
        <v>26691160.1545533</v>
      </c>
      <c r="J42" s="635" t="n">
        <v>34392848.0962158</v>
      </c>
      <c r="K42" s="635" t="n">
        <v>34806277.8875999</v>
      </c>
      <c r="L42" s="635" t="n">
        <v>32570574.4811166</v>
      </c>
      <c r="M42" s="635" t="n">
        <v>33171571.6982233</v>
      </c>
      <c r="N42" s="635" t="n">
        <v>31300279.7803474</v>
      </c>
      <c r="O42" s="635" t="n">
        <v>31087987.7248936</v>
      </c>
      <c r="P42" s="635" t="n">
        <v>27900796.8973833</v>
      </c>
      <c r="Q42" s="635" t="n">
        <v>33229637.3404891</v>
      </c>
      <c r="R42" s="635" t="n">
        <v>38771746.0050151</v>
      </c>
      <c r="S42" s="635" t="n">
        <v>44221464.6556427</v>
      </c>
      <c r="T42" s="635" t="n">
        <v>44711507.1519866</v>
      </c>
      <c r="U42" s="635" t="n">
        <v>46624224.1762318</v>
      </c>
      <c r="V42" s="635" t="n">
        <v>38334840.3226142</v>
      </c>
      <c r="W42" s="635"/>
      <c r="X42" s="636" t="n">
        <f aca="false">SUM(C42:V42)</f>
        <v>638620646.128853</v>
      </c>
    </row>
    <row r="43" customFormat="false" ht="12.75" hidden="false" customHeight="false" outlineLevel="0" collapsed="false">
      <c r="B43" s="675" t="s">
        <v>318</v>
      </c>
      <c r="C43" s="668" t="n">
        <f aca="false">C40-C42</f>
        <v>-2957733.88575334</v>
      </c>
      <c r="D43" s="668" t="n">
        <f aca="false">D40-D42</f>
        <v>-22970136.7536934</v>
      </c>
      <c r="E43" s="668" t="n">
        <f aca="false">E40-E42</f>
        <v>-21811143.1242167</v>
      </c>
      <c r="F43" s="668" t="n">
        <f aca="false">F40-F42</f>
        <v>-22739797.5292028</v>
      </c>
      <c r="G43" s="668" t="n">
        <f aca="false">G40-G42</f>
        <v>-23039330.2701736</v>
      </c>
      <c r="H43" s="668" t="n">
        <f aca="false">H40-H42</f>
        <v>-14155524.1965108</v>
      </c>
      <c r="I43" s="668" t="n">
        <f aca="false">I40-I42</f>
        <v>-20602909.9780211</v>
      </c>
      <c r="J43" s="668" t="n">
        <f aca="false">J40-J42</f>
        <v>-28062402.8929859</v>
      </c>
      <c r="K43" s="668" t="n">
        <f aca="false">K40-K42</f>
        <v>-28125718.1760724</v>
      </c>
      <c r="L43" s="668" t="n">
        <f aca="false">L40-L42</f>
        <v>-25273808.2191103</v>
      </c>
      <c r="M43" s="668" t="n">
        <f aca="false">M40-M42</f>
        <v>-25419717.1473062</v>
      </c>
      <c r="N43" s="668" t="n">
        <f aca="false">N40-N42</f>
        <v>-23296580.2687859</v>
      </c>
      <c r="O43" s="668" t="n">
        <f aca="false">O40-O42</f>
        <v>-22664256.500501</v>
      </c>
      <c r="P43" s="668" t="n">
        <f aca="false">P40-P42</f>
        <v>-18907837.4630624</v>
      </c>
      <c r="Q43" s="668" t="n">
        <f aca="false">Q40-Q42</f>
        <v>-23867194.5500264</v>
      </c>
      <c r="R43" s="668" t="n">
        <f aca="false">R40-R42</f>
        <v>-29207590.3829712</v>
      </c>
      <c r="S43" s="668" t="n">
        <f aca="false">S40-S42</f>
        <v>-34245000.596606</v>
      </c>
      <c r="T43" s="668" t="n">
        <f aca="false">T40-T42</f>
        <v>-34157560.8956787</v>
      </c>
      <c r="U43" s="668" t="n">
        <f aca="false">U40-U42</f>
        <v>-35735956.3251901</v>
      </c>
      <c r="V43" s="668" t="n">
        <f aca="false">V40-V42</f>
        <v>-27869750.2439578</v>
      </c>
      <c r="W43" s="668"/>
      <c r="X43" s="676" t="n">
        <f aca="false">SUM(C43:V43)</f>
        <v>-485109949.399826</v>
      </c>
    </row>
    <row r="44" customFormat="false" ht="12.75" hidden="false" customHeight="false" outlineLevel="0" collapsed="false">
      <c r="C44" s="625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5"/>
      <c r="R44" s="625"/>
      <c r="S44" s="625"/>
      <c r="T44" s="625"/>
      <c r="U44" s="625"/>
      <c r="V44" s="625"/>
      <c r="W44" s="670"/>
      <c r="X44" s="625"/>
    </row>
    <row r="45" customFormat="false" ht="12.75" hidden="false" customHeight="false" outlineLevel="0" collapsed="false">
      <c r="B45" s="621" t="s">
        <v>249</v>
      </c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25"/>
      <c r="S45" s="625"/>
      <c r="T45" s="625"/>
      <c r="U45" s="625"/>
      <c r="V45" s="625"/>
      <c r="W45" s="677"/>
      <c r="X45" s="625"/>
    </row>
    <row r="46" customFormat="false" ht="12.75" hidden="false" customHeight="false" outlineLevel="0" collapsed="false">
      <c r="B46" s="678" t="s">
        <v>250</v>
      </c>
      <c r="C46" s="624" t="n">
        <f aca="false">'Financial Statements'!C21</f>
        <v>0</v>
      </c>
      <c r="D46" s="624" t="n">
        <f aca="false">'Financial Statements'!D21</f>
        <v>10334933.1557002</v>
      </c>
      <c r="E46" s="624" t="n">
        <f aca="false">'Financial Statements'!E21</f>
        <v>10127163.0605305</v>
      </c>
      <c r="F46" s="624" t="n">
        <f aca="false">'Financial Statements'!F21</f>
        <v>9901214.84857488</v>
      </c>
      <c r="G46" s="624" t="n">
        <f aca="false">'Financial Statements'!G21</f>
        <v>9655498.08917202</v>
      </c>
      <c r="H46" s="624" t="n">
        <f aca="false">'Financial Statements'!H21</f>
        <v>9388283.20250004</v>
      </c>
      <c r="I46" s="624" t="n">
        <f aca="false">'Financial Statements'!I21</f>
        <v>9097689.28520826</v>
      </c>
      <c r="J46" s="624" t="n">
        <f aca="false">'Financial Statements'!J21</f>
        <v>8781670.870895</v>
      </c>
      <c r="K46" s="624" t="n">
        <f aca="false">'Financial Statements'!K21</f>
        <v>8438003.53223975</v>
      </c>
      <c r="L46" s="624" t="n">
        <f aca="false">'Financial Statements'!L21</f>
        <v>8064268.22344439</v>
      </c>
      <c r="M46" s="624" t="n">
        <f aca="false">'Financial Statements'!M21</f>
        <v>7657834.25277115</v>
      </c>
      <c r="N46" s="624" t="n">
        <f aca="false">'Financial Statements'!N21</f>
        <v>7215840.76532235</v>
      </c>
      <c r="O46" s="624" t="n">
        <f aca="false">'Financial Statements'!O21</f>
        <v>6735176.60572084</v>
      </c>
      <c r="P46" s="624" t="n">
        <f aca="false">'Financial Statements'!P21</f>
        <v>6212458.41894623</v>
      </c>
      <c r="Q46" s="624" t="n">
        <f aca="false">'Financial Statements'!Q21</f>
        <v>5644006.83518043</v>
      </c>
      <c r="R46" s="624" t="n">
        <f aca="false">'Financial Statements'!R21</f>
        <v>5025820.57102969</v>
      </c>
      <c r="S46" s="624" t="n">
        <f aca="false">'Financial Statements'!S21</f>
        <v>4353548.26482375</v>
      </c>
      <c r="T46" s="624" t="n">
        <f aca="false">'Financial Statements'!T21</f>
        <v>3622457.84774317</v>
      </c>
      <c r="U46" s="624" t="n">
        <f aca="false">'Financial Statements'!U21</f>
        <v>2827403.23518069</v>
      </c>
      <c r="V46" s="624" t="n">
        <f aca="false">'Financial Statements'!V21</f>
        <v>1962788.10387987</v>
      </c>
      <c r="W46" s="624" t="n">
        <f aca="false">'Financial Statements'!W21</f>
        <v>1022526.49988149</v>
      </c>
      <c r="X46" s="625" t="n">
        <f aca="false">SUM(C46:W46)</f>
        <v>136068585.668745</v>
      </c>
    </row>
    <row r="47" customFormat="false" ht="12.75" hidden="false" customHeight="false" outlineLevel="0" collapsed="false">
      <c r="B47" s="678" t="s">
        <v>251</v>
      </c>
      <c r="C47" s="624" t="n">
        <f aca="false">'Financial Statements'!C22</f>
        <v>0</v>
      </c>
      <c r="D47" s="624" t="n">
        <f aca="false">'Financial Statements'!D22</f>
        <v>101677.434267498</v>
      </c>
      <c r="E47" s="624" t="n">
        <f aca="false">'Financial Statements'!E22</f>
        <v>101677.434267498</v>
      </c>
      <c r="F47" s="624" t="n">
        <f aca="false">'Financial Statements'!F22</f>
        <v>101677.434267498</v>
      </c>
      <c r="G47" s="624" t="n">
        <f aca="false">'Financial Statements'!G22</f>
        <v>101677.434267498</v>
      </c>
      <c r="H47" s="624" t="n">
        <f aca="false">'Financial Statements'!H22</f>
        <v>101677.434267498</v>
      </c>
      <c r="I47" s="624" t="n">
        <f aca="false">'Financial Statements'!I22</f>
        <v>101677.434267498</v>
      </c>
      <c r="J47" s="624" t="n">
        <f aca="false">'Financial Statements'!J22</f>
        <v>101677.434267498</v>
      </c>
      <c r="K47" s="624" t="n">
        <f aca="false">'Financial Statements'!K22</f>
        <v>101677.434267498</v>
      </c>
      <c r="L47" s="624" t="n">
        <f aca="false">'Financial Statements'!L22</f>
        <v>101677.434267498</v>
      </c>
      <c r="M47" s="624" t="n">
        <f aca="false">'Financial Statements'!M22</f>
        <v>101677.434267498</v>
      </c>
      <c r="N47" s="624" t="n">
        <f aca="false">'Financial Statements'!N22</f>
        <v>101677.434267498</v>
      </c>
      <c r="O47" s="624" t="n">
        <f aca="false">'Financial Statements'!O22</f>
        <v>101677.434267498</v>
      </c>
      <c r="P47" s="624" t="n">
        <f aca="false">'Financial Statements'!P22</f>
        <v>101677.434267498</v>
      </c>
      <c r="Q47" s="624" t="n">
        <f aca="false">'Financial Statements'!Q22</f>
        <v>101677.434267498</v>
      </c>
      <c r="R47" s="624" t="n">
        <f aca="false">'Financial Statements'!R22</f>
        <v>101677.434267498</v>
      </c>
      <c r="S47" s="624" t="n">
        <f aca="false">'Financial Statements'!S22</f>
        <v>101677.434267498</v>
      </c>
      <c r="T47" s="624" t="n">
        <f aca="false">'Financial Statements'!T22</f>
        <v>76340.5637006235</v>
      </c>
      <c r="U47" s="624" t="n">
        <f aca="false">'Financial Statements'!U22</f>
        <v>67894.940178332</v>
      </c>
      <c r="V47" s="624" t="n">
        <f aca="false">'Financial Statements'!V22</f>
        <v>34002.4631329611</v>
      </c>
      <c r="W47" s="624" t="n">
        <f aca="false">'Financial Statements'!W22</f>
        <v>0</v>
      </c>
      <c r="X47" s="625" t="n">
        <f aca="false">SUM(C47:W47)</f>
        <v>1805076.91529188</v>
      </c>
    </row>
    <row r="48" customFormat="false" ht="12.75" hidden="false" customHeight="false" outlineLevel="0" collapsed="false">
      <c r="B48" s="621" t="s">
        <v>252</v>
      </c>
      <c r="C48" s="657" t="n">
        <f aca="false">'Financial Statements'!C23</f>
        <v>0</v>
      </c>
      <c r="D48" s="657" t="n">
        <f aca="false">'Financial Statements'!D23</f>
        <v>0</v>
      </c>
      <c r="E48" s="657" t="n">
        <f aca="false">'Financial Statements'!E23</f>
        <v>0</v>
      </c>
      <c r="F48" s="657" t="n">
        <f aca="false">'Financial Statements'!F23</f>
        <v>0</v>
      </c>
      <c r="G48" s="657" t="n">
        <f aca="false">'Financial Statements'!G23</f>
        <v>0</v>
      </c>
      <c r="H48" s="657" t="n">
        <f aca="false">'Financial Statements'!H23</f>
        <v>0</v>
      </c>
      <c r="I48" s="657" t="n">
        <f aca="false">'Financial Statements'!I23</f>
        <v>0</v>
      </c>
      <c r="J48" s="657" t="n">
        <f aca="false">'Financial Statements'!J23</f>
        <v>0</v>
      </c>
      <c r="K48" s="657" t="n">
        <f aca="false">'Financial Statements'!K23</f>
        <v>0</v>
      </c>
      <c r="L48" s="657" t="n">
        <f aca="false">'Financial Statements'!L23</f>
        <v>0</v>
      </c>
      <c r="M48" s="657" t="n">
        <f aca="false">'Financial Statements'!M23</f>
        <v>0</v>
      </c>
      <c r="N48" s="657" t="n">
        <f aca="false">'Financial Statements'!N23</f>
        <v>0</v>
      </c>
      <c r="O48" s="657" t="n">
        <f aca="false">'Financial Statements'!O23</f>
        <v>0</v>
      </c>
      <c r="P48" s="657" t="n">
        <f aca="false">'Financial Statements'!P23</f>
        <v>0</v>
      </c>
      <c r="Q48" s="657" t="n">
        <f aca="false">'Financial Statements'!Q23</f>
        <v>0</v>
      </c>
      <c r="R48" s="657" t="n">
        <f aca="false">'Financial Statements'!R23</f>
        <v>0</v>
      </c>
      <c r="S48" s="657" t="n">
        <f aca="false">'Financial Statements'!S23</f>
        <v>0</v>
      </c>
      <c r="T48" s="657" t="n">
        <f aca="false">'Financial Statements'!T23</f>
        <v>0</v>
      </c>
      <c r="U48" s="657" t="n">
        <f aca="false">'Financial Statements'!U23</f>
        <v>0</v>
      </c>
      <c r="V48" s="657" t="n">
        <f aca="false">'Financial Statements'!V23</f>
        <v>0</v>
      </c>
      <c r="W48" s="657" t="n">
        <f aca="false">'Financial Statements'!W23</f>
        <v>0</v>
      </c>
      <c r="X48" s="658" t="n">
        <f aca="false">SUM(C48:W48)</f>
        <v>0</v>
      </c>
    </row>
    <row r="49" customFormat="false" ht="12.75" hidden="false" customHeight="false" outlineLevel="0" collapsed="false">
      <c r="C49" s="625" t="n">
        <f aca="false">SUM(C46:C48)</f>
        <v>0</v>
      </c>
      <c r="D49" s="625" t="n">
        <f aca="false">SUM(D46:D48)</f>
        <v>10436610.5899677</v>
      </c>
      <c r="E49" s="625" t="n">
        <f aca="false">SUM(E46:E48)</f>
        <v>10228840.494798</v>
      </c>
      <c r="F49" s="625" t="n">
        <f aca="false">SUM(F46:F48)</f>
        <v>10002892.2828424</v>
      </c>
      <c r="G49" s="625" t="n">
        <f aca="false">SUM(G46:G48)</f>
        <v>9757175.52343952</v>
      </c>
      <c r="H49" s="625" t="n">
        <f aca="false">SUM(H46:H48)</f>
        <v>9489960.63676754</v>
      </c>
      <c r="I49" s="625" t="n">
        <f aca="false">SUM(I46:I48)</f>
        <v>9199366.71947576</v>
      </c>
      <c r="J49" s="625" t="n">
        <f aca="false">SUM(J46:J48)</f>
        <v>8883348.3051625</v>
      </c>
      <c r="K49" s="625" t="n">
        <f aca="false">SUM(K46:K48)</f>
        <v>8539680.96650725</v>
      </c>
      <c r="L49" s="625" t="n">
        <f aca="false">SUM(L46:L48)</f>
        <v>8165945.65771189</v>
      </c>
      <c r="M49" s="625" t="n">
        <f aca="false">SUM(M46:M48)</f>
        <v>7759511.68703865</v>
      </c>
      <c r="N49" s="625" t="n">
        <f aca="false">SUM(N46:N48)</f>
        <v>7317518.19958985</v>
      </c>
      <c r="O49" s="625" t="n">
        <f aca="false">SUM(O46:O48)</f>
        <v>6836854.03998834</v>
      </c>
      <c r="P49" s="625" t="n">
        <f aca="false">SUM(P46:P48)</f>
        <v>6314135.85321373</v>
      </c>
      <c r="Q49" s="625" t="n">
        <f aca="false">SUM(Q46:Q48)</f>
        <v>5745684.26944793</v>
      </c>
      <c r="R49" s="625" t="n">
        <f aca="false">SUM(R46:R48)</f>
        <v>5127498.00529719</v>
      </c>
      <c r="S49" s="625" t="n">
        <f aca="false">SUM(S46:S48)</f>
        <v>4455225.69909125</v>
      </c>
      <c r="T49" s="625" t="n">
        <f aca="false">SUM(T46:T48)</f>
        <v>3698798.4114438</v>
      </c>
      <c r="U49" s="625" t="n">
        <f aca="false">SUM(U46:U48)</f>
        <v>2895298.17535902</v>
      </c>
      <c r="V49" s="625" t="n">
        <f aca="false">SUM(V46:V48)</f>
        <v>1996790.56701284</v>
      </c>
      <c r="W49" s="670" t="n">
        <f aca="false">SUM(W46:W48)</f>
        <v>1022526.49988149</v>
      </c>
      <c r="X49" s="625" t="n">
        <f aca="false">SUM(C49:W49)</f>
        <v>137873662.584037</v>
      </c>
    </row>
    <row r="50" customFormat="false" ht="12.75" hidden="false" customHeight="false" outlineLevel="0" collapsed="false">
      <c r="W50" s="677"/>
      <c r="X50" s="625"/>
    </row>
    <row r="51" customFormat="false" ht="12.75" hidden="false" customHeight="false" outlineLevel="0" collapsed="false">
      <c r="B51" s="621" t="s">
        <v>253</v>
      </c>
      <c r="C51" s="624" t="n">
        <v>3333003.50266742</v>
      </c>
      <c r="D51" s="624" t="n">
        <v>5713720.29028701</v>
      </c>
      <c r="E51" s="624" t="n">
        <v>5713720.29028701</v>
      </c>
      <c r="F51" s="624" t="n">
        <v>5713720.29028701</v>
      </c>
      <c r="G51" s="624" t="n">
        <v>5713720.29028701</v>
      </c>
      <c r="H51" s="624" t="n">
        <v>5713720.29028701</v>
      </c>
      <c r="I51" s="624" t="n">
        <v>5713720.29028701</v>
      </c>
      <c r="J51" s="624" t="n">
        <v>5713720.29028701</v>
      </c>
      <c r="K51" s="624" t="n">
        <v>5713720.29028701</v>
      </c>
      <c r="L51" s="624" t="n">
        <v>5713720.29028701</v>
      </c>
      <c r="M51" s="624" t="n">
        <v>5713720.29028701</v>
      </c>
      <c r="N51" s="624" t="n">
        <v>5713720.29028701</v>
      </c>
      <c r="O51" s="624" t="n">
        <v>5713720.29028701</v>
      </c>
      <c r="P51" s="624" t="n">
        <v>5713720.29028701</v>
      </c>
      <c r="Q51" s="624" t="n">
        <v>5713720.29028701</v>
      </c>
      <c r="R51" s="624" t="n">
        <v>5713720.29028701</v>
      </c>
      <c r="S51" s="624" t="n">
        <v>5713720.29028701</v>
      </c>
      <c r="T51" s="624" t="n">
        <v>5713720.29028701</v>
      </c>
      <c r="U51" s="624" t="n">
        <v>5713720.29028701</v>
      </c>
      <c r="V51" s="624" t="n">
        <v>5713720.29028701</v>
      </c>
      <c r="W51" s="624" t="n">
        <v>5713720.29028701</v>
      </c>
      <c r="X51" s="625" t="n">
        <f aca="false">SUM(C51:W51)</f>
        <v>117607409.308408</v>
      </c>
    </row>
    <row r="52" customFormat="false" ht="12.75" hidden="false" customHeight="false" outlineLevel="0" collapsed="false">
      <c r="C52" s="624"/>
      <c r="D52" s="624"/>
      <c r="E52" s="624"/>
      <c r="F52" s="624"/>
      <c r="G52" s="624"/>
      <c r="H52" s="624"/>
      <c r="I52" s="624"/>
      <c r="J52" s="624"/>
      <c r="K52" s="624"/>
      <c r="L52" s="624"/>
      <c r="M52" s="624"/>
      <c r="N52" s="624"/>
      <c r="O52" s="624"/>
      <c r="P52" s="624"/>
      <c r="Q52" s="624"/>
      <c r="R52" s="624"/>
      <c r="S52" s="624"/>
      <c r="T52" s="624"/>
      <c r="U52" s="624"/>
      <c r="V52" s="624"/>
      <c r="W52" s="624"/>
      <c r="X52" s="625"/>
    </row>
    <row r="53" customFormat="false" ht="13.5" hidden="false" customHeight="false" outlineLevel="0" collapsed="false">
      <c r="B53" s="621" t="s">
        <v>254</v>
      </c>
      <c r="C53" s="679" t="n">
        <f aca="false">C40-C49-C51</f>
        <v>3841165.02336836</v>
      </c>
      <c r="D53" s="679" t="n">
        <f aca="false">D40-D49-D51</f>
        <v>-11181940.3721886</v>
      </c>
      <c r="E53" s="679" t="n">
        <f aca="false">E40-E49-E51</f>
        <v>-11032026.5509249</v>
      </c>
      <c r="F53" s="679" t="n">
        <f aca="false">F40-F49-F51</f>
        <v>-10556024.7428304</v>
      </c>
      <c r="G53" s="679" t="n">
        <f aca="false">G40-G49-G51</f>
        <v>-10203526.6114153</v>
      </c>
      <c r="H53" s="679" t="n">
        <f aca="false">H40-H49-H51</f>
        <v>-9552667.23093668</v>
      </c>
      <c r="I53" s="679" t="n">
        <f aca="false">I40-I49-I51</f>
        <v>-8824836.8332306</v>
      </c>
      <c r="J53" s="679" t="n">
        <f aca="false">J40-J49-J51</f>
        <v>-8266623.39221969</v>
      </c>
      <c r="K53" s="679" t="n">
        <f aca="false">K40-K49-K51</f>
        <v>-7572841.54526673</v>
      </c>
      <c r="L53" s="679" t="n">
        <f aca="false">L40-L49-L51</f>
        <v>-6582899.68599263</v>
      </c>
      <c r="M53" s="679" t="n">
        <f aca="false">M40-M49-M51</f>
        <v>-5721377.42640856</v>
      </c>
      <c r="N53" s="679" t="n">
        <f aca="false">N40-N49-N51</f>
        <v>-5027538.97831544</v>
      </c>
      <c r="O53" s="679" t="n">
        <f aca="false">O40-O49-O51</f>
        <v>-4126843.10588279</v>
      </c>
      <c r="P53" s="679" t="n">
        <f aca="false">P40-P49-P51</f>
        <v>-3034896.70917984</v>
      </c>
      <c r="Q53" s="679" t="n">
        <f aca="false">Q40-Q49-Q51</f>
        <v>-2096961.76927219</v>
      </c>
      <c r="R53" s="679" t="n">
        <f aca="false">R40-R49-R51</f>
        <v>-1277062.67354032</v>
      </c>
      <c r="S53" s="679" t="n">
        <f aca="false">S40-S49-S51</f>
        <v>-192481.930341562</v>
      </c>
      <c r="T53" s="679" t="n">
        <f aca="false">T40-T49-T51</f>
        <v>1141427.55457717</v>
      </c>
      <c r="U53" s="679" t="n">
        <f aca="false">U40-U49-U51</f>
        <v>2279249.38539574</v>
      </c>
      <c r="V53" s="679" t="n">
        <f aca="false">V40-V49-V51</f>
        <v>2754579.2213565</v>
      </c>
      <c r="W53" s="680" t="n">
        <f aca="false">W40-W49-W51</f>
        <v>4109131.72880766</v>
      </c>
      <c r="X53" s="679" t="n">
        <f aca="false">SUM(C53:W53)</f>
        <v>-91124996.6444408</v>
      </c>
    </row>
    <row r="54" customFormat="false" ht="14.25" hidden="false" customHeight="false" outlineLevel="0" collapsed="false">
      <c r="B54" s="655"/>
      <c r="C54" s="655"/>
      <c r="D54" s="655"/>
      <c r="E54" s="655"/>
      <c r="F54" s="655"/>
      <c r="G54" s="655"/>
      <c r="H54" s="655"/>
      <c r="I54" s="655"/>
      <c r="J54" s="655"/>
      <c r="K54" s="655"/>
      <c r="L54" s="655"/>
      <c r="M54" s="655"/>
      <c r="N54" s="655"/>
      <c r="O54" s="655"/>
      <c r="P54" s="655"/>
      <c r="Q54" s="655"/>
      <c r="R54" s="655"/>
      <c r="S54" s="655"/>
      <c r="T54" s="655"/>
      <c r="U54" s="655"/>
      <c r="V54" s="655"/>
      <c r="W54" s="681"/>
      <c r="X54" s="682"/>
    </row>
    <row r="55" customFormat="false" ht="13.5" hidden="false" customHeight="false" outlineLevel="0" collapsed="false">
      <c r="C55" s="645"/>
      <c r="D55" s="645"/>
      <c r="W55" s="677"/>
      <c r="X55" s="625"/>
    </row>
    <row r="56" customFormat="false" ht="13.5" hidden="false" customHeight="false" outlineLevel="0" collapsed="false">
      <c r="B56" s="627" t="s">
        <v>255</v>
      </c>
      <c r="C56" s="628" t="n">
        <v>36891</v>
      </c>
      <c r="D56" s="628" t="n">
        <f aca="false">C56+365.25</f>
        <v>37256.25</v>
      </c>
      <c r="E56" s="628" t="n">
        <f aca="false">D56+365.25</f>
        <v>37621.5</v>
      </c>
      <c r="F56" s="628" t="n">
        <f aca="false">E56+365.25</f>
        <v>37986.75</v>
      </c>
      <c r="G56" s="628" t="n">
        <f aca="false">F56+365.25</f>
        <v>38352</v>
      </c>
      <c r="H56" s="628" t="n">
        <f aca="false">G56+365.25</f>
        <v>38717.25</v>
      </c>
      <c r="I56" s="628" t="n">
        <f aca="false">H56+365.25</f>
        <v>39082.5</v>
      </c>
      <c r="J56" s="628" t="n">
        <f aca="false">I56+365.25</f>
        <v>39447.75</v>
      </c>
      <c r="K56" s="628" t="n">
        <f aca="false">J56+365.25</f>
        <v>39813</v>
      </c>
      <c r="L56" s="628" t="n">
        <f aca="false">K56+365.25</f>
        <v>40178.25</v>
      </c>
      <c r="M56" s="628" t="n">
        <f aca="false">L56+365.25</f>
        <v>40543.5</v>
      </c>
      <c r="N56" s="628" t="n">
        <f aca="false">M56+365.25</f>
        <v>40908.75</v>
      </c>
      <c r="O56" s="628" t="n">
        <f aca="false">N56+365.25</f>
        <v>41274</v>
      </c>
      <c r="P56" s="628" t="n">
        <f aca="false">O56+365.25</f>
        <v>41639.25</v>
      </c>
      <c r="Q56" s="628" t="n">
        <f aca="false">P56+365.25</f>
        <v>42004.5</v>
      </c>
      <c r="R56" s="628" t="n">
        <f aca="false">Q56+365.25</f>
        <v>42369.75</v>
      </c>
      <c r="S56" s="628" t="n">
        <f aca="false">R56+365.25</f>
        <v>42735</v>
      </c>
      <c r="T56" s="628" t="n">
        <f aca="false">S56+365.25</f>
        <v>43100.25</v>
      </c>
      <c r="U56" s="628" t="n">
        <f aca="false">T56+365.25</f>
        <v>43465.5</v>
      </c>
      <c r="V56" s="628" t="n">
        <f aca="false">U56+365.25</f>
        <v>43830.75</v>
      </c>
      <c r="W56" s="629" t="n">
        <f aca="false">V56+365.25</f>
        <v>44196</v>
      </c>
      <c r="X56" s="656" t="s">
        <v>60</v>
      </c>
    </row>
    <row r="57" customFormat="false" ht="12.75" hidden="false" customHeight="false" outlineLevel="0" collapsed="false">
      <c r="B57" s="624" t="s">
        <v>234</v>
      </c>
      <c r="C57" s="624" t="n">
        <f aca="false">C40</f>
        <v>7174168.52603578</v>
      </c>
      <c r="D57" s="624" t="n">
        <f aca="false">D40</f>
        <v>4968390.50806609</v>
      </c>
      <c r="E57" s="624" t="n">
        <f aca="false">E40</f>
        <v>4910534.23416007</v>
      </c>
      <c r="F57" s="624" t="n">
        <f aca="false">F40</f>
        <v>5160587.83029897</v>
      </c>
      <c r="G57" s="624" t="n">
        <f aca="false">G40</f>
        <v>5267369.20231121</v>
      </c>
      <c r="H57" s="624" t="n">
        <f aca="false">H40</f>
        <v>5651013.69611786</v>
      </c>
      <c r="I57" s="624" t="n">
        <f aca="false">I40</f>
        <v>6088250.17653216</v>
      </c>
      <c r="J57" s="624" t="n">
        <f aca="false">J40</f>
        <v>6330445.20322982</v>
      </c>
      <c r="K57" s="624" t="n">
        <f aca="false">K40</f>
        <v>6680559.71152753</v>
      </c>
      <c r="L57" s="624" t="n">
        <f aca="false">L40</f>
        <v>7296766.26200626</v>
      </c>
      <c r="M57" s="624" t="n">
        <f aca="false">M40</f>
        <v>7751854.5509171</v>
      </c>
      <c r="N57" s="624" t="n">
        <f aca="false">N40</f>
        <v>8003699.51156141</v>
      </c>
      <c r="O57" s="624" t="n">
        <f aca="false">O40</f>
        <v>8423731.22439255</v>
      </c>
      <c r="P57" s="624" t="n">
        <f aca="false">P40</f>
        <v>8992959.4343209</v>
      </c>
      <c r="Q57" s="624" t="n">
        <f aca="false">Q40</f>
        <v>9362442.79046275</v>
      </c>
      <c r="R57" s="624" t="n">
        <f aca="false">R40</f>
        <v>9564155.62204387</v>
      </c>
      <c r="S57" s="624" t="n">
        <f aca="false">S40</f>
        <v>9976464.05903669</v>
      </c>
      <c r="T57" s="624" t="n">
        <f aca="false">T40</f>
        <v>10553946.256308</v>
      </c>
      <c r="U57" s="624" t="n">
        <f aca="false">U40</f>
        <v>10888267.8510418</v>
      </c>
      <c r="V57" s="624" t="n">
        <f aca="false">V40</f>
        <v>10465090.0786563</v>
      </c>
      <c r="W57" s="624" t="n">
        <f aca="false">W40</f>
        <v>10845378.5189762</v>
      </c>
      <c r="X57" s="625" t="n">
        <f aca="false">SUM(C57:W57)</f>
        <v>164356075.248003</v>
      </c>
    </row>
    <row r="58" customFormat="false" ht="12.75" hidden="false" customHeight="false" outlineLevel="0" collapsed="false">
      <c r="B58" s="621" t="s">
        <v>256</v>
      </c>
      <c r="C58" s="683" t="n">
        <f aca="false">C49</f>
        <v>0</v>
      </c>
      <c r="D58" s="683" t="n">
        <f aca="false">D49</f>
        <v>10436610.5899677</v>
      </c>
      <c r="E58" s="683" t="n">
        <f aca="false">E49</f>
        <v>10228840.494798</v>
      </c>
      <c r="F58" s="683" t="n">
        <f aca="false">F49</f>
        <v>10002892.2828424</v>
      </c>
      <c r="G58" s="683" t="n">
        <f aca="false">G49</f>
        <v>9757175.52343952</v>
      </c>
      <c r="H58" s="683" t="n">
        <f aca="false">H49</f>
        <v>9489960.63676754</v>
      </c>
      <c r="I58" s="683" t="n">
        <f aca="false">I49</f>
        <v>9199366.71947576</v>
      </c>
      <c r="J58" s="683" t="n">
        <f aca="false">J49</f>
        <v>8883348.3051625</v>
      </c>
      <c r="K58" s="683" t="n">
        <f aca="false">K49</f>
        <v>8539680.96650725</v>
      </c>
      <c r="L58" s="683" t="n">
        <f aca="false">L49</f>
        <v>8165945.65771189</v>
      </c>
      <c r="M58" s="683" t="n">
        <f aca="false">M49</f>
        <v>7759511.68703865</v>
      </c>
      <c r="N58" s="683" t="n">
        <f aca="false">N49</f>
        <v>7317518.19958985</v>
      </c>
      <c r="O58" s="683" t="n">
        <f aca="false">O49</f>
        <v>6836854.03998834</v>
      </c>
      <c r="P58" s="683" t="n">
        <f aca="false">P49</f>
        <v>6314135.85321373</v>
      </c>
      <c r="Q58" s="683" t="n">
        <f aca="false">Q49</f>
        <v>5745684.26944793</v>
      </c>
      <c r="R58" s="683" t="n">
        <f aca="false">R49</f>
        <v>5127498.00529719</v>
      </c>
      <c r="S58" s="683" t="n">
        <f aca="false">S49</f>
        <v>4455225.69909125</v>
      </c>
      <c r="T58" s="683" t="n">
        <f aca="false">T49</f>
        <v>3698798.4114438</v>
      </c>
      <c r="U58" s="683" t="n">
        <f aca="false">U49</f>
        <v>2895298.17535902</v>
      </c>
      <c r="V58" s="683" t="n">
        <f aca="false">V49</f>
        <v>1996790.56701284</v>
      </c>
      <c r="W58" s="683" t="n">
        <f aca="false">W49</f>
        <v>1022526.49988149</v>
      </c>
      <c r="X58" s="625" t="n">
        <f aca="false">SUM(C58:W58)</f>
        <v>137873662.584037</v>
      </c>
    </row>
    <row r="59" customFormat="false" ht="12.75" hidden="false" customHeight="false" outlineLevel="0" collapsed="false">
      <c r="B59" s="621" t="s">
        <v>257</v>
      </c>
      <c r="C59" s="658" t="n">
        <f aca="false">'Financial Statements'!C34</f>
        <v>0</v>
      </c>
      <c r="D59" s="658" t="n">
        <f aca="false">'Financial Statements'!D34</f>
        <v>2374746.12773708</v>
      </c>
      <c r="E59" s="658" t="n">
        <f aca="false">'Financial Statements'!E34</f>
        <v>2582516.22290678</v>
      </c>
      <c r="F59" s="658" t="n">
        <f aca="false">'Financial Statements'!F34</f>
        <v>2808464.43486236</v>
      </c>
      <c r="G59" s="658" t="n">
        <f aca="false">'Financial Statements'!G34</f>
        <v>3054181.19426523</v>
      </c>
      <c r="H59" s="658" t="n">
        <f aca="false">'Financial Statements'!H34</f>
        <v>3321396.08093721</v>
      </c>
      <c r="I59" s="658" t="n">
        <f aca="false">'Financial Statements'!I34</f>
        <v>3611989.99822898</v>
      </c>
      <c r="J59" s="658" t="n">
        <f aca="false">'Financial Statements'!J34</f>
        <v>3928008.41254224</v>
      </c>
      <c r="K59" s="658" t="n">
        <f aca="false">'Financial Statements'!K34</f>
        <v>4271675.7511975</v>
      </c>
      <c r="L59" s="658" t="n">
        <f aca="false">'Financial Statements'!L34</f>
        <v>4645411.05999285</v>
      </c>
      <c r="M59" s="658" t="n">
        <f aca="false">'Financial Statements'!M34</f>
        <v>5051845.03066609</v>
      </c>
      <c r="N59" s="658" t="n">
        <f aca="false">'Financial Statements'!N34</f>
        <v>5493838.5181149</v>
      </c>
      <c r="O59" s="658" t="n">
        <f aca="false">'Financial Statements'!O34</f>
        <v>5974502.67771641</v>
      </c>
      <c r="P59" s="658" t="n">
        <f aca="false">'Financial Statements'!P34</f>
        <v>6497220.86449102</v>
      </c>
      <c r="Q59" s="658" t="n">
        <f aca="false">'Financial Statements'!Q34</f>
        <v>7065672.44825681</v>
      </c>
      <c r="R59" s="658" t="n">
        <f aca="false">'Financial Statements'!R34</f>
        <v>7683858.71240756</v>
      </c>
      <c r="S59" s="658" t="n">
        <f aca="false">'Financial Statements'!S34</f>
        <v>8356131.0186135</v>
      </c>
      <c r="T59" s="658" t="n">
        <f aca="false">'Financial Statements'!T34</f>
        <v>9087221.43569407</v>
      </c>
      <c r="U59" s="658" t="n">
        <f aca="false">'Financial Statements'!U34</f>
        <v>9882276.04825656</v>
      </c>
      <c r="V59" s="658" t="n">
        <f aca="false">'Financial Statements'!V34</f>
        <v>10746891.1795574</v>
      </c>
      <c r="W59" s="658" t="n">
        <f aca="false">'Financial Statements'!W34</f>
        <v>11687152.7835558</v>
      </c>
      <c r="X59" s="658" t="n">
        <f aca="false">SUM(C59:W59)</f>
        <v>118125000</v>
      </c>
    </row>
    <row r="60" customFormat="false" ht="12.75" hidden="false" customHeight="false" outlineLevel="0" collapsed="false">
      <c r="B60" s="621" t="s">
        <v>258</v>
      </c>
      <c r="C60" s="625" t="n">
        <f aca="false">C57-C58-C59</f>
        <v>7174168.52603578</v>
      </c>
      <c r="D60" s="625" t="n">
        <f aca="false">D57-D58-D59</f>
        <v>-7842966.20963865</v>
      </c>
      <c r="E60" s="625" t="n">
        <f aca="false">E57-E58-E59</f>
        <v>-7900822.48354467</v>
      </c>
      <c r="F60" s="625" t="n">
        <f aca="false">F57-F58-F59</f>
        <v>-7650768.88740577</v>
      </c>
      <c r="G60" s="625" t="n">
        <f aca="false">G57-G58-G59</f>
        <v>-7543987.51539354</v>
      </c>
      <c r="H60" s="625" t="n">
        <f aca="false">H57-H58-H59</f>
        <v>-7160343.02158688</v>
      </c>
      <c r="I60" s="625" t="n">
        <f aca="false">I57-I58-I59</f>
        <v>-6723106.54117258</v>
      </c>
      <c r="J60" s="625" t="n">
        <f aca="false">J57-J58-J59</f>
        <v>-6480911.51447492</v>
      </c>
      <c r="K60" s="625" t="n">
        <f aca="false">K57-K58-K59</f>
        <v>-6130797.00617722</v>
      </c>
      <c r="L60" s="625" t="n">
        <f aca="false">L57-L58-L59</f>
        <v>-5514590.45569848</v>
      </c>
      <c r="M60" s="625" t="n">
        <f aca="false">M57-M58-M59</f>
        <v>-5059502.16678764</v>
      </c>
      <c r="N60" s="625" t="n">
        <f aca="false">N57-N58-N59</f>
        <v>-4807657.20614333</v>
      </c>
      <c r="O60" s="625" t="n">
        <f aca="false">O57-O58-O59</f>
        <v>-4387625.49331219</v>
      </c>
      <c r="P60" s="625" t="n">
        <f aca="false">P57-P58-P59</f>
        <v>-3818397.28338385</v>
      </c>
      <c r="Q60" s="625" t="n">
        <f aca="false">Q57-Q58-Q59</f>
        <v>-3448913.927242</v>
      </c>
      <c r="R60" s="625" t="n">
        <f aca="false">R57-R58-R59</f>
        <v>-3247201.09566087</v>
      </c>
      <c r="S60" s="625" t="n">
        <f aca="false">S57-S58-S59</f>
        <v>-2834892.65866805</v>
      </c>
      <c r="T60" s="625" t="n">
        <f aca="false">T57-T58-T59</f>
        <v>-2232073.5908299</v>
      </c>
      <c r="U60" s="625" t="n">
        <f aca="false">U57-U58-U59</f>
        <v>-1889306.37257381</v>
      </c>
      <c r="V60" s="625" t="n">
        <f aca="false">V57-V58-V59</f>
        <v>-2278591.66791386</v>
      </c>
      <c r="W60" s="670" t="n">
        <f aca="false">SUM(W57:W59)</f>
        <v>23555057.8024134</v>
      </c>
      <c r="X60" s="625" t="n">
        <f aca="false">SUM(C60:W60)</f>
        <v>-66223228.769159</v>
      </c>
    </row>
    <row r="61" customFormat="false" ht="12.75" hidden="false" customHeight="false" outlineLevel="0" collapsed="false">
      <c r="C61" s="625"/>
      <c r="D61" s="625"/>
      <c r="E61" s="625"/>
      <c r="F61" s="625"/>
      <c r="G61" s="625"/>
      <c r="H61" s="625"/>
      <c r="I61" s="625"/>
      <c r="J61" s="625"/>
      <c r="K61" s="625"/>
      <c r="L61" s="625"/>
      <c r="M61" s="625"/>
      <c r="N61" s="625"/>
      <c r="O61" s="625"/>
      <c r="P61" s="625"/>
      <c r="Q61" s="625"/>
      <c r="R61" s="625"/>
      <c r="S61" s="625"/>
      <c r="T61" s="625"/>
      <c r="U61" s="625"/>
      <c r="V61" s="625"/>
      <c r="W61" s="670"/>
      <c r="X61" s="625"/>
    </row>
    <row r="62" customFormat="false" ht="12.75" hidden="false" customHeight="false" outlineLevel="0" collapsed="false">
      <c r="B62" s="621" t="s">
        <v>259</v>
      </c>
      <c r="C62" s="658" t="n">
        <f aca="false">'Financial Statements'!C37</f>
        <v>0</v>
      </c>
      <c r="D62" s="658" t="n">
        <f aca="false">'Financial Statements'!D37</f>
        <v>0</v>
      </c>
      <c r="E62" s="658" t="n">
        <f aca="false">'Financial Statements'!E37</f>
        <v>-86148.2837671968</v>
      </c>
      <c r="F62" s="658" t="n">
        <f aca="false">'Financial Statements'!F37</f>
        <v>-53280.0672599468</v>
      </c>
      <c r="G62" s="658" t="n">
        <f aca="false">'Financial Statements'!G37</f>
        <v>20288.2960470803</v>
      </c>
      <c r="H62" s="658" t="n">
        <f aca="false">'Financial Statements'!H37</f>
        <v>7377.16755075939</v>
      </c>
      <c r="I62" s="658" t="n">
        <f aca="false">'Financial Statements'!I37</f>
        <v>-11256.8656732771</v>
      </c>
      <c r="J62" s="658" t="n">
        <f aca="false">'Financial Statements'!J37</f>
        <v>24357.2406893452</v>
      </c>
      <c r="K62" s="658" t="n">
        <f aca="false">'Financial Statements'!K37</f>
        <v>56473.2952436279</v>
      </c>
      <c r="L62" s="658" t="n">
        <f aca="false">'Financial Statements'!L37</f>
        <v>14714.1025869697</v>
      </c>
      <c r="M62" s="658" t="n">
        <f aca="false">'Financial Statements'!M37</f>
        <v>-13970.9387812559</v>
      </c>
      <c r="N62" s="658" t="n">
        <f aca="false">'Financial Statements'!N37</f>
        <v>13442.6521462509</v>
      </c>
      <c r="O62" s="658" t="n">
        <f aca="false">'Financial Statements'!O37</f>
        <v>42995.9899728796</v>
      </c>
      <c r="P62" s="658" t="n">
        <f aca="false">'Financial Statements'!P37</f>
        <v>16295.8964720112</v>
      </c>
      <c r="Q62" s="658" t="n">
        <f aca="false">'Financial Statements'!Q37</f>
        <v>-12528.2338310303</v>
      </c>
      <c r="R62" s="658" t="n">
        <f aca="false">'Financial Statements'!R37</f>
        <v>15076.5025826516</v>
      </c>
      <c r="S62" s="658" t="n">
        <f aca="false">'Financial Statements'!S37</f>
        <v>44872.2343949182</v>
      </c>
      <c r="T62" s="658" t="n">
        <f aca="false">'Financial Statements'!T37</f>
        <v>18101.7291337838</v>
      </c>
      <c r="U62" s="658" t="n">
        <f aca="false">'Financial Statements'!U37</f>
        <v>-10882.0932636345</v>
      </c>
      <c r="V62" s="658" t="n">
        <f aca="false">'Financial Statements'!V37</f>
        <v>16416.1825799043</v>
      </c>
      <c r="W62" s="658" t="n">
        <f aca="false">'Financial Statements'!W37</f>
        <v>620.899419395253</v>
      </c>
      <c r="X62" s="625" t="n">
        <f aca="false">SUM(C62:W62)</f>
        <v>102965.706243236</v>
      </c>
    </row>
    <row r="63" customFormat="false" ht="12.75" hidden="false" customHeight="false" outlineLevel="0" collapsed="false">
      <c r="B63" s="621" t="s">
        <v>260</v>
      </c>
      <c r="C63" s="684" t="n">
        <f aca="false">C60+C62</f>
        <v>7174168.52603578</v>
      </c>
      <c r="D63" s="684" t="n">
        <f aca="false">D60+D62</f>
        <v>-7842966.20963865</v>
      </c>
      <c r="E63" s="684" t="n">
        <f aca="false">E60+E62</f>
        <v>-7986970.76731187</v>
      </c>
      <c r="F63" s="684" t="n">
        <f aca="false">F60+F62</f>
        <v>-7704048.95466572</v>
      </c>
      <c r="G63" s="684" t="n">
        <f aca="false">G60+G62</f>
        <v>-7523699.21934646</v>
      </c>
      <c r="H63" s="684" t="n">
        <f aca="false">H60+H62</f>
        <v>-7152965.85403612</v>
      </c>
      <c r="I63" s="684" t="n">
        <f aca="false">I60+I62</f>
        <v>-6734363.40684586</v>
      </c>
      <c r="J63" s="684" t="n">
        <f aca="false">J60+J62</f>
        <v>-6456554.27378558</v>
      </c>
      <c r="K63" s="684" t="n">
        <f aca="false">K60+K62</f>
        <v>-6074323.71093359</v>
      </c>
      <c r="L63" s="684" t="n">
        <f aca="false">L60+L62</f>
        <v>-5499876.35311151</v>
      </c>
      <c r="M63" s="684" t="n">
        <f aca="false">M60+M62</f>
        <v>-5073473.1055689</v>
      </c>
      <c r="N63" s="684" t="n">
        <f aca="false">N60+N62</f>
        <v>-4794214.55399708</v>
      </c>
      <c r="O63" s="684" t="n">
        <f aca="false">O60+O62</f>
        <v>-4344629.50333932</v>
      </c>
      <c r="P63" s="684" t="n">
        <f aca="false">P60+P62</f>
        <v>-3802101.38691183</v>
      </c>
      <c r="Q63" s="684" t="n">
        <f aca="false">Q60+Q62</f>
        <v>-3461442.16107303</v>
      </c>
      <c r="R63" s="684" t="n">
        <f aca="false">R60+R62</f>
        <v>-3232124.59307822</v>
      </c>
      <c r="S63" s="684" t="n">
        <f aca="false">S60+S62</f>
        <v>-2790020.42427313</v>
      </c>
      <c r="T63" s="684" t="n">
        <f aca="false">T60+T62</f>
        <v>-2213971.86169612</v>
      </c>
      <c r="U63" s="684" t="n">
        <f aca="false">U60+U62</f>
        <v>-1900188.46583745</v>
      </c>
      <c r="V63" s="684" t="n">
        <f aca="false">V60+V62</f>
        <v>-2262175.48533396</v>
      </c>
      <c r="W63" s="685" t="n">
        <f aca="false">W60+W62</f>
        <v>23555678.7018328</v>
      </c>
      <c r="X63" s="684" t="n">
        <f aca="false">SUM(C63:W63)</f>
        <v>-66120263.0629158</v>
      </c>
    </row>
    <row r="64" customFormat="false" ht="12.75" hidden="false" customHeight="false" outlineLevel="0" collapsed="false">
      <c r="W64" s="677"/>
    </row>
    <row r="65" customFormat="false" ht="12.75" hidden="false" customHeight="false" outlineLevel="0" collapsed="false">
      <c r="B65" s="621" t="s">
        <v>261</v>
      </c>
      <c r="C65" s="621" t="n">
        <v>0</v>
      </c>
      <c r="D65" s="625" t="n">
        <f aca="false">C66</f>
        <v>7174168.52603578</v>
      </c>
      <c r="E65" s="625" t="n">
        <f aca="false">D66</f>
        <v>-668797.683602873</v>
      </c>
      <c r="F65" s="625" t="n">
        <f aca="false">E66</f>
        <v>-8655768.45091474</v>
      </c>
      <c r="G65" s="625" t="n">
        <f aca="false">F66</f>
        <v>-16359817.4055805</v>
      </c>
      <c r="H65" s="625" t="n">
        <f aca="false">G66</f>
        <v>-23883516.6249269</v>
      </c>
      <c r="I65" s="625" t="n">
        <f aca="false">H66</f>
        <v>-31036482.478963</v>
      </c>
      <c r="J65" s="625" t="n">
        <f aca="false">I66</f>
        <v>-37770845.8858089</v>
      </c>
      <c r="K65" s="625" t="n">
        <f aca="false">J66</f>
        <v>-44227400.1595945</v>
      </c>
      <c r="L65" s="625" t="n">
        <f aca="false">K66</f>
        <v>-50301723.8705281</v>
      </c>
      <c r="M65" s="625" t="n">
        <f aca="false">L66</f>
        <v>-55801600.2236396</v>
      </c>
      <c r="N65" s="625" t="n">
        <f aca="false">M66</f>
        <v>-60875073.3292085</v>
      </c>
      <c r="O65" s="625" t="n">
        <f aca="false">N66</f>
        <v>-65669287.8832056</v>
      </c>
      <c r="P65" s="625" t="n">
        <f aca="false">O66</f>
        <v>-70013917.3865449</v>
      </c>
      <c r="Q65" s="625" t="n">
        <f aca="false">P66</f>
        <v>-73816018.7734567</v>
      </c>
      <c r="R65" s="625" t="n">
        <f aca="false">Q66</f>
        <v>-77277460.9345297</v>
      </c>
      <c r="S65" s="625" t="n">
        <f aca="false">R66</f>
        <v>-80509585.527608</v>
      </c>
      <c r="T65" s="625" t="n">
        <f aca="false">S66</f>
        <v>-83299605.9518811</v>
      </c>
      <c r="U65" s="625" t="n">
        <f aca="false">T66</f>
        <v>-85513577.8135772</v>
      </c>
      <c r="V65" s="625" t="n">
        <f aca="false">U66</f>
        <v>-87413766.2794147</v>
      </c>
      <c r="W65" s="670" t="n">
        <f aca="false">V66</f>
        <v>-89675941.7647486</v>
      </c>
    </row>
    <row r="66" customFormat="false" ht="12.75" hidden="false" customHeight="false" outlineLevel="0" collapsed="false">
      <c r="B66" s="621" t="s">
        <v>262</v>
      </c>
      <c r="C66" s="625" t="n">
        <f aca="false">C63</f>
        <v>7174168.52603578</v>
      </c>
      <c r="D66" s="625" t="n">
        <f aca="false">D65+D63</f>
        <v>-668797.683602873</v>
      </c>
      <c r="E66" s="625" t="n">
        <f aca="false">E65+E63</f>
        <v>-8655768.45091474</v>
      </c>
      <c r="F66" s="625" t="n">
        <f aca="false">F65+F63</f>
        <v>-16359817.4055805</v>
      </c>
      <c r="G66" s="625" t="n">
        <f aca="false">G65+G63</f>
        <v>-23883516.6249269</v>
      </c>
      <c r="H66" s="625" t="n">
        <f aca="false">H65+H63</f>
        <v>-31036482.478963</v>
      </c>
      <c r="I66" s="625" t="n">
        <f aca="false">I65+I63</f>
        <v>-37770845.8858089</v>
      </c>
      <c r="J66" s="625" t="n">
        <f aca="false">J65+J63</f>
        <v>-44227400.1595945</v>
      </c>
      <c r="K66" s="625" t="n">
        <f aca="false">K65+K63</f>
        <v>-50301723.8705281</v>
      </c>
      <c r="L66" s="625" t="n">
        <f aca="false">L65+L63</f>
        <v>-55801600.2236396</v>
      </c>
      <c r="M66" s="625" t="n">
        <f aca="false">M65+M63</f>
        <v>-60875073.3292085</v>
      </c>
      <c r="N66" s="625" t="n">
        <f aca="false">N65+N63</f>
        <v>-65669287.8832056</v>
      </c>
      <c r="O66" s="625" t="n">
        <f aca="false">O65+O63</f>
        <v>-70013917.3865449</v>
      </c>
      <c r="P66" s="625" t="n">
        <f aca="false">P65+P63</f>
        <v>-73816018.7734567</v>
      </c>
      <c r="Q66" s="625" t="n">
        <f aca="false">Q65+Q63</f>
        <v>-77277460.9345297</v>
      </c>
      <c r="R66" s="625" t="n">
        <f aca="false">R65+R63</f>
        <v>-80509585.527608</v>
      </c>
      <c r="S66" s="625" t="n">
        <f aca="false">S65+S63</f>
        <v>-83299605.9518811</v>
      </c>
      <c r="T66" s="625" t="n">
        <f aca="false">T65+T63</f>
        <v>-85513577.8135772</v>
      </c>
      <c r="U66" s="625" t="n">
        <f aca="false">U65+U63</f>
        <v>-87413766.2794147</v>
      </c>
      <c r="V66" s="625" t="n">
        <f aca="false">V65+V63</f>
        <v>-89675941.7647486</v>
      </c>
      <c r="W66" s="670" t="n">
        <f aca="false">W65+W63</f>
        <v>-66120263.0629158</v>
      </c>
    </row>
    <row r="67" customFormat="false" ht="12.75" hidden="false" customHeight="false" outlineLevel="0" collapsed="false">
      <c r="W67" s="624"/>
    </row>
    <row r="68" customFormat="false" ht="12.75" hidden="false" customHeight="false" outlineLevel="0" collapsed="false">
      <c r="B68" s="686" t="s">
        <v>106</v>
      </c>
      <c r="C68" s="687" t="str">
        <f aca="false">IF(C58+C59&gt;0,C57/(C58+C59),"n/a")</f>
        <v>n/a</v>
      </c>
      <c r="D68" s="688" t="n">
        <f aca="false">IF(D58+D59&gt;0,D57/(D58+D59),"n/a")</f>
        <v>0.387811425248974</v>
      </c>
      <c r="E68" s="688" t="n">
        <f aca="false">IF(E58+E59&gt;0,E57/(E58+E59),"n/a")</f>
        <v>0.38329541065498</v>
      </c>
      <c r="F68" s="688" t="n">
        <f aca="false">IF(F58+F59&gt;0,F57/(F58+F59),"n/a")</f>
        <v>0.402813530526963</v>
      </c>
      <c r="G68" s="688" t="n">
        <f aca="false">IF(G58+G59&gt;0,G57/(G58+G59),"n/a")</f>
        <v>0.411148430129334</v>
      </c>
      <c r="H68" s="688" t="n">
        <f aca="false">IF(H58+H59&gt;0,H57/(H58+H59),"n/a")</f>
        <v>0.441094087116348</v>
      </c>
      <c r="I68" s="688" t="n">
        <f aca="false">IF(I58+I59&gt;0,I57/(I58+I59),"n/a")</f>
        <v>0.475222906573077</v>
      </c>
      <c r="J68" s="688" t="n">
        <f aca="false">IF(J58+J59&gt;0,J57/(J58+J59),"n/a")</f>
        <v>0.494127619948434</v>
      </c>
      <c r="K68" s="688" t="n">
        <f aca="false">IF(K58+K59&gt;0,K57/(K58+K59),"n/a")</f>
        <v>0.521456068918546</v>
      </c>
      <c r="L68" s="688" t="n">
        <f aca="false">IF(L58+L59&gt;0,L57/(L58+L59),"n/a")</f>
        <v>0.56955453062379</v>
      </c>
      <c r="M68" s="688" t="n">
        <f aca="false">IF(M58+M59&gt;0,M57/(M58+M59),"n/a")</f>
        <v>0.605076786301983</v>
      </c>
      <c r="N68" s="688" t="n">
        <f aca="false">IF(N58+N59&gt;0,N57/(N58+N59),"n/a")</f>
        <v>0.624734732465973</v>
      </c>
      <c r="O68" s="688" t="n">
        <f aca="false">IF(O58+O59&gt;0,O57/(O58+O59),"n/a")</f>
        <v>0.657520620962128</v>
      </c>
      <c r="P68" s="688" t="n">
        <f aca="false">IF(P58+P59&gt;0,P57/(P58+P59),"n/a")</f>
        <v>0.701952153271403</v>
      </c>
      <c r="Q68" s="688" t="n">
        <f aca="false">IF(Q58+Q59&gt;0,Q57/(Q58+Q59),"n/a")</f>
        <v>0.730792452100272</v>
      </c>
      <c r="R68" s="688" t="n">
        <f aca="false">IF(R58+R59&gt;0,R57/(R58+R59),"n/a")</f>
        <v>0.746537297554647</v>
      </c>
      <c r="S68" s="688" t="n">
        <f aca="false">IF(S58+S59&gt;0,S57/(S58+S59),"n/a")</f>
        <v>0.778720339997219</v>
      </c>
      <c r="T68" s="688" t="n">
        <f aca="false">IF(T58+T59&gt;0,T57/(T58+T59),"n/a")</f>
        <v>0.825428583913113</v>
      </c>
      <c r="U68" s="688" t="n">
        <f aca="false">IF(U58+U59&gt;0,U57/(U58+U59),"n/a")</f>
        <v>0.85213888493154</v>
      </c>
      <c r="V68" s="688" t="n">
        <f aca="false">IF(V58+V59&gt;0,V57/(V58+V59),"n/a")</f>
        <v>0.821198322962898</v>
      </c>
      <c r="W68" s="689" t="n">
        <f aca="false">IF(W58+W59&gt;0,W57/(W58+W59),"n/a")</f>
        <v>0.853316458827519</v>
      </c>
      <c r="X68" s="690"/>
    </row>
    <row r="69" customFormat="false" ht="12.75" hidden="true" customHeight="false" outlineLevel="0" collapsed="false">
      <c r="B69" s="691" t="s">
        <v>263</v>
      </c>
      <c r="C69" s="692" t="n">
        <f aca="false">IF(C68&lt;1,1,0)</f>
        <v>0</v>
      </c>
      <c r="D69" s="692" t="n">
        <f aca="false">IF(D68&lt;1,1,0)</f>
        <v>1</v>
      </c>
      <c r="E69" s="692" t="n">
        <f aca="false">IF(E68&lt;1,1,0)</f>
        <v>1</v>
      </c>
      <c r="F69" s="692" t="n">
        <f aca="false">IF(F68&lt;1,1,0)</f>
        <v>1</v>
      </c>
      <c r="G69" s="692" t="n">
        <f aca="false">IF(G68&lt;1,1,0)</f>
        <v>1</v>
      </c>
      <c r="H69" s="692" t="n">
        <f aca="false">IF(H68&lt;1,1,0)</f>
        <v>1</v>
      </c>
      <c r="I69" s="692" t="n">
        <f aca="false">IF(I68&lt;1,1,0)</f>
        <v>1</v>
      </c>
      <c r="J69" s="692" t="n">
        <f aca="false">IF(J68&lt;1,1,0)</f>
        <v>1</v>
      </c>
      <c r="K69" s="692" t="n">
        <f aca="false">IF(K68&lt;1,1,0)</f>
        <v>1</v>
      </c>
      <c r="L69" s="692" t="n">
        <f aca="false">IF(L68&lt;1,1,0)</f>
        <v>1</v>
      </c>
      <c r="M69" s="692" t="n">
        <f aca="false">IF(M68&lt;1,1,0)</f>
        <v>1</v>
      </c>
      <c r="N69" s="692" t="n">
        <f aca="false">IF(N68&lt;1,1,0)</f>
        <v>1</v>
      </c>
      <c r="O69" s="692" t="n">
        <f aca="false">IF(O68&lt;1,1,0)</f>
        <v>1</v>
      </c>
      <c r="P69" s="692" t="n">
        <f aca="false">IF(P68&lt;1,1,0)</f>
        <v>1</v>
      </c>
      <c r="Q69" s="692" t="n">
        <f aca="false">IF(Q68&lt;1,1,0)</f>
        <v>1</v>
      </c>
      <c r="R69" s="692" t="n">
        <f aca="false">IF(R68&lt;1,1,0)</f>
        <v>1</v>
      </c>
      <c r="S69" s="692" t="n">
        <f aca="false">IF(S68&lt;1,1,0)</f>
        <v>1</v>
      </c>
      <c r="T69" s="692" t="n">
        <f aca="false">IF(T68&lt;1,1,0)</f>
        <v>1</v>
      </c>
      <c r="U69" s="692" t="n">
        <f aca="false">IF(U68&lt;1,1,0)</f>
        <v>1</v>
      </c>
      <c r="V69" s="692" t="n">
        <f aca="false">IF(V68&lt;1,1,0)</f>
        <v>1</v>
      </c>
      <c r="W69" s="693" t="n">
        <f aca="false">IF(W68&lt;1,1,0)</f>
        <v>1</v>
      </c>
      <c r="X69" s="690"/>
    </row>
    <row r="70" customFormat="false" ht="12.75" hidden="false" customHeight="false" outlineLevel="0" collapsed="false">
      <c r="A70" s="694"/>
      <c r="B70" s="695" t="s">
        <v>319</v>
      </c>
      <c r="C70" s="696" t="s">
        <v>140</v>
      </c>
      <c r="D70" s="697" t="n">
        <f aca="false">D42/D73</f>
        <v>2.24772699391774</v>
      </c>
      <c r="E70" s="697" t="n">
        <f aca="false">E42/E73</f>
        <v>2.25585813960595</v>
      </c>
      <c r="F70" s="697" t="n">
        <f aca="false">F42/F73</f>
        <v>2.25274345316593</v>
      </c>
      <c r="G70" s="697" t="n">
        <f aca="false">G42/G73</f>
        <v>2.25000095165112</v>
      </c>
      <c r="H70" s="697" t="n">
        <f aca="false">H42/H73</f>
        <v>2.25159496634848</v>
      </c>
      <c r="I70" s="697" t="n">
        <f aca="false">I42/I73</f>
        <v>2.25761012916227</v>
      </c>
      <c r="J70" s="697" t="n">
        <f aca="false">J42/J73</f>
        <v>2.25404636936007</v>
      </c>
      <c r="K70" s="697" t="n">
        <f aca="false">K42/K73</f>
        <v>2.24939754728052</v>
      </c>
      <c r="L70" s="697" t="n">
        <f aca="false">L42/L73</f>
        <v>2.31953254667054</v>
      </c>
      <c r="M70" s="697" t="n">
        <f aca="false">M42/M73</f>
        <v>2.5236814406916</v>
      </c>
      <c r="N70" s="697" t="n">
        <f aca="false">N42/N73</f>
        <v>2.65072854414036</v>
      </c>
      <c r="O70" s="697" t="n">
        <f aca="false">O42/O73</f>
        <v>2.83709578349556</v>
      </c>
      <c r="P70" s="697" t="n">
        <f aca="false">P42/P73</f>
        <v>2.88559579618795</v>
      </c>
      <c r="Q70" s="697" t="n">
        <f aca="false">Q42/Q73</f>
        <v>3.94297250218202</v>
      </c>
      <c r="R70" s="697" t="n">
        <f aca="false">R42/R73</f>
        <v>5.71313682398304</v>
      </c>
      <c r="S70" s="697"/>
      <c r="T70" s="697"/>
      <c r="U70" s="697"/>
      <c r="V70" s="697"/>
      <c r="W70" s="698"/>
      <c r="X70" s="694"/>
      <c r="Y70" s="694"/>
      <c r="Z70" s="694"/>
      <c r="AA70" s="694"/>
      <c r="AB70" s="694"/>
      <c r="AC70" s="694"/>
      <c r="AD70" s="694"/>
      <c r="AE70" s="694"/>
      <c r="AF70" s="694"/>
      <c r="AG70" s="694"/>
      <c r="AH70" s="694"/>
      <c r="AI70" s="694"/>
      <c r="AJ70" s="694"/>
      <c r="AK70" s="694"/>
      <c r="AL70" s="694"/>
      <c r="AM70" s="694"/>
      <c r="AN70" s="694"/>
      <c r="AO70" s="694"/>
      <c r="AP70" s="694"/>
      <c r="AQ70" s="694"/>
      <c r="AR70" s="694"/>
      <c r="AS70" s="694"/>
      <c r="AT70" s="694"/>
      <c r="AU70" s="694"/>
      <c r="AV70" s="694"/>
      <c r="AW70" s="694"/>
      <c r="AX70" s="694"/>
      <c r="AY70" s="694"/>
      <c r="AZ70" s="694"/>
      <c r="BA70" s="694"/>
      <c r="BB70" s="694"/>
      <c r="BC70" s="694"/>
      <c r="BD70" s="694"/>
      <c r="BE70" s="694"/>
      <c r="BF70" s="694"/>
      <c r="BG70" s="694"/>
      <c r="BH70" s="694"/>
      <c r="BI70" s="694"/>
      <c r="BJ70" s="694"/>
      <c r="BK70" s="694"/>
      <c r="BL70" s="694"/>
      <c r="BM70" s="694"/>
      <c r="BN70" s="694"/>
      <c r="BO70" s="694"/>
      <c r="BP70" s="694"/>
      <c r="BQ70" s="694"/>
      <c r="BR70" s="694"/>
      <c r="BS70" s="694"/>
      <c r="BT70" s="694"/>
      <c r="BU70" s="694"/>
      <c r="BV70" s="694"/>
      <c r="BW70" s="694"/>
      <c r="BX70" s="694"/>
      <c r="BY70" s="694"/>
      <c r="BZ70" s="694"/>
      <c r="CA70" s="694"/>
      <c r="CB70" s="694"/>
      <c r="CC70" s="694"/>
      <c r="CD70" s="694"/>
      <c r="CE70" s="694"/>
      <c r="CF70" s="694"/>
      <c r="CG70" s="694"/>
      <c r="CH70" s="694"/>
      <c r="CI70" s="694"/>
      <c r="CJ70" s="694"/>
      <c r="CK70" s="694"/>
      <c r="CL70" s="694"/>
      <c r="CM70" s="694"/>
      <c r="CN70" s="694"/>
      <c r="CO70" s="694"/>
      <c r="CP70" s="694"/>
      <c r="CQ70" s="694"/>
      <c r="CR70" s="694"/>
      <c r="CS70" s="694"/>
      <c r="CT70" s="694"/>
      <c r="CU70" s="694"/>
      <c r="CV70" s="694"/>
      <c r="CW70" s="694"/>
      <c r="CX70" s="694"/>
      <c r="CY70" s="694"/>
      <c r="CZ70" s="694"/>
      <c r="DA70" s="694"/>
      <c r="DB70" s="694"/>
      <c r="DC70" s="694"/>
      <c r="DD70" s="694"/>
      <c r="DE70" s="694"/>
      <c r="DF70" s="694"/>
      <c r="DG70" s="694"/>
      <c r="DH70" s="694"/>
      <c r="DI70" s="694"/>
      <c r="DJ70" s="694"/>
      <c r="DK70" s="694"/>
      <c r="DL70" s="694"/>
      <c r="DM70" s="694"/>
      <c r="DN70" s="694"/>
      <c r="DO70" s="694"/>
      <c r="DP70" s="694"/>
      <c r="DQ70" s="694"/>
      <c r="DR70" s="694"/>
      <c r="DS70" s="694"/>
      <c r="DT70" s="694"/>
      <c r="DU70" s="694"/>
      <c r="DV70" s="694"/>
      <c r="DW70" s="694"/>
      <c r="DX70" s="694"/>
      <c r="DY70" s="694"/>
      <c r="DZ70" s="694"/>
      <c r="EA70" s="694"/>
      <c r="EB70" s="694"/>
      <c r="EC70" s="694"/>
      <c r="ED70" s="694"/>
      <c r="EE70" s="694"/>
      <c r="EF70" s="694"/>
      <c r="EG70" s="694"/>
      <c r="EH70" s="694"/>
      <c r="EI70" s="694"/>
      <c r="EJ70" s="694"/>
      <c r="EK70" s="694"/>
      <c r="EL70" s="694"/>
      <c r="EM70" s="694"/>
      <c r="EN70" s="694"/>
      <c r="EO70" s="694"/>
      <c r="EP70" s="694"/>
      <c r="EQ70" s="694"/>
      <c r="ER70" s="694"/>
      <c r="ES70" s="694"/>
      <c r="ET70" s="694"/>
      <c r="EU70" s="694"/>
      <c r="EV70" s="694"/>
      <c r="EW70" s="694"/>
      <c r="EX70" s="694"/>
      <c r="EY70" s="694"/>
      <c r="EZ70" s="694"/>
      <c r="FA70" s="694"/>
      <c r="FB70" s="694"/>
      <c r="FC70" s="694"/>
      <c r="FD70" s="694"/>
      <c r="FE70" s="694"/>
      <c r="FF70" s="694"/>
      <c r="FG70" s="694"/>
      <c r="FH70" s="694"/>
      <c r="FI70" s="694"/>
      <c r="FJ70" s="694"/>
      <c r="FK70" s="694"/>
      <c r="FL70" s="694"/>
      <c r="FM70" s="694"/>
      <c r="FN70" s="694"/>
      <c r="FO70" s="694"/>
      <c r="FP70" s="694"/>
      <c r="FQ70" s="694"/>
      <c r="FR70" s="694"/>
      <c r="FS70" s="694"/>
      <c r="FT70" s="694"/>
      <c r="FU70" s="694"/>
      <c r="FV70" s="694"/>
      <c r="FW70" s="694"/>
      <c r="FX70" s="694"/>
      <c r="FY70" s="694"/>
      <c r="FZ70" s="694"/>
      <c r="GA70" s="694"/>
      <c r="GB70" s="694"/>
      <c r="GC70" s="694"/>
      <c r="GD70" s="694"/>
      <c r="GE70" s="694"/>
      <c r="GF70" s="694"/>
      <c r="GG70" s="694"/>
      <c r="GH70" s="694"/>
      <c r="GI70" s="694"/>
      <c r="GJ70" s="694"/>
      <c r="GK70" s="694"/>
      <c r="GL70" s="694"/>
      <c r="GM70" s="694"/>
      <c r="GN70" s="694"/>
      <c r="GO70" s="694"/>
      <c r="GP70" s="694"/>
      <c r="GQ70" s="694"/>
      <c r="GR70" s="694"/>
      <c r="GS70" s="694"/>
      <c r="GT70" s="694"/>
      <c r="GU70" s="694"/>
      <c r="GV70" s="694"/>
      <c r="GW70" s="694"/>
      <c r="GX70" s="694"/>
      <c r="GY70" s="694"/>
      <c r="GZ70" s="694"/>
      <c r="HA70" s="694"/>
      <c r="HB70" s="694"/>
      <c r="HC70" s="694"/>
      <c r="HD70" s="694"/>
      <c r="HE70" s="694"/>
      <c r="HF70" s="694"/>
      <c r="HG70" s="694"/>
      <c r="HH70" s="694"/>
      <c r="HI70" s="694"/>
      <c r="HJ70" s="694"/>
      <c r="HK70" s="694"/>
      <c r="HL70" s="694"/>
      <c r="HM70" s="694"/>
      <c r="HN70" s="694"/>
      <c r="HO70" s="694"/>
      <c r="HP70" s="694"/>
      <c r="HQ70" s="694"/>
      <c r="HR70" s="694"/>
      <c r="HS70" s="694"/>
      <c r="HT70" s="694"/>
      <c r="HU70" s="694"/>
      <c r="HV70" s="694"/>
      <c r="HW70" s="694"/>
      <c r="HX70" s="694"/>
      <c r="HY70" s="694"/>
      <c r="HZ70" s="694"/>
      <c r="IA70" s="694"/>
      <c r="IB70" s="694"/>
      <c r="IC70" s="694"/>
      <c r="ID70" s="694"/>
      <c r="IE70" s="694"/>
      <c r="IF70" s="694"/>
      <c r="IG70" s="694"/>
      <c r="IH70" s="694"/>
      <c r="II70" s="694"/>
      <c r="IJ70" s="694"/>
      <c r="IK70" s="694"/>
      <c r="IL70" s="694"/>
      <c r="IM70" s="694"/>
      <c r="IN70" s="694"/>
      <c r="IO70" s="694"/>
      <c r="IP70" s="694"/>
      <c r="IQ70" s="694"/>
      <c r="IR70" s="694"/>
      <c r="IS70" s="694"/>
      <c r="IT70" s="694"/>
      <c r="IU70" s="694"/>
      <c r="IV70" s="694"/>
      <c r="IW70" s="694"/>
    </row>
    <row r="72" customFormat="false" ht="12.75" hidden="false" customHeight="false" outlineLevel="0" collapsed="false">
      <c r="B72" s="686" t="s">
        <v>320</v>
      </c>
      <c r="C72" s="699" t="n">
        <f aca="false">C58+C59</f>
        <v>0</v>
      </c>
      <c r="D72" s="699" t="n">
        <f aca="false">D58+D59</f>
        <v>12811356.7177047</v>
      </c>
      <c r="E72" s="699" t="n">
        <f aca="false">E58+E59</f>
        <v>12811356.7177047</v>
      </c>
      <c r="F72" s="699" t="n">
        <f aca="false">F58+F59</f>
        <v>12811356.7177047</v>
      </c>
      <c r="G72" s="699" t="n">
        <f aca="false">G58+G59</f>
        <v>12811356.7177047</v>
      </c>
      <c r="H72" s="699" t="n">
        <f aca="false">H58+H59</f>
        <v>12811356.7177047</v>
      </c>
      <c r="I72" s="699" t="n">
        <f aca="false">I58+I59</f>
        <v>12811356.7177047</v>
      </c>
      <c r="J72" s="699" t="n">
        <f aca="false">J58+J59</f>
        <v>12811356.7177047</v>
      </c>
      <c r="K72" s="699" t="n">
        <f aca="false">K58+K59</f>
        <v>12811356.7177047</v>
      </c>
      <c r="L72" s="699" t="n">
        <f aca="false">L58+L59</f>
        <v>12811356.7177047</v>
      </c>
      <c r="M72" s="699" t="n">
        <f aca="false">M58+M59</f>
        <v>12811356.7177047</v>
      </c>
      <c r="N72" s="699" t="n">
        <f aca="false">N58+N59</f>
        <v>12811356.7177047</v>
      </c>
      <c r="O72" s="699" t="n">
        <f aca="false">O58+O59</f>
        <v>12811356.7177047</v>
      </c>
      <c r="P72" s="699" t="n">
        <f aca="false">P58+P59</f>
        <v>12811356.7177047</v>
      </c>
      <c r="Q72" s="699" t="n">
        <f aca="false">Q58+Q59</f>
        <v>12811356.7177047</v>
      </c>
      <c r="R72" s="699" t="n">
        <f aca="false">R58+R59</f>
        <v>12811356.7177047</v>
      </c>
      <c r="S72" s="699" t="n">
        <f aca="false">S58+S59</f>
        <v>12811356.7177047</v>
      </c>
      <c r="T72" s="699" t="n">
        <f aca="false">T58+T59</f>
        <v>12786019.8471379</v>
      </c>
      <c r="U72" s="699" t="n">
        <f aca="false">U58+U59</f>
        <v>12777574.2236156</v>
      </c>
      <c r="V72" s="699" t="n">
        <f aca="false">V58+V59</f>
        <v>12743681.7465702</v>
      </c>
      <c r="W72" s="699" t="n">
        <f aca="false">W58+W59</f>
        <v>12709679.2834372</v>
      </c>
      <c r="X72" s="700" t="n">
        <f aca="false">SUM(C72:W72)</f>
        <v>255998662.584037</v>
      </c>
    </row>
    <row r="73" customFormat="false" ht="12.75" hidden="false" customHeight="false" outlineLevel="0" collapsed="false">
      <c r="B73" s="646" t="s">
        <v>321</v>
      </c>
      <c r="C73" s="701" t="n">
        <v>0</v>
      </c>
      <c r="D73" s="702" t="n">
        <v>12429680</v>
      </c>
      <c r="E73" s="702" t="n">
        <v>11845460</v>
      </c>
      <c r="F73" s="702" t="n">
        <v>12385070</v>
      </c>
      <c r="G73" s="702" t="n">
        <v>12580750</v>
      </c>
      <c r="H73" s="702" t="n">
        <v>8796670</v>
      </c>
      <c r="I73" s="702" t="n">
        <v>11822750</v>
      </c>
      <c r="J73" s="702" t="n">
        <v>15258270</v>
      </c>
      <c r="K73" s="702" t="n">
        <v>15473600</v>
      </c>
      <c r="L73" s="702" t="n">
        <v>14041870</v>
      </c>
      <c r="M73" s="702" t="n">
        <v>13144120</v>
      </c>
      <c r="N73" s="702" t="n">
        <v>11808180</v>
      </c>
      <c r="O73" s="702" t="n">
        <v>10957680</v>
      </c>
      <c r="P73" s="702" t="n">
        <v>9668990</v>
      </c>
      <c r="Q73" s="702" t="n">
        <v>8427560</v>
      </c>
      <c r="R73" s="702" t="n">
        <v>6786420.00000002</v>
      </c>
      <c r="S73" s="702" t="n">
        <v>0</v>
      </c>
      <c r="T73" s="702" t="n">
        <v>0</v>
      </c>
      <c r="U73" s="702" t="n">
        <v>0</v>
      </c>
      <c r="V73" s="702" t="n">
        <v>0</v>
      </c>
      <c r="W73" s="702" t="n">
        <v>0</v>
      </c>
      <c r="X73" s="703" t="n">
        <f aca="false">SUM(C73:W73)</f>
        <v>175427070</v>
      </c>
    </row>
    <row r="74" customFormat="false" ht="12.75" hidden="false" customHeight="false" outlineLevel="0" collapsed="false">
      <c r="B74" s="675" t="s">
        <v>159</v>
      </c>
      <c r="C74" s="673" t="n">
        <f aca="false">C72-C73</f>
        <v>0</v>
      </c>
      <c r="D74" s="673" t="n">
        <f aca="false">D72-D73</f>
        <v>381676.717704743</v>
      </c>
      <c r="E74" s="673" t="n">
        <f aca="false">E72-E73</f>
        <v>965896.717704743</v>
      </c>
      <c r="F74" s="673" t="n">
        <f aca="false">F72-F73</f>
        <v>426286.717704743</v>
      </c>
      <c r="G74" s="673" t="n">
        <f aca="false">G72-G73</f>
        <v>230606.717704743</v>
      </c>
      <c r="H74" s="673" t="n">
        <f aca="false">H72-H73</f>
        <v>4014686.71770474</v>
      </c>
      <c r="I74" s="673" t="n">
        <f aca="false">I72-I73</f>
        <v>988606.717704743</v>
      </c>
      <c r="J74" s="673" t="n">
        <f aca="false">J72-J73</f>
        <v>-2446913.28229526</v>
      </c>
      <c r="K74" s="673" t="n">
        <f aca="false">K72-K73</f>
        <v>-2662243.28229526</v>
      </c>
      <c r="L74" s="673" t="n">
        <f aca="false">L72-L73</f>
        <v>-1230513.28229526</v>
      </c>
      <c r="M74" s="673" t="n">
        <f aca="false">M72-M73</f>
        <v>-332763.282295257</v>
      </c>
      <c r="N74" s="673" t="n">
        <f aca="false">N72-N73</f>
        <v>1003176.71770474</v>
      </c>
      <c r="O74" s="673" t="n">
        <f aca="false">O72-O73</f>
        <v>1853676.71770474</v>
      </c>
      <c r="P74" s="673" t="n">
        <f aca="false">P72-P73</f>
        <v>3142366.71770474</v>
      </c>
      <c r="Q74" s="673" t="n">
        <f aca="false">Q72-Q73</f>
        <v>4383796.71770474</v>
      </c>
      <c r="R74" s="673" t="n">
        <f aca="false">R72-R73</f>
        <v>6024936.71770473</v>
      </c>
      <c r="S74" s="673" t="n">
        <f aca="false">S72-S73</f>
        <v>12811356.7177047</v>
      </c>
      <c r="T74" s="673" t="n">
        <f aca="false">T72-T73</f>
        <v>12786019.8471379</v>
      </c>
      <c r="U74" s="673" t="n">
        <f aca="false">U72-U73</f>
        <v>12777574.2236156</v>
      </c>
      <c r="V74" s="673" t="n">
        <f aca="false">V72-V73</f>
        <v>12743681.7465702</v>
      </c>
      <c r="W74" s="673" t="n">
        <f aca="false">W72-W73</f>
        <v>12709679.2834372</v>
      </c>
      <c r="X74" s="669" t="n">
        <f aca="false">X72-X73</f>
        <v>80571592.5840368</v>
      </c>
    </row>
    <row r="75" customFormat="false" ht="12.75" hidden="false" customHeight="false" outlineLevel="0" collapsed="false">
      <c r="A75" s="624"/>
      <c r="B75" s="624"/>
      <c r="C75" s="624"/>
      <c r="D75" s="624"/>
      <c r="E75" s="624"/>
      <c r="F75" s="624"/>
      <c r="G75" s="624"/>
      <c r="H75" s="624"/>
      <c r="I75" s="624"/>
      <c r="J75" s="624"/>
      <c r="K75" s="624"/>
      <c r="L75" s="624"/>
      <c r="M75" s="624"/>
      <c r="N75" s="624"/>
      <c r="O75" s="624"/>
      <c r="P75" s="624"/>
      <c r="Q75" s="624"/>
      <c r="R75" s="624"/>
      <c r="S75" s="624"/>
      <c r="T75" s="624"/>
      <c r="U75" s="624"/>
      <c r="V75" s="624"/>
      <c r="W75" s="624"/>
      <c r="X75" s="624"/>
      <c r="Y75" s="624"/>
      <c r="Z75" s="624"/>
      <c r="AA75" s="624"/>
      <c r="AB75" s="624"/>
      <c r="AC75" s="624"/>
      <c r="AD75" s="624"/>
      <c r="AE75" s="624"/>
      <c r="AF75" s="624"/>
      <c r="AG75" s="624"/>
      <c r="AH75" s="624"/>
      <c r="AI75" s="624"/>
      <c r="AJ75" s="624"/>
      <c r="AK75" s="624"/>
      <c r="AL75" s="624"/>
      <c r="AM75" s="624"/>
      <c r="AN75" s="624"/>
      <c r="AO75" s="624"/>
      <c r="AP75" s="624"/>
      <c r="AQ75" s="624"/>
      <c r="AR75" s="624"/>
      <c r="AS75" s="624"/>
      <c r="AT75" s="624"/>
      <c r="AU75" s="624"/>
      <c r="AV75" s="624"/>
      <c r="AW75" s="624"/>
      <c r="AX75" s="624"/>
      <c r="AY75" s="624"/>
      <c r="AZ75" s="624"/>
      <c r="BA75" s="624"/>
      <c r="BB75" s="624"/>
      <c r="BC75" s="624"/>
      <c r="BD75" s="624"/>
      <c r="BE75" s="624"/>
      <c r="BF75" s="624"/>
      <c r="BG75" s="624"/>
      <c r="BH75" s="624"/>
      <c r="BI75" s="624"/>
      <c r="BJ75" s="624"/>
      <c r="BK75" s="624"/>
      <c r="BL75" s="624"/>
      <c r="BM75" s="624"/>
      <c r="BN75" s="624"/>
      <c r="BO75" s="624"/>
      <c r="BP75" s="624"/>
      <c r="BQ75" s="624"/>
      <c r="BR75" s="624"/>
      <c r="BS75" s="624"/>
      <c r="BT75" s="624"/>
      <c r="BU75" s="624"/>
      <c r="BV75" s="624"/>
      <c r="BW75" s="624"/>
      <c r="BX75" s="624"/>
      <c r="BY75" s="624"/>
      <c r="BZ75" s="624"/>
      <c r="CA75" s="624"/>
      <c r="CB75" s="624"/>
      <c r="CC75" s="624"/>
      <c r="CD75" s="624"/>
      <c r="CE75" s="624"/>
      <c r="CF75" s="624"/>
      <c r="CG75" s="624"/>
      <c r="CH75" s="624"/>
      <c r="CI75" s="624"/>
      <c r="CJ75" s="624"/>
      <c r="CK75" s="624"/>
      <c r="CL75" s="624"/>
      <c r="CM75" s="624"/>
      <c r="CN75" s="624"/>
      <c r="CO75" s="624"/>
      <c r="CP75" s="624"/>
      <c r="CQ75" s="624"/>
      <c r="CR75" s="624"/>
      <c r="CS75" s="624"/>
      <c r="CT75" s="624"/>
      <c r="CU75" s="624"/>
      <c r="CV75" s="624"/>
      <c r="CW75" s="624"/>
      <c r="CX75" s="624"/>
      <c r="CY75" s="624"/>
      <c r="CZ75" s="624"/>
      <c r="DA75" s="624"/>
      <c r="DB75" s="624"/>
      <c r="DC75" s="624"/>
      <c r="DD75" s="624"/>
      <c r="DE75" s="624"/>
      <c r="DF75" s="624"/>
      <c r="DG75" s="624"/>
      <c r="DH75" s="624"/>
      <c r="DI75" s="624"/>
      <c r="DJ75" s="624"/>
      <c r="DK75" s="624"/>
      <c r="DL75" s="624"/>
      <c r="DM75" s="624"/>
      <c r="DN75" s="624"/>
      <c r="DO75" s="624"/>
      <c r="DP75" s="624"/>
      <c r="DQ75" s="624"/>
      <c r="DR75" s="624"/>
      <c r="DS75" s="624"/>
      <c r="DT75" s="624"/>
      <c r="DU75" s="624"/>
      <c r="DV75" s="624"/>
      <c r="DW75" s="624"/>
      <c r="DX75" s="624"/>
      <c r="DY75" s="624"/>
      <c r="DZ75" s="624"/>
      <c r="EA75" s="624"/>
      <c r="EB75" s="624"/>
      <c r="EC75" s="624"/>
      <c r="ED75" s="624"/>
      <c r="EE75" s="624"/>
      <c r="EF75" s="624"/>
      <c r="EG75" s="624"/>
      <c r="EH75" s="624"/>
      <c r="EI75" s="624"/>
      <c r="EJ75" s="624"/>
      <c r="EK75" s="624"/>
      <c r="EL75" s="624"/>
      <c r="EM75" s="624"/>
      <c r="EN75" s="624"/>
      <c r="EO75" s="624"/>
      <c r="EP75" s="624"/>
      <c r="EQ75" s="624"/>
      <c r="ER75" s="624"/>
      <c r="ES75" s="624"/>
      <c r="ET75" s="624"/>
      <c r="EU75" s="624"/>
      <c r="EV75" s="624"/>
      <c r="EW75" s="624"/>
      <c r="EX75" s="624"/>
      <c r="EY75" s="624"/>
      <c r="EZ75" s="624"/>
      <c r="FA75" s="624"/>
      <c r="FB75" s="624"/>
      <c r="FC75" s="624"/>
      <c r="FD75" s="624"/>
      <c r="FE75" s="624"/>
      <c r="FF75" s="624"/>
      <c r="FG75" s="624"/>
      <c r="FH75" s="624"/>
      <c r="FI75" s="624"/>
      <c r="FJ75" s="624"/>
      <c r="FK75" s="624"/>
      <c r="FL75" s="624"/>
      <c r="FM75" s="624"/>
      <c r="FN75" s="624"/>
      <c r="FO75" s="624"/>
      <c r="FP75" s="624"/>
      <c r="FQ75" s="624"/>
      <c r="FR75" s="624"/>
      <c r="FS75" s="624"/>
      <c r="FT75" s="624"/>
      <c r="FU75" s="624"/>
      <c r="FV75" s="624"/>
      <c r="FW75" s="624"/>
      <c r="FX75" s="624"/>
      <c r="FY75" s="624"/>
      <c r="FZ75" s="624"/>
      <c r="GA75" s="624"/>
      <c r="GB75" s="624"/>
      <c r="GC75" s="624"/>
      <c r="GD75" s="624"/>
      <c r="GE75" s="624"/>
      <c r="GF75" s="624"/>
      <c r="GG75" s="624"/>
      <c r="GH75" s="624"/>
      <c r="GI75" s="624"/>
      <c r="GJ75" s="624"/>
      <c r="GK75" s="624"/>
      <c r="GL75" s="624"/>
      <c r="GM75" s="624"/>
      <c r="GN75" s="624"/>
      <c r="GO75" s="624"/>
      <c r="GP75" s="624"/>
      <c r="GQ75" s="624"/>
      <c r="GR75" s="624"/>
      <c r="GS75" s="624"/>
      <c r="GT75" s="624"/>
      <c r="GU75" s="624"/>
      <c r="GV75" s="624"/>
      <c r="GW75" s="624"/>
      <c r="GX75" s="624"/>
      <c r="GY75" s="624"/>
      <c r="GZ75" s="624"/>
      <c r="HA75" s="624"/>
      <c r="HB75" s="624"/>
      <c r="HC75" s="624"/>
      <c r="HD75" s="624"/>
      <c r="HE75" s="624"/>
      <c r="HF75" s="624"/>
      <c r="HG75" s="624"/>
      <c r="HH75" s="624"/>
      <c r="HI75" s="624"/>
      <c r="HJ75" s="624"/>
      <c r="HK75" s="624"/>
      <c r="HL75" s="624"/>
      <c r="HM75" s="624"/>
      <c r="HN75" s="624"/>
      <c r="HO75" s="624"/>
      <c r="HP75" s="624"/>
      <c r="HQ75" s="624"/>
      <c r="HR75" s="624"/>
      <c r="HS75" s="624"/>
      <c r="HT75" s="624"/>
      <c r="HU75" s="624"/>
      <c r="HV75" s="624"/>
      <c r="HW75" s="624"/>
      <c r="HX75" s="624"/>
      <c r="HY75" s="624"/>
      <c r="HZ75" s="624"/>
      <c r="IA75" s="624"/>
      <c r="IB75" s="624"/>
      <c r="IC75" s="624"/>
      <c r="ID75" s="624"/>
      <c r="IE75" s="624"/>
      <c r="IF75" s="624"/>
      <c r="IG75" s="624"/>
      <c r="IH75" s="624"/>
      <c r="II75" s="624"/>
      <c r="IJ75" s="624"/>
      <c r="IK75" s="624"/>
      <c r="IL75" s="624"/>
      <c r="IM75" s="624"/>
      <c r="IN75" s="624"/>
      <c r="IO75" s="624"/>
      <c r="IP75" s="624"/>
      <c r="IQ75" s="624"/>
      <c r="IR75" s="624"/>
      <c r="IS75" s="624"/>
      <c r="IT75" s="624"/>
      <c r="IU75" s="624"/>
      <c r="IV75" s="624"/>
      <c r="IW75" s="624"/>
    </row>
    <row r="76" customFormat="false" ht="12.75" hidden="false" customHeight="false" outlineLevel="0" collapsed="false">
      <c r="D76" s="625"/>
      <c r="E76" s="625"/>
      <c r="F76" s="625"/>
      <c r="G76" s="625"/>
      <c r="H76" s="625"/>
      <c r="I76" s="625"/>
      <c r="J76" s="625"/>
      <c r="K76" s="625"/>
      <c r="L76" s="625"/>
      <c r="M76" s="625"/>
      <c r="N76" s="625"/>
      <c r="O76" s="625"/>
      <c r="P76" s="625"/>
      <c r="Q76" s="625"/>
      <c r="R76" s="625"/>
      <c r="S76" s="625"/>
      <c r="T76" s="625"/>
      <c r="U76" s="625"/>
      <c r="V76" s="625"/>
      <c r="W76" s="625"/>
    </row>
    <row r="77" customFormat="false" ht="12.75" hidden="false" customHeight="false" outlineLevel="0" collapsed="false">
      <c r="D77" s="625"/>
      <c r="E77" s="625"/>
      <c r="F77" s="625"/>
      <c r="G77" s="625"/>
      <c r="H77" s="625"/>
      <c r="I77" s="625"/>
      <c r="J77" s="625"/>
      <c r="K77" s="625"/>
      <c r="L77" s="625"/>
      <c r="M77" s="625"/>
      <c r="N77" s="625"/>
      <c r="O77" s="625"/>
      <c r="P77" s="625"/>
      <c r="Q77" s="625"/>
      <c r="R77" s="625"/>
      <c r="S77" s="625"/>
      <c r="T77" s="625"/>
      <c r="U77" s="625"/>
      <c r="V77" s="625"/>
      <c r="W77" s="625"/>
    </row>
  </sheetData>
  <printOptions headings="false" gridLines="false" gridLinesSet="true" horizontalCentered="true" verticalCentered="true"/>
  <pageMargins left="0.1" right="0.1" top="0.5" bottom="0.1" header="0.1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&amp;C&amp;"Arial,Bold"&amp;16Exhibit A (Comparative Income and Cash Flow Statement, and Coverage Analysis)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8" width="1.7"/>
    <col collapsed="false" customWidth="true" hidden="false" outlineLevel="0" max="2" min="2" style="149" width="10.85"/>
    <col collapsed="false" customWidth="true" hidden="false" outlineLevel="0" max="3" min="3" style="148" width="22.42"/>
    <col collapsed="false" customWidth="true" hidden="false" outlineLevel="0" max="4" min="4" style="148" width="1.7"/>
    <col collapsed="false" customWidth="true" hidden="false" outlineLevel="0" max="5" min="5" style="150" width="14.28"/>
    <col collapsed="false" customWidth="true" hidden="false" outlineLevel="0" max="6" min="6" style="148" width="1.7"/>
    <col collapsed="false" customWidth="true" hidden="false" outlineLevel="0" max="7" min="7" style="148" width="12.7"/>
    <col collapsed="false" customWidth="true" hidden="false" outlineLevel="0" max="8" min="8" style="148" width="1.7"/>
    <col collapsed="false" customWidth="true" hidden="false" outlineLevel="0" max="9" min="9" style="148" width="12.7"/>
    <col collapsed="false" customWidth="true" hidden="false" outlineLevel="0" max="10" min="10" style="148" width="1.7"/>
    <col collapsed="false" customWidth="true" hidden="false" outlineLevel="0" max="11" min="11" style="148" width="15.41"/>
    <col collapsed="false" customWidth="true" hidden="false" outlineLevel="0" max="12" min="12" style="148" width="1.7"/>
    <col collapsed="false" customWidth="true" hidden="false" outlineLevel="0" max="13" min="13" style="151" width="10.28"/>
    <col collapsed="false" customWidth="false" hidden="false" outlineLevel="0" max="14" min="14" style="151" width="9.14"/>
    <col collapsed="false" customWidth="false" hidden="false" outlineLevel="0" max="257" min="15" style="148" width="9.14"/>
  </cols>
  <sheetData>
    <row r="1" customFormat="false" ht="12.75" hidden="false" customHeight="false" outlineLevel="0" collapsed="false">
      <c r="A1" s="152"/>
      <c r="B1" s="153"/>
      <c r="C1" s="154"/>
      <c r="D1" s="152"/>
      <c r="E1" s="155"/>
      <c r="F1" s="152"/>
      <c r="G1" s="152"/>
      <c r="H1" s="152"/>
      <c r="I1" s="152"/>
      <c r="J1" s="152"/>
      <c r="K1" s="152"/>
      <c r="L1" s="152"/>
      <c r="M1" s="156"/>
      <c r="N1" s="156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2"/>
      <c r="CJ1" s="152"/>
      <c r="CK1" s="152"/>
      <c r="CL1" s="152"/>
      <c r="CM1" s="152"/>
      <c r="CN1" s="152"/>
      <c r="CO1" s="152"/>
      <c r="CP1" s="152"/>
      <c r="CQ1" s="152"/>
      <c r="CR1" s="152"/>
      <c r="CS1" s="152"/>
      <c r="CT1" s="152"/>
      <c r="CU1" s="152"/>
      <c r="CV1" s="152"/>
      <c r="CW1" s="152"/>
      <c r="CX1" s="152"/>
      <c r="CY1" s="152"/>
      <c r="CZ1" s="152"/>
      <c r="DA1" s="152"/>
      <c r="DB1" s="152"/>
      <c r="DC1" s="152"/>
      <c r="DD1" s="152"/>
      <c r="DE1" s="152"/>
      <c r="DF1" s="152"/>
      <c r="DG1" s="152"/>
      <c r="DH1" s="152"/>
      <c r="DI1" s="152"/>
      <c r="DJ1" s="152"/>
      <c r="DK1" s="152"/>
      <c r="DL1" s="152"/>
      <c r="DM1" s="152"/>
      <c r="DN1" s="152"/>
      <c r="DO1" s="152"/>
      <c r="DP1" s="152"/>
      <c r="DQ1" s="152"/>
      <c r="DR1" s="152"/>
      <c r="DS1" s="152"/>
      <c r="DT1" s="152"/>
      <c r="DU1" s="152"/>
      <c r="DV1" s="152"/>
      <c r="DW1" s="152"/>
      <c r="DX1" s="152"/>
      <c r="DY1" s="152"/>
      <c r="DZ1" s="152"/>
      <c r="EA1" s="152"/>
      <c r="EB1" s="152"/>
      <c r="EC1" s="152"/>
      <c r="ED1" s="152"/>
      <c r="EE1" s="152"/>
      <c r="EF1" s="152"/>
      <c r="EG1" s="152"/>
      <c r="EH1" s="152"/>
      <c r="EI1" s="152"/>
      <c r="EJ1" s="152"/>
      <c r="EK1" s="152"/>
      <c r="EL1" s="152"/>
      <c r="EM1" s="152"/>
      <c r="EN1" s="152"/>
      <c r="EO1" s="152"/>
      <c r="EP1" s="152"/>
      <c r="EQ1" s="152"/>
      <c r="ER1" s="152"/>
      <c r="ES1" s="152"/>
      <c r="ET1" s="152"/>
      <c r="EU1" s="152"/>
      <c r="EV1" s="152"/>
      <c r="EW1" s="152"/>
      <c r="EX1" s="152"/>
      <c r="EY1" s="152"/>
      <c r="EZ1" s="152"/>
      <c r="FA1" s="152"/>
      <c r="FB1" s="152"/>
      <c r="FC1" s="152"/>
      <c r="FD1" s="152"/>
      <c r="FE1" s="152"/>
      <c r="FF1" s="152"/>
      <c r="FG1" s="152"/>
      <c r="FH1" s="152"/>
      <c r="FI1" s="152"/>
      <c r="FJ1" s="152"/>
      <c r="FK1" s="152"/>
      <c r="FL1" s="152"/>
      <c r="FM1" s="152"/>
      <c r="FN1" s="152"/>
      <c r="FO1" s="152"/>
      <c r="FP1" s="152"/>
      <c r="FQ1" s="152"/>
      <c r="FR1" s="152"/>
      <c r="FS1" s="152"/>
      <c r="FT1" s="152"/>
      <c r="FU1" s="152"/>
      <c r="FV1" s="152"/>
      <c r="FW1" s="152"/>
      <c r="FX1" s="152"/>
      <c r="FY1" s="152"/>
      <c r="FZ1" s="152"/>
      <c r="GA1" s="152"/>
      <c r="GB1" s="152"/>
      <c r="GC1" s="152"/>
      <c r="GD1" s="152"/>
      <c r="GE1" s="152"/>
      <c r="GF1" s="152"/>
      <c r="GG1" s="152"/>
      <c r="GH1" s="152"/>
      <c r="GI1" s="152"/>
      <c r="GJ1" s="152"/>
      <c r="GK1" s="152"/>
      <c r="GL1" s="152"/>
      <c r="GM1" s="152"/>
      <c r="GN1" s="152"/>
      <c r="GO1" s="152"/>
      <c r="GP1" s="152"/>
      <c r="GQ1" s="152"/>
      <c r="GR1" s="152"/>
      <c r="GS1" s="152"/>
      <c r="GT1" s="152"/>
      <c r="GU1" s="152"/>
      <c r="GV1" s="152"/>
      <c r="GW1" s="152"/>
      <c r="GX1" s="152"/>
      <c r="GY1" s="152"/>
      <c r="GZ1" s="152"/>
      <c r="HA1" s="152"/>
      <c r="HB1" s="152"/>
      <c r="HC1" s="152"/>
      <c r="HD1" s="152"/>
      <c r="HE1" s="152"/>
      <c r="HF1" s="152"/>
      <c r="HG1" s="152"/>
      <c r="HH1" s="152"/>
      <c r="HI1" s="152"/>
      <c r="HJ1" s="152"/>
      <c r="HK1" s="152"/>
      <c r="HL1" s="152"/>
      <c r="HM1" s="152"/>
      <c r="HN1" s="152"/>
      <c r="HO1" s="152"/>
      <c r="HP1" s="152"/>
      <c r="HQ1" s="152"/>
      <c r="HR1" s="152"/>
      <c r="HS1" s="152"/>
      <c r="HT1" s="152"/>
      <c r="HU1" s="152"/>
      <c r="HV1" s="152"/>
      <c r="HW1" s="152"/>
      <c r="HX1" s="152"/>
      <c r="HY1" s="152"/>
      <c r="HZ1" s="152"/>
      <c r="IA1" s="152"/>
      <c r="IB1" s="152"/>
      <c r="IC1" s="152"/>
      <c r="ID1" s="152"/>
      <c r="IE1" s="152"/>
      <c r="IF1" s="152"/>
      <c r="IG1" s="152"/>
      <c r="IH1" s="152"/>
      <c r="II1" s="152"/>
      <c r="IJ1" s="152"/>
      <c r="IK1" s="152"/>
      <c r="IL1" s="152"/>
      <c r="IM1" s="152"/>
      <c r="IN1" s="152"/>
      <c r="IO1" s="152"/>
      <c r="IP1" s="152"/>
      <c r="IQ1" s="152"/>
      <c r="IR1" s="152"/>
      <c r="IS1" s="152"/>
      <c r="IT1" s="152"/>
      <c r="IU1" s="152"/>
      <c r="IV1" s="152"/>
      <c r="IW1" s="152"/>
    </row>
    <row r="2" customFormat="false" ht="12.75" hidden="false" customHeight="false" outlineLevel="0" collapsed="false">
      <c r="A2" s="152"/>
      <c r="B2" s="153"/>
      <c r="C2" s="152" t="s">
        <v>65</v>
      </c>
      <c r="D2" s="152"/>
      <c r="E2" s="152"/>
      <c r="F2" s="152"/>
      <c r="G2" s="152"/>
      <c r="H2" s="152"/>
      <c r="I2" s="152"/>
      <c r="J2" s="152"/>
      <c r="K2" s="157"/>
      <c r="L2" s="152"/>
      <c r="M2" s="158"/>
      <c r="N2" s="159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  <c r="BM2" s="152"/>
      <c r="BN2" s="152"/>
      <c r="BO2" s="152"/>
      <c r="BP2" s="152"/>
      <c r="BQ2" s="152"/>
      <c r="BR2" s="152"/>
      <c r="BS2" s="152"/>
      <c r="BT2" s="152"/>
      <c r="BU2" s="152"/>
      <c r="BV2" s="152"/>
      <c r="BW2" s="152"/>
      <c r="BX2" s="152"/>
      <c r="BY2" s="152"/>
      <c r="BZ2" s="152"/>
      <c r="CA2" s="152"/>
      <c r="CB2" s="152"/>
      <c r="CC2" s="152"/>
      <c r="CD2" s="152"/>
      <c r="CE2" s="152"/>
      <c r="CF2" s="152"/>
      <c r="CG2" s="152"/>
      <c r="CH2" s="152"/>
      <c r="CI2" s="152"/>
      <c r="CJ2" s="152"/>
      <c r="CK2" s="152"/>
      <c r="CL2" s="152"/>
      <c r="CM2" s="152"/>
      <c r="CN2" s="152"/>
      <c r="CO2" s="152"/>
      <c r="CP2" s="152"/>
      <c r="CQ2" s="152"/>
      <c r="CR2" s="152"/>
      <c r="CS2" s="152"/>
      <c r="CT2" s="152"/>
      <c r="CU2" s="152"/>
      <c r="CV2" s="152"/>
      <c r="CW2" s="152"/>
      <c r="CX2" s="152"/>
      <c r="CY2" s="152"/>
      <c r="CZ2" s="152"/>
      <c r="DA2" s="152"/>
      <c r="DB2" s="152"/>
      <c r="DC2" s="152"/>
      <c r="DD2" s="152"/>
      <c r="DE2" s="152"/>
      <c r="DF2" s="152"/>
      <c r="DG2" s="152"/>
      <c r="DH2" s="152"/>
      <c r="DI2" s="152"/>
      <c r="DJ2" s="152"/>
      <c r="DK2" s="152"/>
      <c r="DL2" s="152"/>
      <c r="DM2" s="152"/>
      <c r="DN2" s="152"/>
      <c r="DO2" s="152"/>
      <c r="DP2" s="152"/>
      <c r="DQ2" s="152"/>
      <c r="DR2" s="152"/>
      <c r="DS2" s="152"/>
      <c r="DT2" s="152"/>
      <c r="DU2" s="152"/>
      <c r="DV2" s="152"/>
      <c r="DW2" s="152"/>
      <c r="DX2" s="152"/>
      <c r="DY2" s="152"/>
      <c r="DZ2" s="152"/>
      <c r="EA2" s="152"/>
      <c r="EB2" s="152"/>
      <c r="EC2" s="152"/>
      <c r="ED2" s="152"/>
      <c r="EE2" s="152"/>
      <c r="EF2" s="152"/>
      <c r="EG2" s="152"/>
      <c r="EH2" s="152"/>
      <c r="EI2" s="152"/>
      <c r="EJ2" s="152"/>
      <c r="EK2" s="152"/>
      <c r="EL2" s="152"/>
      <c r="EM2" s="152"/>
      <c r="EN2" s="152"/>
      <c r="EO2" s="152"/>
      <c r="EP2" s="152"/>
      <c r="EQ2" s="152"/>
      <c r="ER2" s="152"/>
      <c r="ES2" s="152"/>
      <c r="ET2" s="152"/>
      <c r="EU2" s="152"/>
      <c r="EV2" s="152"/>
      <c r="EW2" s="152"/>
      <c r="EX2" s="152"/>
      <c r="EY2" s="152"/>
      <c r="EZ2" s="152"/>
      <c r="FA2" s="152"/>
      <c r="FB2" s="152"/>
      <c r="FC2" s="152"/>
      <c r="FD2" s="152"/>
      <c r="FE2" s="152"/>
      <c r="FF2" s="152"/>
      <c r="FG2" s="152"/>
      <c r="FH2" s="152"/>
      <c r="FI2" s="152"/>
      <c r="FJ2" s="152"/>
      <c r="FK2" s="152"/>
      <c r="FL2" s="152"/>
      <c r="FM2" s="152"/>
      <c r="FN2" s="152"/>
      <c r="FO2" s="152"/>
      <c r="FP2" s="152"/>
      <c r="FQ2" s="152"/>
      <c r="FR2" s="152"/>
      <c r="FS2" s="152"/>
      <c r="FT2" s="152"/>
      <c r="FU2" s="152"/>
      <c r="FV2" s="152"/>
      <c r="FW2" s="152"/>
      <c r="FX2" s="152"/>
      <c r="FY2" s="152"/>
      <c r="FZ2" s="152"/>
      <c r="GA2" s="152"/>
      <c r="GB2" s="152"/>
      <c r="GC2" s="152"/>
      <c r="GD2" s="152"/>
      <c r="GE2" s="152"/>
      <c r="GF2" s="152"/>
      <c r="GG2" s="152"/>
      <c r="GH2" s="152"/>
      <c r="GI2" s="152"/>
      <c r="GJ2" s="152"/>
      <c r="GK2" s="152"/>
      <c r="GL2" s="152"/>
      <c r="GM2" s="152"/>
      <c r="GN2" s="152"/>
      <c r="GO2" s="152"/>
      <c r="GP2" s="152"/>
      <c r="GQ2" s="152"/>
      <c r="GR2" s="152"/>
      <c r="GS2" s="152"/>
      <c r="GT2" s="152"/>
      <c r="GU2" s="152"/>
      <c r="GV2" s="152"/>
      <c r="GW2" s="152"/>
      <c r="GX2" s="152"/>
      <c r="GY2" s="152"/>
      <c r="GZ2" s="152"/>
      <c r="HA2" s="152"/>
      <c r="HB2" s="152"/>
      <c r="HC2" s="152"/>
      <c r="HD2" s="152"/>
      <c r="HE2" s="152"/>
      <c r="HF2" s="152"/>
      <c r="HG2" s="152"/>
      <c r="HH2" s="152"/>
      <c r="HI2" s="152"/>
      <c r="HJ2" s="152"/>
      <c r="HK2" s="152"/>
      <c r="HL2" s="152"/>
      <c r="HM2" s="152"/>
      <c r="HN2" s="152"/>
      <c r="HO2" s="152"/>
      <c r="HP2" s="152"/>
      <c r="HQ2" s="152"/>
      <c r="HR2" s="152"/>
      <c r="HS2" s="152"/>
      <c r="HT2" s="152"/>
      <c r="HU2" s="152"/>
      <c r="HV2" s="152"/>
      <c r="HW2" s="152"/>
      <c r="HX2" s="152"/>
      <c r="HY2" s="152"/>
      <c r="HZ2" s="152"/>
      <c r="IA2" s="152"/>
      <c r="IB2" s="152"/>
      <c r="IC2" s="152"/>
      <c r="ID2" s="152"/>
      <c r="IE2" s="152"/>
      <c r="IF2" s="152"/>
      <c r="IG2" s="152"/>
      <c r="IH2" s="152"/>
      <c r="II2" s="152"/>
      <c r="IJ2" s="152"/>
      <c r="IK2" s="152"/>
      <c r="IL2" s="152"/>
      <c r="IM2" s="152"/>
      <c r="IN2" s="152"/>
      <c r="IO2" s="152"/>
      <c r="IP2" s="152"/>
      <c r="IQ2" s="152"/>
      <c r="IR2" s="152"/>
      <c r="IS2" s="152"/>
      <c r="IT2" s="152"/>
      <c r="IU2" s="152"/>
      <c r="IV2" s="152"/>
      <c r="IW2" s="152"/>
    </row>
    <row r="3" customFormat="false" ht="13.5" hidden="false" customHeight="false" outlineLevel="0" collapsed="false">
      <c r="A3" s="152"/>
      <c r="B3" s="160" t="s">
        <v>62</v>
      </c>
      <c r="C3" s="161" t="s">
        <v>66</v>
      </c>
      <c r="D3" s="162"/>
      <c r="E3" s="163" t="s">
        <v>67</v>
      </c>
      <c r="F3" s="162"/>
      <c r="G3" s="162" t="s">
        <v>68</v>
      </c>
      <c r="H3" s="162"/>
      <c r="I3" s="164" t="s">
        <v>69</v>
      </c>
      <c r="J3" s="162"/>
      <c r="K3" s="162" t="s">
        <v>70</v>
      </c>
      <c r="L3" s="152"/>
      <c r="M3" s="165" t="s">
        <v>71</v>
      </c>
      <c r="N3" s="166" t="s">
        <v>72</v>
      </c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152"/>
      <c r="EL3" s="152"/>
      <c r="EM3" s="152"/>
      <c r="EN3" s="152"/>
      <c r="EO3" s="152"/>
      <c r="EP3" s="152"/>
      <c r="EQ3" s="152"/>
      <c r="ER3" s="152"/>
      <c r="ES3" s="152"/>
      <c r="ET3" s="152"/>
      <c r="EU3" s="152"/>
      <c r="EV3" s="152"/>
      <c r="EW3" s="152"/>
      <c r="EX3" s="152"/>
      <c r="EY3" s="152"/>
      <c r="EZ3" s="152"/>
      <c r="FA3" s="152"/>
      <c r="FB3" s="152"/>
      <c r="FC3" s="152"/>
      <c r="FD3" s="152"/>
      <c r="FE3" s="152"/>
      <c r="FF3" s="152"/>
      <c r="FG3" s="152"/>
      <c r="FH3" s="152"/>
      <c r="FI3" s="152"/>
      <c r="FJ3" s="152"/>
      <c r="FK3" s="152"/>
      <c r="FL3" s="152"/>
      <c r="FM3" s="152"/>
      <c r="FN3" s="152"/>
      <c r="FO3" s="152"/>
      <c r="FP3" s="152"/>
      <c r="FQ3" s="152"/>
      <c r="FR3" s="152"/>
      <c r="FS3" s="152"/>
      <c r="FT3" s="152"/>
      <c r="FU3" s="152"/>
      <c r="FV3" s="152"/>
      <c r="FW3" s="152"/>
      <c r="FX3" s="152"/>
      <c r="FY3" s="152"/>
      <c r="FZ3" s="152"/>
      <c r="GA3" s="152"/>
      <c r="GB3" s="152"/>
      <c r="GC3" s="152"/>
      <c r="GD3" s="152"/>
      <c r="GE3" s="152"/>
      <c r="GF3" s="152"/>
      <c r="GG3" s="152"/>
      <c r="GH3" s="152"/>
      <c r="GI3" s="152"/>
      <c r="GJ3" s="152"/>
      <c r="GK3" s="152"/>
      <c r="GL3" s="152"/>
      <c r="GM3" s="152"/>
      <c r="GN3" s="152"/>
      <c r="GO3" s="152"/>
      <c r="GP3" s="152"/>
      <c r="GQ3" s="152"/>
      <c r="GR3" s="152"/>
      <c r="GS3" s="152"/>
      <c r="GT3" s="152"/>
      <c r="GU3" s="152"/>
      <c r="GV3" s="152"/>
      <c r="GW3" s="152"/>
      <c r="GX3" s="152"/>
      <c r="GY3" s="152"/>
      <c r="GZ3" s="152"/>
      <c r="HA3" s="152"/>
      <c r="HB3" s="152"/>
      <c r="HC3" s="152"/>
      <c r="HD3" s="152"/>
      <c r="HE3" s="152"/>
      <c r="HF3" s="152"/>
      <c r="HG3" s="152"/>
      <c r="HH3" s="152"/>
      <c r="HI3" s="152"/>
      <c r="HJ3" s="152"/>
      <c r="HK3" s="152"/>
      <c r="HL3" s="152"/>
      <c r="HM3" s="152"/>
      <c r="HN3" s="152"/>
      <c r="HO3" s="152"/>
      <c r="HP3" s="152"/>
      <c r="HQ3" s="152"/>
      <c r="HR3" s="152"/>
      <c r="HS3" s="152"/>
      <c r="HT3" s="152"/>
      <c r="HU3" s="152"/>
      <c r="HV3" s="152"/>
      <c r="HW3" s="152"/>
      <c r="HX3" s="152"/>
      <c r="HY3" s="152"/>
      <c r="HZ3" s="152"/>
      <c r="IA3" s="152"/>
      <c r="IB3" s="152"/>
      <c r="IC3" s="152"/>
      <c r="ID3" s="152"/>
      <c r="IE3" s="152"/>
      <c r="IF3" s="152"/>
      <c r="IG3" s="152"/>
      <c r="IH3" s="152"/>
      <c r="II3" s="152"/>
      <c r="IJ3" s="152"/>
      <c r="IK3" s="152"/>
      <c r="IL3" s="152"/>
      <c r="IM3" s="152"/>
      <c r="IN3" s="152"/>
      <c r="IO3" s="152"/>
      <c r="IP3" s="152"/>
      <c r="IQ3" s="152"/>
      <c r="IR3" s="152"/>
      <c r="IS3" s="152"/>
      <c r="IT3" s="152"/>
      <c r="IU3" s="152"/>
      <c r="IV3" s="152"/>
      <c r="IW3" s="152"/>
    </row>
    <row r="4" customFormat="false" ht="12.75" hidden="false" customHeight="false" outlineLevel="0" collapsed="false">
      <c r="B4" s="149" t="n">
        <v>36586</v>
      </c>
      <c r="C4" s="167" t="n">
        <f aca="false">VLOOKUP(B4,'Super Peak Curve'!$C$23:$AN$275,38)</f>
        <v>31.196170786047</v>
      </c>
      <c r="E4" s="150" t="n">
        <f aca="false">VLOOKUP(B4,PJM_01212000!$J$7:$AF$230,23)</f>
        <v>1.7</v>
      </c>
      <c r="G4" s="168" t="n">
        <f aca="false">E4/(256)^(1/2)</f>
        <v>0.10625</v>
      </c>
      <c r="H4" s="169"/>
      <c r="I4" s="168" t="n">
        <f aca="false">(G4/(22)^(1/2))</f>
        <v>0.0226525761127836</v>
      </c>
      <c r="K4" s="167" t="n">
        <f aca="false">I4*C4</f>
        <v>0.706673633158326</v>
      </c>
      <c r="M4" s="170" t="n">
        <v>31.2</v>
      </c>
      <c r="N4" s="171" t="n">
        <f aca="false">M4</f>
        <v>31.2</v>
      </c>
    </row>
    <row r="5" customFormat="false" ht="12.75" hidden="false" customHeight="false" outlineLevel="0" collapsed="false">
      <c r="B5" s="149" t="n">
        <f aca="false">PJM_01212000!A39</f>
        <v>36617</v>
      </c>
      <c r="C5" s="167" t="n">
        <f aca="false">VLOOKUP(B5,'Super Peak Curve'!$C$23:$AN$275,38)</f>
        <v>28.8128013106305</v>
      </c>
      <c r="E5" s="150" t="n">
        <f aca="false">VLOOKUP(B5,PJM_01212000!$J$7:$AF$230,23)</f>
        <v>1.75</v>
      </c>
      <c r="G5" s="168" t="n">
        <f aca="false">E5/(256)^(1/2)</f>
        <v>0.109375</v>
      </c>
      <c r="H5" s="169"/>
      <c r="I5" s="168" t="n">
        <f aca="false">(G5/(22)^(1/2))</f>
        <v>0.0233188283513949</v>
      </c>
      <c r="K5" s="167" t="n">
        <f aca="false">I5*C5</f>
        <v>0.671880768085438</v>
      </c>
      <c r="M5" s="170" t="n">
        <v>28.8128013106305</v>
      </c>
      <c r="N5" s="171" t="n">
        <f aca="false">M5</f>
        <v>28.8128013106305</v>
      </c>
    </row>
    <row r="6" customFormat="false" ht="12.75" hidden="false" customHeight="false" outlineLevel="0" collapsed="false">
      <c r="B6" s="149" t="n">
        <f aca="false">PJM_01212000!A40</f>
        <v>36647</v>
      </c>
      <c r="C6" s="167" t="n">
        <f aca="false">VLOOKUP(B6,'Super Peak Curve'!$C$23:$AN$275,38)</f>
        <v>33.7025893808761</v>
      </c>
      <c r="E6" s="150" t="n">
        <f aca="false">VLOOKUP(B6,PJM_01212000!$J$7:$AF$230,23)</f>
        <v>2.25</v>
      </c>
      <c r="G6" s="168" t="n">
        <f aca="false">E6/(256)^(1/2)</f>
        <v>0.140625</v>
      </c>
      <c r="H6" s="169"/>
      <c r="I6" s="168" t="n">
        <f aca="false">(G6/(22)^(1/2))</f>
        <v>0.0299813507375077</v>
      </c>
      <c r="K6" s="167" t="n">
        <f aca="false">I6*C6</f>
        <v>1.01044915299025</v>
      </c>
      <c r="M6" s="170" t="n">
        <v>33.7025893808761</v>
      </c>
      <c r="N6" s="171" t="n">
        <f aca="false">M6</f>
        <v>33.7025893808761</v>
      </c>
    </row>
    <row r="7" customFormat="false" ht="12.75" hidden="false" customHeight="false" outlineLevel="0" collapsed="false">
      <c r="B7" s="149" t="n">
        <f aca="false">PJM_01212000!A41</f>
        <v>36678</v>
      </c>
      <c r="C7" s="167" t="n">
        <f aca="false">VLOOKUP(B7,'Super Peak Curve'!$C$23:$AN$275,38)</f>
        <v>71.6629384912511</v>
      </c>
      <c r="E7" s="150" t="n">
        <f aca="false">VLOOKUP(B7,PJM_01212000!$J$7:$AF$230,23)</f>
        <v>2.9</v>
      </c>
      <c r="G7" s="168" t="n">
        <f aca="false">E7/(256)^(1/2)</f>
        <v>0.18125</v>
      </c>
      <c r="H7" s="169"/>
      <c r="I7" s="168" t="n">
        <f aca="false">(G7/(22)^(1/2))</f>
        <v>0.0386426298394544</v>
      </c>
      <c r="K7" s="167" t="n">
        <f aca="false">I7*C7</f>
        <v>2.769244405325</v>
      </c>
      <c r="M7" s="170" t="n">
        <v>71.6629384912511</v>
      </c>
      <c r="N7" s="171" t="n">
        <f aca="false">M7</f>
        <v>71.6629384912511</v>
      </c>
    </row>
    <row r="8" customFormat="false" ht="12.75" hidden="false" customHeight="false" outlineLevel="0" collapsed="false">
      <c r="B8" s="149" t="n">
        <f aca="false">PJM_01212000!A42</f>
        <v>36708</v>
      </c>
      <c r="C8" s="167" t="n">
        <f aca="false">VLOOKUP(B8,'Super Peak Curve'!$C$23:$AN$275,38)</f>
        <v>136.230572966092</v>
      </c>
      <c r="E8" s="150" t="n">
        <f aca="false">VLOOKUP(B8,PJM_01212000!$J$7:$AF$230,23)</f>
        <v>4.5</v>
      </c>
      <c r="G8" s="168" t="n">
        <f aca="false">E8/(256)^(1/2)</f>
        <v>0.28125</v>
      </c>
      <c r="H8" s="169"/>
      <c r="I8" s="168" t="n">
        <f aca="false">(G8/(22)^(1/2))</f>
        <v>0.0599627014750154</v>
      </c>
      <c r="K8" s="167" t="n">
        <f aca="false">I8*C8</f>
        <v>8.16875317853611</v>
      </c>
      <c r="M8" s="170" t="n">
        <v>136.230572966092</v>
      </c>
      <c r="N8" s="171" t="n">
        <f aca="false">M8</f>
        <v>136.230572966092</v>
      </c>
      <c r="P8" s="172"/>
    </row>
    <row r="9" customFormat="false" ht="12.75" hidden="false" customHeight="false" outlineLevel="0" collapsed="false">
      <c r="B9" s="149" t="n">
        <f aca="false">PJM_01212000!A43</f>
        <v>36739</v>
      </c>
      <c r="C9" s="167" t="n">
        <f aca="false">VLOOKUP(B9,'Super Peak Curve'!$C$23:$AN$275,38)</f>
        <v>111.381095115464</v>
      </c>
      <c r="E9" s="150" t="n">
        <f aca="false">VLOOKUP(B9,PJM_01212000!$J$7:$AF$230,23)</f>
        <v>4.5</v>
      </c>
      <c r="G9" s="168" t="n">
        <f aca="false">E9/(256)^(1/2)</f>
        <v>0.28125</v>
      </c>
      <c r="H9" s="169"/>
      <c r="I9" s="168" t="n">
        <f aca="false">(G9/(22)^(1/2))</f>
        <v>0.0599627014750154</v>
      </c>
      <c r="K9" s="167" t="n">
        <f aca="false">I9*C9</f>
        <v>6.67871135636888</v>
      </c>
      <c r="M9" s="170" t="n">
        <v>111.381095115464</v>
      </c>
      <c r="N9" s="171" t="n">
        <f aca="false">M9</f>
        <v>111.381095115464</v>
      </c>
      <c r="O9" s="173"/>
    </row>
    <row r="10" customFormat="false" ht="12.75" hidden="false" customHeight="false" outlineLevel="0" collapsed="false">
      <c r="B10" s="149" t="n">
        <f aca="false">PJM_01212000!A44</f>
        <v>36770</v>
      </c>
      <c r="C10" s="167" t="n">
        <f aca="false">VLOOKUP(B10,'Super Peak Curve'!$C$23:$AN$275,38)</f>
        <v>41.0628431302484</v>
      </c>
      <c r="E10" s="150" t="n">
        <f aca="false">VLOOKUP(B10,PJM_01212000!$J$7:$AF$230,23)</f>
        <v>2.3</v>
      </c>
      <c r="G10" s="168" t="n">
        <f aca="false">E10/(256)^(1/2)</f>
        <v>0.14375</v>
      </c>
      <c r="H10" s="169"/>
      <c r="I10" s="168" t="n">
        <f aca="false">(G10/(22)^(1/2))</f>
        <v>0.030647602976119</v>
      </c>
      <c r="K10" s="167" t="n">
        <f aca="false">I10*C10</f>
        <v>1.25847771332651</v>
      </c>
      <c r="M10" s="170" t="n">
        <v>41.0628431302484</v>
      </c>
      <c r="N10" s="171" t="n">
        <f aca="false">M10</f>
        <v>41.0628431302484</v>
      </c>
    </row>
    <row r="11" customFormat="false" ht="12.75" hidden="false" customHeight="false" outlineLevel="0" collapsed="false">
      <c r="B11" s="149" t="n">
        <f aca="false">PJM_01212000!A45</f>
        <v>36800</v>
      </c>
      <c r="C11" s="167" t="n">
        <f aca="false">VLOOKUP(B11,'Super Peak Curve'!$C$23:$AN$275,38)</f>
        <v>29.896752146244</v>
      </c>
      <c r="E11" s="150" t="n">
        <f aca="false">VLOOKUP(B11,PJM_01212000!$J$7:$AF$230,23)</f>
        <v>1.5</v>
      </c>
      <c r="G11" s="168" t="n">
        <f aca="false">E11/(256)^(1/2)</f>
        <v>0.09375</v>
      </c>
      <c r="H11" s="169"/>
      <c r="I11" s="168" t="n">
        <f aca="false">(G11/(22)^(1/2))</f>
        <v>0.0199875671583385</v>
      </c>
      <c r="K11" s="167" t="n">
        <f aca="false">I11*C11</f>
        <v>0.597563341339253</v>
      </c>
      <c r="M11" s="170" t="n">
        <v>29.896752146244</v>
      </c>
      <c r="N11" s="171" t="n">
        <f aca="false">M11</f>
        <v>29.896752146244</v>
      </c>
    </row>
    <row r="12" customFormat="false" ht="12.75" hidden="false" customHeight="false" outlineLevel="0" collapsed="false">
      <c r="B12" s="149" t="n">
        <f aca="false">PJM_01212000!A46</f>
        <v>36831</v>
      </c>
      <c r="C12" s="167" t="n">
        <f aca="false">VLOOKUP(B12,'Super Peak Curve'!$C$23:$AN$275,38)</f>
        <v>29.9492482957363</v>
      </c>
      <c r="E12" s="150" t="n">
        <f aca="false">VLOOKUP(B12,PJM_01212000!$J$7:$AF$230,23)</f>
        <v>1.5</v>
      </c>
      <c r="G12" s="168" t="n">
        <f aca="false">E12/(256)^(1/2)</f>
        <v>0.09375</v>
      </c>
      <c r="H12" s="169"/>
      <c r="I12" s="168" t="n">
        <f aca="false">(G12/(22)^(1/2))</f>
        <v>0.0199875671583385</v>
      </c>
      <c r="K12" s="167" t="n">
        <f aca="false">I12*C12</f>
        <v>0.598612611652784</v>
      </c>
      <c r="M12" s="170" t="n">
        <v>29.9492482957363</v>
      </c>
      <c r="N12" s="171" t="n">
        <f aca="false">M12</f>
        <v>29.9492482957363</v>
      </c>
    </row>
    <row r="13" customFormat="false" ht="12.75" hidden="false" customHeight="false" outlineLevel="0" collapsed="false">
      <c r="B13" s="149" t="n">
        <f aca="false">PJM_01212000!A47</f>
        <v>36861</v>
      </c>
      <c r="C13" s="167" t="n">
        <f aca="false">VLOOKUP(B13,'Super Peak Curve'!$C$23:$AN$275,38)</f>
        <v>33.01326149681</v>
      </c>
      <c r="E13" s="150" t="n">
        <f aca="false">VLOOKUP(B13,PJM_01212000!$J$7:$AF$230,23)</f>
        <v>1.5</v>
      </c>
      <c r="G13" s="168" t="n">
        <f aca="false">E13/(256)^(1/2)</f>
        <v>0.09375</v>
      </c>
      <c r="H13" s="169"/>
      <c r="I13" s="168" t="n">
        <f aca="false">(G13/(22)^(1/2))</f>
        <v>0.0199875671583385</v>
      </c>
      <c r="K13" s="167" t="n">
        <f aca="false">I13*C13</f>
        <v>0.65985478128328</v>
      </c>
      <c r="M13" s="170" t="n">
        <v>33.01326149681</v>
      </c>
      <c r="N13" s="171" t="n">
        <f aca="false">M13</f>
        <v>33.01326149681</v>
      </c>
    </row>
    <row r="14" customFormat="false" ht="12.75" hidden="false" customHeight="false" outlineLevel="0" collapsed="false">
      <c r="B14" s="149" t="n">
        <f aca="false">PJM_01212000!A48</f>
        <v>36892</v>
      </c>
      <c r="C14" s="167" t="n">
        <f aca="false">VLOOKUP(B14,'Super Peak Curve'!$C$23:$AN$275,38)</f>
        <v>43.1935183473711</v>
      </c>
      <c r="E14" s="150" t="n">
        <f aca="false">VLOOKUP(B14,PJM_01212000!$J$7:$AF$230,23)</f>
        <v>2.25</v>
      </c>
      <c r="G14" s="168" t="n">
        <f aca="false">E14/(256)^(1/2)</f>
        <v>0.140625</v>
      </c>
      <c r="H14" s="169"/>
      <c r="I14" s="168" t="n">
        <f aca="false">(G14/(22)^(1/2))</f>
        <v>0.0299813507375077</v>
      </c>
      <c r="K14" s="167" t="n">
        <f aca="false">I14*C14</f>
        <v>1.29500002315951</v>
      </c>
      <c r="M14" s="170" t="n">
        <v>43.1935183473711</v>
      </c>
      <c r="N14" s="171" t="n">
        <f aca="false">M14</f>
        <v>43.1935183473711</v>
      </c>
    </row>
    <row r="15" customFormat="false" ht="12.75" hidden="false" customHeight="false" outlineLevel="0" collapsed="false">
      <c r="B15" s="149" t="n">
        <f aca="false">PJM_01212000!A49</f>
        <v>36923</v>
      </c>
      <c r="C15" s="167" t="n">
        <f aca="false">VLOOKUP(B15,'Super Peak Curve'!$C$23:$AN$275,38)</f>
        <v>43.1935183473711</v>
      </c>
      <c r="E15" s="150" t="n">
        <f aca="false">VLOOKUP(B15,PJM_01212000!$J$7:$AF$230,23)</f>
        <v>2.25</v>
      </c>
      <c r="G15" s="168" t="n">
        <f aca="false">E15/(256)^(1/2)</f>
        <v>0.140625</v>
      </c>
      <c r="H15" s="169"/>
      <c r="I15" s="168" t="n">
        <f aca="false">(G15/(22)^(1/2))</f>
        <v>0.0299813507375077</v>
      </c>
      <c r="K15" s="167" t="n">
        <f aca="false">I15*C15</f>
        <v>1.29500002315951</v>
      </c>
      <c r="M15" s="170" t="n">
        <v>43.1935183473711</v>
      </c>
      <c r="N15" s="171" t="n">
        <f aca="false">M15</f>
        <v>43.1935183473711</v>
      </c>
    </row>
    <row r="16" customFormat="false" ht="12.75" hidden="false" customHeight="false" outlineLevel="0" collapsed="false">
      <c r="B16" s="149" t="n">
        <f aca="false">PJM_01212000!A50</f>
        <v>36951</v>
      </c>
      <c r="C16" s="167" t="n">
        <f aca="false">VLOOKUP(B16,'Super Peak Curve'!$C$23:$AN$275,38)</f>
        <v>31.104955302906</v>
      </c>
      <c r="E16" s="150" t="n">
        <f aca="false">VLOOKUP(B16,PJM_01212000!$J$7:$AF$230,23)</f>
        <v>1.1</v>
      </c>
      <c r="G16" s="168" t="n">
        <f aca="false">E16/(256)^(1/2)</f>
        <v>0.06875</v>
      </c>
      <c r="H16" s="169"/>
      <c r="I16" s="168" t="n">
        <f aca="false">(G16/(22)^(1/2))</f>
        <v>0.0146575492494482</v>
      </c>
      <c r="K16" s="167" t="n">
        <f aca="false">I16*C16</f>
        <v>0.455922414254231</v>
      </c>
      <c r="M16" s="170" t="n">
        <v>31.104955302906</v>
      </c>
      <c r="N16" s="171" t="n">
        <f aca="false">M16</f>
        <v>31.104955302906</v>
      </c>
    </row>
    <row r="17" customFormat="false" ht="12.75" hidden="false" customHeight="false" outlineLevel="0" collapsed="false">
      <c r="B17" s="149" t="n">
        <f aca="false">PJM_01212000!A51</f>
        <v>36982</v>
      </c>
      <c r="C17" s="167" t="n">
        <f aca="false">VLOOKUP(B17,'Super Peak Curve'!$C$23:$AN$275,38)</f>
        <v>29.0113164423494</v>
      </c>
      <c r="E17" s="150" t="n">
        <f aca="false">VLOOKUP(B17,PJM_01212000!$J$7:$AF$230,23)</f>
        <v>1.2</v>
      </c>
      <c r="G17" s="168" t="n">
        <f aca="false">E17/(256)^(1/2)</f>
        <v>0.075</v>
      </c>
      <c r="H17" s="169"/>
      <c r="I17" s="168" t="n">
        <f aca="false">(G17/(22)^(1/2))</f>
        <v>0.0159900537266708</v>
      </c>
      <c r="K17" s="167" t="n">
        <f aca="false">I17*C17</f>
        <v>0.463892508594615</v>
      </c>
      <c r="M17" s="170" t="n">
        <v>29.0113164423494</v>
      </c>
      <c r="N17" s="171" t="n">
        <f aca="false">M17</f>
        <v>29.0113164423494</v>
      </c>
    </row>
    <row r="18" customFormat="false" ht="12.75" hidden="false" customHeight="false" outlineLevel="0" collapsed="false">
      <c r="B18" s="149" t="n">
        <f aca="false">PJM_01212000!A52</f>
        <v>37012</v>
      </c>
      <c r="C18" s="167" t="n">
        <f aca="false">VLOOKUP(B18,'Super Peak Curve'!$C$23:$AN$275,38)</f>
        <v>33.8947042760567</v>
      </c>
      <c r="E18" s="150" t="n">
        <f aca="false">VLOOKUP(B18,PJM_01212000!$J$7:$AF$230,23)</f>
        <v>2.15</v>
      </c>
      <c r="G18" s="168" t="n">
        <f aca="false">E18/(256)^(1/2)</f>
        <v>0.134375</v>
      </c>
      <c r="H18" s="169"/>
      <c r="I18" s="168" t="n">
        <f aca="false">(G18/(22)^(1/2))</f>
        <v>0.0286488462602852</v>
      </c>
      <c r="K18" s="167" t="n">
        <f aca="false">I18*C18</f>
        <v>0.971044171842579</v>
      </c>
      <c r="M18" s="170" t="n">
        <v>33.8947042760567</v>
      </c>
      <c r="N18" s="171" t="n">
        <f aca="false">M18</f>
        <v>33.8947042760567</v>
      </c>
    </row>
    <row r="19" customFormat="false" ht="12.75" hidden="false" customHeight="false" outlineLevel="0" collapsed="false">
      <c r="B19" s="149" t="n">
        <f aca="false">PJM_01212000!A53</f>
        <v>37043</v>
      </c>
      <c r="C19" s="167" t="n">
        <f aca="false">VLOOKUP(B19,'Super Peak Curve'!$C$23:$AN$275,38)</f>
        <v>68.3003613264355</v>
      </c>
      <c r="E19" s="150" t="n">
        <f aca="false">VLOOKUP(B19,PJM_01212000!$J$7:$AF$230,23)</f>
        <v>2.75</v>
      </c>
      <c r="G19" s="168" t="n">
        <f aca="false">E19/(256)^(1/2)</f>
        <v>0.171875</v>
      </c>
      <c r="H19" s="169"/>
      <c r="I19" s="168" t="n">
        <f aca="false">(G19/(22)^(1/2))</f>
        <v>0.0366438731236205</v>
      </c>
      <c r="K19" s="167" t="n">
        <f aca="false">I19*C19</f>
        <v>2.50278977474334</v>
      </c>
      <c r="M19" s="170" t="n">
        <v>68.3003613264355</v>
      </c>
      <c r="N19" s="171" t="n">
        <f aca="false">M19</f>
        <v>68.3003613264355</v>
      </c>
    </row>
    <row r="20" customFormat="false" ht="12.75" hidden="false" customHeight="false" outlineLevel="0" collapsed="false">
      <c r="B20" s="149" t="n">
        <f aca="false">PJM_01212000!A54</f>
        <v>37073</v>
      </c>
      <c r="C20" s="167" t="n">
        <f aca="false">VLOOKUP(B20,'Super Peak Curve'!$C$23:$AN$275,38)</f>
        <v>126.973455326057</v>
      </c>
      <c r="E20" s="150" t="n">
        <f aca="false">VLOOKUP(B20,PJM_01212000!$J$7:$AF$230,23)</f>
        <v>3.75</v>
      </c>
      <c r="G20" s="168" t="n">
        <f aca="false">E20/(256)^(1/2)</f>
        <v>0.234375</v>
      </c>
      <c r="H20" s="169"/>
      <c r="I20" s="168" t="n">
        <f aca="false">(G20/(22)^(1/2))</f>
        <v>0.0499689178958462</v>
      </c>
      <c r="K20" s="167" t="n">
        <f aca="false">I20*C20</f>
        <v>6.34472616413964</v>
      </c>
      <c r="M20" s="170" t="n">
        <v>126.973455326057</v>
      </c>
      <c r="N20" s="171" t="n">
        <f aca="false">M20</f>
        <v>126.973455326057</v>
      </c>
    </row>
    <row r="21" customFormat="false" ht="12.75" hidden="false" customHeight="false" outlineLevel="0" collapsed="false">
      <c r="B21" s="149" t="n">
        <f aca="false">PJM_01212000!A55</f>
        <v>37104</v>
      </c>
      <c r="C21" s="167" t="n">
        <f aca="false">VLOOKUP(B21,'Super Peak Curve'!$C$23:$AN$275,38)</f>
        <v>102.72834513781</v>
      </c>
      <c r="E21" s="150" t="n">
        <f aca="false">VLOOKUP(B21,PJM_01212000!$J$7:$AF$230,23)</f>
        <v>3.75</v>
      </c>
      <c r="G21" s="168" t="n">
        <f aca="false">E21/(256)^(1/2)</f>
        <v>0.234375</v>
      </c>
      <c r="H21" s="169"/>
      <c r="I21" s="168" t="n">
        <f aca="false">(G21/(22)^(1/2))</f>
        <v>0.0499689178958462</v>
      </c>
      <c r="K21" s="167" t="n">
        <f aca="false">I21*C21</f>
        <v>5.13322424376736</v>
      </c>
      <c r="M21" s="170" t="n">
        <v>102.72834513781</v>
      </c>
      <c r="N21" s="171" t="n">
        <f aca="false">M21</f>
        <v>102.72834513781</v>
      </c>
    </row>
    <row r="22" customFormat="false" ht="12.75" hidden="false" customHeight="false" outlineLevel="0" collapsed="false">
      <c r="B22" s="149" t="n">
        <f aca="false">PJM_01212000!A56</f>
        <v>37135</v>
      </c>
      <c r="C22" s="167" t="n">
        <f aca="false">VLOOKUP(B22,'Super Peak Curve'!$C$23:$AN$275,38)</f>
        <v>37.7997611144692</v>
      </c>
      <c r="E22" s="150" t="n">
        <f aca="false">VLOOKUP(B22,PJM_01212000!$J$7:$AF$230,23)</f>
        <v>2.25</v>
      </c>
      <c r="G22" s="168" t="n">
        <f aca="false">E22/(256)^(1/2)</f>
        <v>0.140625</v>
      </c>
      <c r="H22" s="169"/>
      <c r="I22" s="168" t="n">
        <f aca="false">(G22/(22)^(1/2))</f>
        <v>0.0299813507375077</v>
      </c>
      <c r="K22" s="167" t="n">
        <f aca="false">I22*C22</f>
        <v>1.13328789576691</v>
      </c>
      <c r="M22" s="170" t="n">
        <v>37.7997611144692</v>
      </c>
      <c r="N22" s="171" t="n">
        <f aca="false">M22</f>
        <v>37.7997611144692</v>
      </c>
    </row>
    <row r="23" customFormat="false" ht="12.75" hidden="false" customHeight="false" outlineLevel="0" collapsed="false">
      <c r="B23" s="149" t="n">
        <f aca="false">PJM_01212000!A57</f>
        <v>37165</v>
      </c>
      <c r="C23" s="167" t="n">
        <f aca="false">VLOOKUP(B23,'Super Peak Curve'!$C$23:$AN$275,38)</f>
        <v>30.807163573122</v>
      </c>
      <c r="E23" s="150" t="n">
        <f aca="false">VLOOKUP(B23,PJM_01212000!$J$7:$AF$230,23)</f>
        <v>1.5</v>
      </c>
      <c r="G23" s="168" t="n">
        <f aca="false">E23/(256)^(1/2)</f>
        <v>0.09375</v>
      </c>
      <c r="H23" s="169"/>
      <c r="I23" s="168" t="n">
        <f aca="false">(G23/(22)^(1/2))</f>
        <v>0.0199875671583385</v>
      </c>
      <c r="K23" s="167" t="n">
        <f aca="false">I23*C23</f>
        <v>0.615760250875695</v>
      </c>
      <c r="M23" s="170" t="n">
        <v>30.807163573122</v>
      </c>
      <c r="N23" s="171" t="n">
        <f aca="false">M23</f>
        <v>30.807163573122</v>
      </c>
    </row>
    <row r="24" customFormat="false" ht="12.75" hidden="false" customHeight="false" outlineLevel="0" collapsed="false">
      <c r="B24" s="149" t="n">
        <f aca="false">PJM_01212000!A58</f>
        <v>37196</v>
      </c>
      <c r="C24" s="167" t="n">
        <f aca="false">VLOOKUP(B24,'Super Peak Curve'!$C$23:$AN$275,38)</f>
        <v>30.8393893472672</v>
      </c>
      <c r="E24" s="150" t="n">
        <f aca="false">VLOOKUP(B24,PJM_01212000!$J$7:$AF$230,23)</f>
        <v>1.5</v>
      </c>
      <c r="G24" s="168" t="n">
        <f aca="false">E24/(256)^(1/2)</f>
        <v>0.09375</v>
      </c>
      <c r="H24" s="169"/>
      <c r="I24" s="168" t="n">
        <f aca="false">(G24/(22)^(1/2))</f>
        <v>0.0199875671583385</v>
      </c>
      <c r="K24" s="167" t="n">
        <f aca="false">I24*C24</f>
        <v>0.616404365700651</v>
      </c>
      <c r="M24" s="170" t="n">
        <v>30.8393893472672</v>
      </c>
      <c r="N24" s="171" t="n">
        <f aca="false">M24</f>
        <v>30.8393893472672</v>
      </c>
    </row>
    <row r="25" customFormat="false" ht="12.75" hidden="false" customHeight="false" outlineLevel="0" collapsed="false">
      <c r="B25" s="149" t="n">
        <f aca="false">PJM_01212000!A59</f>
        <v>37226</v>
      </c>
      <c r="C25" s="167" t="n">
        <f aca="false">VLOOKUP(B25,'Super Peak Curve'!$C$23:$AN$275,38)</f>
        <v>33.3449011066023</v>
      </c>
      <c r="E25" s="150" t="n">
        <f aca="false">VLOOKUP(B25,PJM_01212000!$J$7:$AF$230,23)</f>
        <v>1.5</v>
      </c>
      <c r="G25" s="168" t="n">
        <f aca="false">E25/(256)^(1/2)</f>
        <v>0.09375</v>
      </c>
      <c r="H25" s="169"/>
      <c r="I25" s="168" t="n">
        <f aca="false">(G25/(22)^(1/2))</f>
        <v>0.0199875671583385</v>
      </c>
      <c r="K25" s="167" t="n">
        <f aca="false">I25*C25</f>
        <v>0.666483450256368</v>
      </c>
      <c r="M25" s="170" t="n">
        <v>33.3449011066023</v>
      </c>
      <c r="N25" s="171" t="n">
        <f aca="false">M25</f>
        <v>33.3449011066023</v>
      </c>
    </row>
    <row r="26" customFormat="false" ht="12.75" hidden="false" customHeight="false" outlineLevel="0" collapsed="false">
      <c r="B26" s="149" t="n">
        <f aca="false">PJM_01212000!A60</f>
        <v>37257</v>
      </c>
      <c r="C26" s="167" t="n">
        <f aca="false">VLOOKUP(B26,'Super Peak Curve'!$C$23:$AN$275,38)</f>
        <v>43.8679381094757</v>
      </c>
      <c r="E26" s="150" t="n">
        <f aca="false">VLOOKUP(B26,PJM_01212000!$J$7:$AF$230,23)</f>
        <v>2</v>
      </c>
      <c r="G26" s="168" t="n">
        <f aca="false">E26/(256)^(1/2)</f>
        <v>0.125</v>
      </c>
      <c r="H26" s="169"/>
      <c r="I26" s="168" t="n">
        <f aca="false">(G26/(22)^(1/2))</f>
        <v>0.0266500895444513</v>
      </c>
      <c r="K26" s="167" t="n">
        <f aca="false">I26*C26</f>
        <v>1.16908447874798</v>
      </c>
      <c r="M26" s="170" t="n">
        <v>43.8679381094757</v>
      </c>
      <c r="N26" s="171" t="n">
        <f aca="false">M26</f>
        <v>43.8679381094757</v>
      </c>
    </row>
    <row r="27" customFormat="false" ht="12.75" hidden="false" customHeight="false" outlineLevel="0" collapsed="false">
      <c r="B27" s="149" t="n">
        <f aca="false">PJM_01212000!A61</f>
        <v>37288</v>
      </c>
      <c r="C27" s="167" t="n">
        <f aca="false">VLOOKUP(B27,'Super Peak Curve'!$C$23:$AN$275,38)</f>
        <v>43.8679381094757</v>
      </c>
      <c r="E27" s="150" t="n">
        <f aca="false">VLOOKUP(B27,PJM_01212000!$J$7:$AF$230,23)</f>
        <v>2</v>
      </c>
      <c r="G27" s="168" t="n">
        <f aca="false">E27/(256)^(1/2)</f>
        <v>0.125</v>
      </c>
      <c r="H27" s="169"/>
      <c r="I27" s="168" t="n">
        <f aca="false">(G27/(22)^(1/2))</f>
        <v>0.0266500895444513</v>
      </c>
      <c r="K27" s="167" t="n">
        <f aca="false">I27*C27</f>
        <v>1.16908447874798</v>
      </c>
      <c r="M27" s="170" t="n">
        <v>43.8679381094757</v>
      </c>
      <c r="N27" s="171" t="n">
        <f aca="false">M27</f>
        <v>43.8679381094757</v>
      </c>
    </row>
    <row r="28" customFormat="false" ht="12.75" hidden="false" customHeight="false" outlineLevel="0" collapsed="false">
      <c r="B28" s="149" t="n">
        <f aca="false">PJM_01212000!A62</f>
        <v>37316</v>
      </c>
      <c r="C28" s="167" t="n">
        <f aca="false">VLOOKUP(B28,'Super Peak Curve'!$C$23:$AN$275,38)</f>
        <v>31.469822802906</v>
      </c>
      <c r="E28" s="150" t="n">
        <f aca="false">VLOOKUP(B28,PJM_01212000!$J$7:$AF$230,23)</f>
        <v>1.1</v>
      </c>
      <c r="G28" s="168" t="n">
        <f aca="false">E28/(256)^(1/2)</f>
        <v>0.06875</v>
      </c>
      <c r="H28" s="169"/>
      <c r="I28" s="168" t="n">
        <f aca="false">(G28/(22)^(1/2))</f>
        <v>0.0146575492494482</v>
      </c>
      <c r="K28" s="167" t="n">
        <f aca="false">I28*C28</f>
        <v>0.461270477605004</v>
      </c>
      <c r="M28" s="170" t="n">
        <v>31.469822802906</v>
      </c>
      <c r="N28" s="171" t="n">
        <f aca="false">M28</f>
        <v>31.469822802906</v>
      </c>
    </row>
    <row r="29" customFormat="false" ht="12.75" hidden="false" customHeight="false" outlineLevel="0" collapsed="false">
      <c r="B29" s="149" t="n">
        <f aca="false">PJM_01212000!A63</f>
        <v>37347</v>
      </c>
      <c r="C29" s="167" t="n">
        <f aca="false">VLOOKUP(B29,'Super Peak Curve'!$C$23:$AN$275,38)</f>
        <v>29.2381889004288</v>
      </c>
      <c r="E29" s="150" t="n">
        <f aca="false">VLOOKUP(B29,PJM_01212000!$J$7:$AF$230,23)</f>
        <v>1.2</v>
      </c>
      <c r="G29" s="168" t="n">
        <f aca="false">E29/(256)^(1/2)</f>
        <v>0.075</v>
      </c>
      <c r="H29" s="169"/>
      <c r="I29" s="168" t="n">
        <f aca="false">(G29/(22)^(1/2))</f>
        <v>0.0159900537266708</v>
      </c>
      <c r="K29" s="167" t="n">
        <f aca="false">I29*C29</f>
        <v>0.467520211388406</v>
      </c>
      <c r="M29" s="170" t="n">
        <v>29.2381889004288</v>
      </c>
      <c r="N29" s="171" t="n">
        <f aca="false">M29</f>
        <v>29.2381889004288</v>
      </c>
    </row>
    <row r="30" customFormat="false" ht="12.75" hidden="false" customHeight="false" outlineLevel="0" collapsed="false">
      <c r="B30" s="149" t="n">
        <f aca="false">PJM_01212000!A64</f>
        <v>37377</v>
      </c>
      <c r="C30" s="167" t="n">
        <f aca="false">VLOOKUP(B30,'Super Peak Curve'!$C$23:$AN$275,38)</f>
        <v>33.8947042760567</v>
      </c>
      <c r="E30" s="150" t="n">
        <f aca="false">VLOOKUP(B30,PJM_01212000!$J$7:$AF$230,23)</f>
        <v>2</v>
      </c>
      <c r="G30" s="168" t="n">
        <f aca="false">E30/(256)^(1/2)</f>
        <v>0.125</v>
      </c>
      <c r="H30" s="169"/>
      <c r="I30" s="168" t="n">
        <f aca="false">(G30/(22)^(1/2))</f>
        <v>0.0266500895444513</v>
      </c>
      <c r="K30" s="167" t="n">
        <f aca="false">I30*C30</f>
        <v>0.903296904039608</v>
      </c>
      <c r="M30" s="170" t="n">
        <v>33.8947042760567</v>
      </c>
      <c r="N30" s="171" t="n">
        <f aca="false">M30</f>
        <v>33.8947042760567</v>
      </c>
    </row>
    <row r="31" customFormat="false" ht="12.75" hidden="false" customHeight="false" outlineLevel="0" collapsed="false">
      <c r="B31" s="149" t="n">
        <f aca="false">PJM_01212000!A65</f>
        <v>37408</v>
      </c>
      <c r="C31" s="167" t="n">
        <f aca="false">VLOOKUP(B31,'Super Peak Curve'!$C$23:$AN$275,38)</f>
        <v>67.6833752089167</v>
      </c>
      <c r="E31" s="150" t="n">
        <f aca="false">VLOOKUP(B31,PJM_01212000!$J$7:$AF$230,23)</f>
        <v>2.5</v>
      </c>
      <c r="G31" s="168" t="n">
        <f aca="false">E31/(256)^(1/2)</f>
        <v>0.15625</v>
      </c>
      <c r="H31" s="169"/>
      <c r="I31" s="168" t="n">
        <f aca="false">(G31/(22)^(1/2))</f>
        <v>0.0333126119305641</v>
      </c>
      <c r="K31" s="167" t="n">
        <f aca="false">I31*C31</f>
        <v>2.25471001248541</v>
      </c>
      <c r="M31" s="170" t="n">
        <v>67.6833752089167</v>
      </c>
      <c r="N31" s="171" t="n">
        <f aca="false">M31</f>
        <v>67.6833752089167</v>
      </c>
    </row>
    <row r="32" customFormat="false" ht="12.75" hidden="false" customHeight="false" outlineLevel="0" collapsed="false">
      <c r="B32" s="149" t="n">
        <f aca="false">PJM_01212000!A66</f>
        <v>37438</v>
      </c>
      <c r="C32" s="167" t="n">
        <f aca="false">VLOOKUP(B32,'Super Peak Curve'!$C$23:$AN$275,38)</f>
        <v>124.347323799</v>
      </c>
      <c r="E32" s="150" t="n">
        <f aca="false">VLOOKUP(B32,PJM_01212000!$J$7:$AF$230,23)</f>
        <v>3.25</v>
      </c>
      <c r="G32" s="168" t="n">
        <f aca="false">E32/(256)^(1/2)</f>
        <v>0.203125</v>
      </c>
      <c r="H32" s="169"/>
      <c r="I32" s="168" t="n">
        <f aca="false">(G32/(22)^(1/2))</f>
        <v>0.0433063955097334</v>
      </c>
      <c r="K32" s="167" t="n">
        <f aca="false">I32*C32</f>
        <v>5.38503438501637</v>
      </c>
      <c r="M32" s="170" t="n">
        <v>124.347323799</v>
      </c>
      <c r="N32" s="171" t="n">
        <f aca="false">M32</f>
        <v>124.347323799</v>
      </c>
    </row>
    <row r="33" customFormat="false" ht="12.75" hidden="false" customHeight="false" outlineLevel="0" collapsed="false">
      <c r="B33" s="149" t="n">
        <f aca="false">PJM_01212000!A67</f>
        <v>37469</v>
      </c>
      <c r="C33" s="167" t="n">
        <f aca="false">VLOOKUP(B33,'Super Peak Curve'!$C$23:$AN$275,38)</f>
        <v>100.273665355651</v>
      </c>
      <c r="E33" s="150" t="n">
        <f aca="false">VLOOKUP(B33,PJM_01212000!$J$7:$AF$230,23)</f>
        <v>3.25</v>
      </c>
      <c r="G33" s="168" t="n">
        <f aca="false">E33/(256)^(1/2)</f>
        <v>0.203125</v>
      </c>
      <c r="H33" s="169"/>
      <c r="I33" s="168" t="n">
        <f aca="false">(G33/(22)^(1/2))</f>
        <v>0.0433063955097334</v>
      </c>
      <c r="K33" s="167" t="n">
        <f aca="false">I33*C33</f>
        <v>4.34249101110246</v>
      </c>
      <c r="M33" s="170" t="n">
        <v>100.273665355651</v>
      </c>
      <c r="N33" s="171" t="n">
        <f aca="false">M33</f>
        <v>100.273665355651</v>
      </c>
    </row>
    <row r="34" customFormat="false" ht="12.75" hidden="false" customHeight="false" outlineLevel="0" collapsed="false">
      <c r="B34" s="149" t="n">
        <f aca="false">PJM_01212000!A68</f>
        <v>37500</v>
      </c>
      <c r="C34" s="167" t="n">
        <f aca="false">VLOOKUP(B34,'Super Peak Curve'!$C$23:$AN$275,38)</f>
        <v>37.9152684112667</v>
      </c>
      <c r="E34" s="150" t="n">
        <f aca="false">VLOOKUP(B34,PJM_01212000!$J$7:$AF$230,23)</f>
        <v>2</v>
      </c>
      <c r="G34" s="168" t="n">
        <f aca="false">E34/(256)^(1/2)</f>
        <v>0.125</v>
      </c>
      <c r="H34" s="169"/>
      <c r="I34" s="168" t="n">
        <f aca="false">(G34/(22)^(1/2))</f>
        <v>0.0266500895444513</v>
      </c>
      <c r="K34" s="167" t="n">
        <f aca="false">I34*C34</f>
        <v>1.01044529826216</v>
      </c>
      <c r="M34" s="170" t="n">
        <v>37.9152684112667</v>
      </c>
      <c r="N34" s="171" t="n">
        <f aca="false">M34</f>
        <v>37.9152684112667</v>
      </c>
    </row>
    <row r="35" customFormat="false" ht="12.75" hidden="false" customHeight="false" outlineLevel="0" collapsed="false">
      <c r="B35" s="149" t="n">
        <f aca="false">PJM_01212000!A69</f>
        <v>37530</v>
      </c>
      <c r="C35" s="167" t="n">
        <f aca="false">VLOOKUP(B35,'Super Peak Curve'!$C$23:$AN$275,38)</f>
        <v>31.100844823122</v>
      </c>
      <c r="E35" s="150" t="n">
        <f aca="false">VLOOKUP(B35,PJM_01212000!$J$7:$AF$230,23)</f>
        <v>1.5</v>
      </c>
      <c r="G35" s="168" t="n">
        <f aca="false">E35/(256)^(1/2)</f>
        <v>0.09375</v>
      </c>
      <c r="H35" s="169"/>
      <c r="I35" s="168" t="n">
        <f aca="false">(G35/(22)^(1/2))</f>
        <v>0.0199875671583385</v>
      </c>
      <c r="K35" s="167" t="n">
        <f aca="false">I35*C35</f>
        <v>0.621630224583215</v>
      </c>
      <c r="M35" s="170" t="n">
        <v>31.100844823122</v>
      </c>
      <c r="N35" s="171" t="n">
        <f aca="false">M35</f>
        <v>31.100844823122</v>
      </c>
    </row>
    <row r="36" customFormat="false" ht="12.75" hidden="false" customHeight="false" outlineLevel="0" collapsed="false">
      <c r="B36" s="149" t="n">
        <f aca="false">PJM_01212000!A70</f>
        <v>37561</v>
      </c>
      <c r="C36" s="167" t="n">
        <f aca="false">VLOOKUP(B36,'Super Peak Curve'!$C$23:$AN$275,38)</f>
        <v>31.1370955972672</v>
      </c>
      <c r="E36" s="150" t="n">
        <f aca="false">VLOOKUP(B36,PJM_01212000!$J$7:$AF$230,23)</f>
        <v>1.5</v>
      </c>
      <c r="G36" s="168" t="n">
        <f aca="false">E36/(256)^(1/2)</f>
        <v>0.09375</v>
      </c>
      <c r="H36" s="169"/>
      <c r="I36" s="168" t="n">
        <f aca="false">(G36/(22)^(1/2))</f>
        <v>0.0199875671583385</v>
      </c>
      <c r="K36" s="167" t="n">
        <f aca="false">I36*C36</f>
        <v>0.622354789365983</v>
      </c>
      <c r="M36" s="170" t="n">
        <v>31.1370955972672</v>
      </c>
      <c r="N36" s="171" t="n">
        <f aca="false">M36</f>
        <v>31.1370955972672</v>
      </c>
    </row>
    <row r="37" customFormat="false" ht="12.75" hidden="false" customHeight="false" outlineLevel="0" collapsed="false">
      <c r="B37" s="149" t="n">
        <f aca="false">PJM_01212000!A71</f>
        <v>37591</v>
      </c>
      <c r="C37" s="167" t="n">
        <f aca="false">VLOOKUP(B37,'Super Peak Curve'!$C$23:$AN$275,38)</f>
        <v>33.6463920791759</v>
      </c>
      <c r="E37" s="150" t="n">
        <f aca="false">VLOOKUP(B37,PJM_01212000!$J$7:$AF$230,23)</f>
        <v>1.5</v>
      </c>
      <c r="G37" s="168" t="n">
        <f aca="false">E37/(256)^(1/2)</f>
        <v>0.09375</v>
      </c>
      <c r="H37" s="169"/>
      <c r="I37" s="168" t="n">
        <f aca="false">(G37/(22)^(1/2))</f>
        <v>0.0199875671583385</v>
      </c>
      <c r="K37" s="167" t="n">
        <f aca="false">I37*C37</f>
        <v>0.672509521318316</v>
      </c>
      <c r="M37" s="170" t="n">
        <v>33.6463920791759</v>
      </c>
      <c r="N37" s="171" t="n">
        <f aca="false">M37</f>
        <v>33.6463920791759</v>
      </c>
    </row>
    <row r="38" customFormat="false" ht="12.75" hidden="false" customHeight="false" outlineLevel="0" collapsed="false">
      <c r="B38" s="149" t="n">
        <f aca="false">PJM_01212000!A72</f>
        <v>37622</v>
      </c>
      <c r="C38" s="167" t="n">
        <f aca="false">VLOOKUP(B38,'Super Peak Curve'!$C$23:$AN$275,38)</f>
        <v>44.5423578715804</v>
      </c>
      <c r="E38" s="150" t="n">
        <f aca="false">VLOOKUP(B38,PJM_01212000!$J$7:$AF$230,23)</f>
        <v>2</v>
      </c>
      <c r="G38" s="168" t="n">
        <f aca="false">E38/(256)^(1/2)</f>
        <v>0.125</v>
      </c>
      <c r="H38" s="169"/>
      <c r="I38" s="168" t="n">
        <f aca="false">(G38/(22)^(1/2))</f>
        <v>0.0266500895444513</v>
      </c>
      <c r="K38" s="167" t="n">
        <f aca="false">I38*C38</f>
        <v>1.18705782579861</v>
      </c>
      <c r="M38" s="170" t="n">
        <v>44.5423578715804</v>
      </c>
      <c r="N38" s="171" t="n">
        <f aca="false">M38</f>
        <v>44.5423578715804</v>
      </c>
    </row>
    <row r="39" customFormat="false" ht="12.75" hidden="false" customHeight="false" outlineLevel="0" collapsed="false">
      <c r="B39" s="149" t="n">
        <f aca="false">PJM_01212000!A73</f>
        <v>37653</v>
      </c>
      <c r="C39" s="167" t="n">
        <f aca="false">VLOOKUP(B39,'Super Peak Curve'!$C$23:$AN$275,38)</f>
        <v>44.5423578715804</v>
      </c>
      <c r="E39" s="150" t="n">
        <f aca="false">VLOOKUP(B39,PJM_01212000!$J$7:$AF$230,23)</f>
        <v>2</v>
      </c>
      <c r="G39" s="168" t="n">
        <f aca="false">E39/(256)^(1/2)</f>
        <v>0.125</v>
      </c>
      <c r="H39" s="169"/>
      <c r="I39" s="168" t="n">
        <f aca="false">(G39/(22)^(1/2))</f>
        <v>0.0266500895444513</v>
      </c>
      <c r="K39" s="167" t="n">
        <f aca="false">I39*C39</f>
        <v>1.18705782579861</v>
      </c>
      <c r="M39" s="170" t="n">
        <v>44.5423578715804</v>
      </c>
      <c r="N39" s="171" t="n">
        <f aca="false">M39</f>
        <v>44.5423578715804</v>
      </c>
    </row>
    <row r="40" customFormat="false" ht="12.75" hidden="false" customHeight="false" outlineLevel="0" collapsed="false">
      <c r="B40" s="149" t="n">
        <f aca="false">PJM_01212000!A74</f>
        <v>37681</v>
      </c>
      <c r="C40" s="167" t="n">
        <f aca="false">VLOOKUP(B40,'Super Peak Curve'!$C$23:$AN$275,38)</f>
        <v>31.865095927906</v>
      </c>
      <c r="E40" s="150" t="n">
        <f aca="false">VLOOKUP(B40,PJM_01212000!$J$7:$AF$230,23)</f>
        <v>1.1</v>
      </c>
      <c r="G40" s="168" t="n">
        <f aca="false">E40/(256)^(1/2)</f>
        <v>0.06875</v>
      </c>
      <c r="H40" s="169"/>
      <c r="I40" s="168" t="n">
        <f aca="false">(G40/(22)^(1/2))</f>
        <v>0.0146575492494482</v>
      </c>
      <c r="K40" s="167" t="n">
        <f aca="false">I40*C40</f>
        <v>0.467064212901675</v>
      </c>
      <c r="M40" s="170" t="n">
        <v>31.865095927906</v>
      </c>
      <c r="N40" s="171" t="n">
        <f aca="false">M40</f>
        <v>31.865095927906</v>
      </c>
    </row>
    <row r="41" customFormat="false" ht="12.75" hidden="false" customHeight="false" outlineLevel="0" collapsed="false">
      <c r="B41" s="149" t="n">
        <f aca="false">PJM_01212000!A75</f>
        <v>37712</v>
      </c>
      <c r="C41" s="167" t="n">
        <f aca="false">VLOOKUP(B41,'Super Peak Curve'!$C$23:$AN$275,38)</f>
        <v>29.4650613585082</v>
      </c>
      <c r="E41" s="150" t="n">
        <f aca="false">VLOOKUP(B41,PJM_01212000!$J$7:$AF$230,23)</f>
        <v>1.2</v>
      </c>
      <c r="G41" s="168" t="n">
        <f aca="false">E41/(256)^(1/2)</f>
        <v>0.075</v>
      </c>
      <c r="H41" s="169"/>
      <c r="I41" s="168" t="n">
        <f aca="false">(G41/(22)^(1/2))</f>
        <v>0.0159900537266708</v>
      </c>
      <c r="K41" s="167" t="n">
        <f aca="false">I41*C41</f>
        <v>0.471147914182197</v>
      </c>
      <c r="M41" s="170" t="n">
        <v>29.4650613585082</v>
      </c>
      <c r="N41" s="171" t="n">
        <f aca="false">M41</f>
        <v>29.4650613585082</v>
      </c>
    </row>
    <row r="42" customFormat="false" ht="12.75" hidden="false" customHeight="false" outlineLevel="0" collapsed="false">
      <c r="B42" s="149" t="n">
        <f aca="false">PJM_01212000!A76</f>
        <v>37742</v>
      </c>
      <c r="C42" s="167" t="n">
        <f aca="false">VLOOKUP(B42,'Super Peak Curve'!$C$23:$AN$275,38)</f>
        <v>34.0044846947646</v>
      </c>
      <c r="E42" s="150" t="n">
        <f aca="false">VLOOKUP(B42,PJM_01212000!$J$7:$AF$230,23)</f>
        <v>2</v>
      </c>
      <c r="G42" s="168" t="n">
        <f aca="false">E42/(256)^(1/2)</f>
        <v>0.125</v>
      </c>
      <c r="H42" s="169"/>
      <c r="I42" s="168" t="n">
        <f aca="false">(G42/(22)^(1/2))</f>
        <v>0.0266500895444513</v>
      </c>
      <c r="K42" s="167" t="n">
        <f aca="false">I42*C42</f>
        <v>0.906222562028401</v>
      </c>
      <c r="M42" s="170" t="n">
        <v>34.0044846947646</v>
      </c>
      <c r="N42" s="171" t="n">
        <f aca="false">M42</f>
        <v>34.0044846947646</v>
      </c>
    </row>
    <row r="43" customFormat="false" ht="12.75" hidden="false" customHeight="false" outlineLevel="0" collapsed="false">
      <c r="B43" s="149" t="n">
        <f aca="false">PJM_01212000!A77</f>
        <v>37773</v>
      </c>
      <c r="C43" s="167" t="n">
        <f aca="false">VLOOKUP(B43,'Super Peak Curve'!$C$23:$AN$275,38)</f>
        <v>67.9918682676761</v>
      </c>
      <c r="E43" s="150" t="n">
        <f aca="false">VLOOKUP(B43,PJM_01212000!$J$7:$AF$230,23)</f>
        <v>2.25</v>
      </c>
      <c r="G43" s="168" t="n">
        <f aca="false">E43/(256)^(1/2)</f>
        <v>0.140625</v>
      </c>
      <c r="H43" s="169"/>
      <c r="I43" s="168" t="n">
        <f aca="false">(G43/(22)^(1/2))</f>
        <v>0.0299813507375077</v>
      </c>
      <c r="K43" s="167" t="n">
        <f aca="false">I43*C43</f>
        <v>2.03848804983162</v>
      </c>
      <c r="M43" s="170" t="n">
        <v>67.9918682676761</v>
      </c>
      <c r="N43" s="171" t="n">
        <f aca="false">M43</f>
        <v>67.9918682676761</v>
      </c>
    </row>
    <row r="44" customFormat="false" ht="12.75" hidden="false" customHeight="false" outlineLevel="0" collapsed="false">
      <c r="B44" s="149" t="n">
        <f aca="false">PJM_01212000!A78</f>
        <v>37803</v>
      </c>
      <c r="C44" s="167" t="n">
        <f aca="false">VLOOKUP(B44,'Super Peak Curve'!$C$23:$AN$275,38)</f>
        <v>123.690790917236</v>
      </c>
      <c r="E44" s="150" t="n">
        <f aca="false">VLOOKUP(B44,PJM_01212000!$J$7:$AF$230,23)</f>
        <v>3</v>
      </c>
      <c r="G44" s="168" t="n">
        <f aca="false">E44/(256)^(1/2)</f>
        <v>0.1875</v>
      </c>
      <c r="H44" s="169"/>
      <c r="I44" s="168" t="n">
        <f aca="false">(G44/(22)^(1/2))</f>
        <v>0.039975134316677</v>
      </c>
      <c r="K44" s="167" t="n">
        <f aca="false">I44*C44</f>
        <v>4.9445559806525</v>
      </c>
      <c r="M44" s="170" t="n">
        <v>123.690790917236</v>
      </c>
      <c r="N44" s="171" t="n">
        <f aca="false">M44</f>
        <v>123.690790917236</v>
      </c>
    </row>
    <row r="45" customFormat="false" ht="12.75" hidden="false" customHeight="false" outlineLevel="0" collapsed="false">
      <c r="B45" s="149" t="n">
        <f aca="false">PJM_01212000!A79</f>
        <v>37834</v>
      </c>
      <c r="C45" s="167" t="n">
        <f aca="false">VLOOKUP(B45,'Super Peak Curve'!$C$23:$AN$275,38)</f>
        <v>99.6599954101109</v>
      </c>
      <c r="E45" s="150" t="n">
        <f aca="false">VLOOKUP(B45,PJM_01212000!$J$7:$AF$230,23)</f>
        <v>3</v>
      </c>
      <c r="G45" s="168" t="n">
        <f aca="false">E45/(256)^(1/2)</f>
        <v>0.1875</v>
      </c>
      <c r="H45" s="169"/>
      <c r="I45" s="168" t="n">
        <f aca="false">(G45/(22)^(1/2))</f>
        <v>0.039975134316677</v>
      </c>
      <c r="K45" s="167" t="n">
        <f aca="false">I45*C45</f>
        <v>3.98392170251859</v>
      </c>
      <c r="M45" s="170" t="n">
        <v>99.6599954101109</v>
      </c>
      <c r="N45" s="171" t="n">
        <f aca="false">M45</f>
        <v>99.6599954101109</v>
      </c>
    </row>
    <row r="46" customFormat="false" ht="12.75" hidden="false" customHeight="false" outlineLevel="0" collapsed="false">
      <c r="B46" s="149" t="n">
        <f aca="false">PJM_01212000!A80</f>
        <v>37865</v>
      </c>
      <c r="C46" s="167" t="n">
        <f aca="false">VLOOKUP(B46,'Super Peak Curve'!$C$23:$AN$275,38)</f>
        <v>38.2040366532604</v>
      </c>
      <c r="E46" s="150" t="n">
        <f aca="false">VLOOKUP(B46,PJM_01212000!$J$7:$AF$230,23)</f>
        <v>1.75</v>
      </c>
      <c r="G46" s="168" t="n">
        <f aca="false">E46/(256)^(1/2)</f>
        <v>0.109375</v>
      </c>
      <c r="H46" s="169"/>
      <c r="I46" s="168" t="n">
        <f aca="false">(G46/(22)^(1/2))</f>
        <v>0.0233188283513949</v>
      </c>
      <c r="K46" s="167" t="n">
        <f aca="false">I46*C46</f>
        <v>0.890873373047777</v>
      </c>
      <c r="M46" s="170" t="n">
        <v>38.2040366532604</v>
      </c>
      <c r="N46" s="171" t="n">
        <f aca="false">M46</f>
        <v>38.2040366532604</v>
      </c>
    </row>
    <row r="47" customFormat="false" ht="12.75" hidden="false" customHeight="false" outlineLevel="0" collapsed="false">
      <c r="B47" s="149" t="n">
        <f aca="false">PJM_01212000!A81</f>
        <v>37895</v>
      </c>
      <c r="C47" s="167" t="n">
        <f aca="false">VLOOKUP(B47,'Super Peak Curve'!$C$23:$AN$275,38)</f>
        <v>31.394526073122</v>
      </c>
      <c r="E47" s="150" t="n">
        <f aca="false">VLOOKUP(B47,PJM_01212000!$J$7:$AF$230,23)</f>
        <v>1.5</v>
      </c>
      <c r="G47" s="168" t="n">
        <f aca="false">E47/(256)^(1/2)</f>
        <v>0.09375</v>
      </c>
      <c r="H47" s="169"/>
      <c r="I47" s="168" t="n">
        <f aca="false">(G47/(22)^(1/2))</f>
        <v>0.0199875671583385</v>
      </c>
      <c r="K47" s="167" t="n">
        <f aca="false">I47*C47</f>
        <v>0.627500198290735</v>
      </c>
      <c r="M47" s="170" t="n">
        <v>31.394526073122</v>
      </c>
      <c r="N47" s="171" t="n">
        <f aca="false">M47</f>
        <v>31.394526073122</v>
      </c>
    </row>
    <row r="48" customFormat="false" ht="12.75" hidden="false" customHeight="false" outlineLevel="0" collapsed="false">
      <c r="B48" s="149" t="n">
        <f aca="false">PJM_01212000!A82</f>
        <v>37926</v>
      </c>
      <c r="C48" s="167" t="n">
        <f aca="false">VLOOKUP(B48,'Super Peak Curve'!$C$23:$AN$275,38)</f>
        <v>31.4348018472672</v>
      </c>
      <c r="E48" s="150" t="n">
        <f aca="false">VLOOKUP(B48,PJM_01212000!$J$7:$AF$230,23)</f>
        <v>1.5</v>
      </c>
      <c r="G48" s="168" t="n">
        <f aca="false">E48/(256)^(1/2)</f>
        <v>0.09375</v>
      </c>
      <c r="H48" s="169"/>
      <c r="I48" s="168" t="n">
        <f aca="false">(G48/(22)^(1/2))</f>
        <v>0.0199875671583385</v>
      </c>
      <c r="K48" s="167" t="n">
        <f aca="false">I48*C48</f>
        <v>0.628305213031315</v>
      </c>
      <c r="M48" s="170" t="n">
        <v>31.4348018472672</v>
      </c>
      <c r="N48" s="171" t="n">
        <f aca="false">M48</f>
        <v>31.4348018472672</v>
      </c>
    </row>
    <row r="49" customFormat="false" ht="12.75" hidden="false" customHeight="false" outlineLevel="0" collapsed="false">
      <c r="B49" s="149" t="n">
        <f aca="false">PJM_01212000!A83</f>
        <v>37956</v>
      </c>
      <c r="C49" s="167" t="n">
        <f aca="false">VLOOKUP(B49,'Super Peak Curve'!$C$23:$AN$275,38)</f>
        <v>33.9478830517495</v>
      </c>
      <c r="E49" s="150" t="n">
        <f aca="false">VLOOKUP(B49,PJM_01212000!$J$7:$AF$230,23)</f>
        <v>1.5</v>
      </c>
      <c r="G49" s="168" t="n">
        <f aca="false">E49/(256)^(1/2)</f>
        <v>0.09375</v>
      </c>
      <c r="H49" s="169"/>
      <c r="I49" s="168" t="n">
        <f aca="false">(G49/(22)^(1/2))</f>
        <v>0.0199875671583385</v>
      </c>
      <c r="K49" s="167" t="n">
        <f aca="false">I49*C49</f>
        <v>0.678535592380264</v>
      </c>
      <c r="M49" s="170" t="n">
        <v>33.9478830517495</v>
      </c>
      <c r="N49" s="171" t="n">
        <f aca="false">M49</f>
        <v>33.9478830517495</v>
      </c>
    </row>
    <row r="50" customFormat="false" ht="12.75" hidden="false" customHeight="false" outlineLevel="0" collapsed="false">
      <c r="B50" s="149" t="n">
        <f aca="false">PJM_01212000!A84</f>
        <v>37987</v>
      </c>
      <c r="C50" s="167" t="n">
        <f aca="false">VLOOKUP(B50,'Super Peak Curve'!$C$23:$AN$275,38)</f>
        <v>45.155466746221</v>
      </c>
      <c r="E50" s="150" t="n">
        <f aca="false">VLOOKUP(B50,PJM_01212000!$J$7:$AF$230,23)</f>
        <v>1.9</v>
      </c>
      <c r="G50" s="168" t="n">
        <f aca="false">E50/(256)^(1/2)</f>
        <v>0.11875</v>
      </c>
      <c r="H50" s="169"/>
      <c r="I50" s="168" t="n">
        <f aca="false">(G50/(22)^(1/2))</f>
        <v>0.0253175850672287</v>
      </c>
      <c r="K50" s="167" t="n">
        <f aca="false">I50*C50</f>
        <v>1.14322737059787</v>
      </c>
      <c r="M50" s="170" t="n">
        <v>45.155466746221</v>
      </c>
      <c r="N50" s="171" t="n">
        <f aca="false">M50</f>
        <v>45.155466746221</v>
      </c>
    </row>
    <row r="51" customFormat="false" ht="12.75" hidden="false" customHeight="false" outlineLevel="0" collapsed="false">
      <c r="B51" s="149" t="n">
        <f aca="false">PJM_01212000!A85</f>
        <v>38018</v>
      </c>
      <c r="C51" s="167" t="n">
        <f aca="false">VLOOKUP(B51,'Super Peak Curve'!$C$23:$AN$275,38)</f>
        <v>45.155466746221</v>
      </c>
      <c r="E51" s="150" t="n">
        <f aca="false">VLOOKUP(B51,PJM_01212000!$J$7:$AF$230,23)</f>
        <v>1.9</v>
      </c>
      <c r="G51" s="168" t="n">
        <f aca="false">E51/(256)^(1/2)</f>
        <v>0.11875</v>
      </c>
      <c r="H51" s="169"/>
      <c r="I51" s="168" t="n">
        <f aca="false">(G51/(22)^(1/2))</f>
        <v>0.0253175850672287</v>
      </c>
      <c r="K51" s="167" t="n">
        <f aca="false">I51*C51</f>
        <v>1.14322737059787</v>
      </c>
      <c r="M51" s="170" t="n">
        <v>45.155466746221</v>
      </c>
      <c r="N51" s="171" t="n">
        <f aca="false">M51</f>
        <v>45.155466746221</v>
      </c>
    </row>
    <row r="52" customFormat="false" ht="12.75" hidden="false" customHeight="false" outlineLevel="0" collapsed="false">
      <c r="B52" s="149" t="n">
        <f aca="false">PJM_01212000!A86</f>
        <v>38047</v>
      </c>
      <c r="C52" s="167" t="n">
        <f aca="false">VLOOKUP(B52,'Super Peak Curve'!$C$23:$AN$275,38)</f>
        <v>32.290774677906</v>
      </c>
      <c r="E52" s="150" t="n">
        <f aca="false">VLOOKUP(B52,PJM_01212000!$J$7:$AF$230,23)</f>
        <v>1.1</v>
      </c>
      <c r="G52" s="168" t="n">
        <f aca="false">E52/(256)^(1/2)</f>
        <v>0.06875</v>
      </c>
      <c r="H52" s="169"/>
      <c r="I52" s="168" t="n">
        <f aca="false">(G52/(22)^(1/2))</f>
        <v>0.0146575492494482</v>
      </c>
      <c r="K52" s="167" t="n">
        <f aca="false">I52*C52</f>
        <v>0.473303620144243</v>
      </c>
      <c r="M52" s="170" t="n">
        <v>32.290774677906</v>
      </c>
      <c r="N52" s="171" t="n">
        <f aca="false">M52</f>
        <v>32.290774677906</v>
      </c>
    </row>
    <row r="53" customFormat="false" ht="12.75" hidden="false" customHeight="false" outlineLevel="0" collapsed="false">
      <c r="B53" s="149" t="n">
        <f aca="false">PJM_01212000!A87</f>
        <v>38078</v>
      </c>
      <c r="C53" s="167" t="n">
        <f aca="false">VLOOKUP(B53,'Super Peak Curve'!$C$23:$AN$275,38)</f>
        <v>29.8620881601471</v>
      </c>
      <c r="E53" s="150" t="n">
        <f aca="false">VLOOKUP(B53,PJM_01212000!$J$7:$AF$230,23)</f>
        <v>1.2</v>
      </c>
      <c r="G53" s="168" t="n">
        <f aca="false">E53/(256)^(1/2)</f>
        <v>0.075</v>
      </c>
      <c r="H53" s="169"/>
      <c r="I53" s="168" t="n">
        <f aca="false">(G53/(22)^(1/2))</f>
        <v>0.0159900537266708</v>
      </c>
      <c r="K53" s="167" t="n">
        <f aca="false">I53*C53</f>
        <v>0.477496394071331</v>
      </c>
      <c r="M53" s="170" t="n">
        <v>29.8620881601471</v>
      </c>
      <c r="N53" s="171" t="n">
        <f aca="false">M53</f>
        <v>29.8620881601471</v>
      </c>
    </row>
    <row r="54" customFormat="false" ht="12.75" hidden="false" customHeight="false" outlineLevel="0" collapsed="false">
      <c r="B54" s="149" t="n">
        <f aca="false">PJM_01212000!A88</f>
        <v>38108</v>
      </c>
      <c r="C54" s="167" t="n">
        <f aca="false">VLOOKUP(B54,'Super Peak Curve'!$C$23:$AN$275,38)</f>
        <v>34.3887161602422</v>
      </c>
      <c r="E54" s="150" t="n">
        <f aca="false">VLOOKUP(B54,PJM_01212000!$J$7:$AF$230,23)</f>
        <v>2</v>
      </c>
      <c r="G54" s="168" t="n">
        <f aca="false">E54/(256)^(1/2)</f>
        <v>0.125</v>
      </c>
      <c r="H54" s="169"/>
      <c r="I54" s="168" t="n">
        <f aca="false">(G54/(22)^(1/2))</f>
        <v>0.0266500895444513</v>
      </c>
      <c r="K54" s="167" t="n">
        <f aca="false">I54*C54</f>
        <v>0.916462364989173</v>
      </c>
      <c r="M54" s="170" t="n">
        <v>34.3887161602422</v>
      </c>
      <c r="N54" s="171" t="n">
        <f aca="false">M54</f>
        <v>34.3887161602422</v>
      </c>
    </row>
    <row r="55" customFormat="false" ht="12.75" hidden="false" customHeight="false" outlineLevel="0" collapsed="false">
      <c r="B55" s="149" t="n">
        <f aca="false">PJM_01212000!A89</f>
        <v>38139</v>
      </c>
      <c r="C55" s="167" t="n">
        <f aca="false">VLOOKUP(B55,'Super Peak Curve'!$C$23:$AN$275,38)</f>
        <v>68.6088543851949</v>
      </c>
      <c r="E55" s="150" t="n">
        <f aca="false">VLOOKUP(B55,PJM_01212000!$J$7:$AF$230,23)</f>
        <v>2.25</v>
      </c>
      <c r="G55" s="168" t="n">
        <f aca="false">E55/(256)^(1/2)</f>
        <v>0.140625</v>
      </c>
      <c r="H55" s="169"/>
      <c r="I55" s="168" t="n">
        <f aca="false">(G55/(22)^(1/2))</f>
        <v>0.0299813507375077</v>
      </c>
      <c r="K55" s="167" t="n">
        <f aca="false">I55*C55</f>
        <v>2.05698612702112</v>
      </c>
      <c r="M55" s="170" t="n">
        <v>68.6088543851949</v>
      </c>
      <c r="N55" s="171" t="n">
        <f aca="false">M55</f>
        <v>68.6088543851949</v>
      </c>
    </row>
    <row r="56" customFormat="false" ht="12.75" hidden="false" customHeight="false" outlineLevel="0" collapsed="false">
      <c r="B56" s="149" t="n">
        <f aca="false">PJM_01212000!A90</f>
        <v>38169</v>
      </c>
      <c r="C56" s="167" t="n">
        <f aca="false">VLOOKUP(B56,'Super Peak Curve'!$C$23:$AN$275,38)</f>
        <v>124.019057358118</v>
      </c>
      <c r="E56" s="150" t="n">
        <f aca="false">VLOOKUP(B56,PJM_01212000!$J$7:$AF$230,23)</f>
        <v>3</v>
      </c>
      <c r="G56" s="168" t="n">
        <f aca="false">E56/(256)^(1/2)</f>
        <v>0.1875</v>
      </c>
      <c r="H56" s="169"/>
      <c r="I56" s="168" t="n">
        <f aca="false">(G56/(22)^(1/2))</f>
        <v>0.039975134316677</v>
      </c>
      <c r="K56" s="167" t="n">
        <f aca="false">I56*C56</f>
        <v>4.95767847571842</v>
      </c>
      <c r="M56" s="170" t="n">
        <v>124.019057358118</v>
      </c>
      <c r="N56" s="171" t="n">
        <f aca="false">M56</f>
        <v>124.019057358118</v>
      </c>
    </row>
    <row r="57" customFormat="false" ht="12.75" hidden="false" customHeight="false" outlineLevel="0" collapsed="false">
      <c r="B57" s="149" t="n">
        <f aca="false">PJM_01212000!A91</f>
        <v>38200</v>
      </c>
      <c r="C57" s="167" t="n">
        <f aca="false">VLOOKUP(B57,'Super Peak Curve'!$C$23:$AN$275,38)</f>
        <v>99.9668303828808</v>
      </c>
      <c r="E57" s="150" t="n">
        <f aca="false">VLOOKUP(B57,PJM_01212000!$J$7:$AF$230,23)</f>
        <v>3</v>
      </c>
      <c r="G57" s="168" t="n">
        <f aca="false">E57/(256)^(1/2)</f>
        <v>0.1875</v>
      </c>
      <c r="H57" s="169"/>
      <c r="I57" s="168" t="n">
        <f aca="false">(G57/(22)^(1/2))</f>
        <v>0.039975134316677</v>
      </c>
      <c r="K57" s="167" t="n">
        <f aca="false">I57*C57</f>
        <v>3.99618747176812</v>
      </c>
      <c r="M57" s="170" t="n">
        <v>99.9668303828808</v>
      </c>
      <c r="N57" s="171" t="n">
        <f aca="false">M57</f>
        <v>99.9668303828808</v>
      </c>
    </row>
    <row r="58" customFormat="false" ht="12.75" hidden="false" customHeight="false" outlineLevel="0" collapsed="false">
      <c r="B58" s="149" t="n">
        <f aca="false">PJM_01212000!A92</f>
        <v>38231</v>
      </c>
      <c r="C58" s="167" t="n">
        <f aca="false">VLOOKUP(B58,'Super Peak Curve'!$C$23:$AN$275,38)</f>
        <v>38.6083121920515</v>
      </c>
      <c r="E58" s="150" t="n">
        <f aca="false">VLOOKUP(B58,PJM_01212000!$J$7:$AF$230,23)</f>
        <v>1.75</v>
      </c>
      <c r="G58" s="168" t="n">
        <f aca="false">E58/(256)^(1/2)</f>
        <v>0.109375</v>
      </c>
      <c r="H58" s="169"/>
      <c r="I58" s="168" t="n">
        <f aca="false">(G58/(22)^(1/2))</f>
        <v>0.0233188283513949</v>
      </c>
      <c r="K58" s="167" t="n">
        <f aca="false">I58*C58</f>
        <v>0.900300604943516</v>
      </c>
      <c r="M58" s="170" t="n">
        <v>38.6083121920515</v>
      </c>
      <c r="N58" s="171" t="n">
        <f aca="false">M58</f>
        <v>38.6083121920515</v>
      </c>
    </row>
    <row r="59" customFormat="false" ht="12.75" hidden="false" customHeight="false" outlineLevel="0" collapsed="false">
      <c r="B59" s="149" t="n">
        <f aca="false">PJM_01212000!A93</f>
        <v>38261</v>
      </c>
      <c r="C59" s="167" t="n">
        <f aca="false">VLOOKUP(B59,'Super Peak Curve'!$C$23:$AN$275,38)</f>
        <v>31.805679823122</v>
      </c>
      <c r="E59" s="150" t="n">
        <f aca="false">VLOOKUP(B59,PJM_01212000!$J$7:$AF$230,23)</f>
        <v>1.5</v>
      </c>
      <c r="G59" s="168" t="n">
        <f aca="false">E59/(256)^(1/2)</f>
        <v>0.09375</v>
      </c>
      <c r="H59" s="169"/>
      <c r="I59" s="168" t="n">
        <f aca="false">(G59/(22)^(1/2))</f>
        <v>0.0199875671583385</v>
      </c>
      <c r="K59" s="167" t="n">
        <f aca="false">I59*C59</f>
        <v>0.635718161481263</v>
      </c>
      <c r="M59" s="170" t="n">
        <v>31.805679823122</v>
      </c>
      <c r="N59" s="171" t="n">
        <f aca="false">M59</f>
        <v>31.805679823122</v>
      </c>
    </row>
    <row r="60" customFormat="false" ht="12.75" hidden="false" customHeight="false" outlineLevel="0" collapsed="false">
      <c r="B60" s="149" t="n">
        <f aca="false">PJM_01212000!A94</f>
        <v>38292</v>
      </c>
      <c r="C60" s="167" t="n">
        <f aca="false">VLOOKUP(B60,'Super Peak Curve'!$C$23:$AN$275,38)</f>
        <v>31.8515905972672</v>
      </c>
      <c r="E60" s="150" t="n">
        <f aca="false">VLOOKUP(B60,PJM_01212000!$J$7:$AF$230,23)</f>
        <v>1.5</v>
      </c>
      <c r="G60" s="168" t="n">
        <f aca="false">E60/(256)^(1/2)</f>
        <v>0.09375</v>
      </c>
      <c r="H60" s="169"/>
      <c r="I60" s="168" t="n">
        <f aca="false">(G60/(22)^(1/2))</f>
        <v>0.0199875671583385</v>
      </c>
      <c r="K60" s="167" t="n">
        <f aca="false">I60*C60</f>
        <v>0.63663580616278</v>
      </c>
      <c r="M60" s="170" t="n">
        <v>31.8515905972672</v>
      </c>
      <c r="N60" s="171" t="n">
        <f aca="false">M60</f>
        <v>31.8515905972672</v>
      </c>
    </row>
    <row r="61" customFormat="false" ht="12.75" hidden="false" customHeight="false" outlineLevel="0" collapsed="false">
      <c r="B61" s="149" t="n">
        <f aca="false">PJM_01212000!A95</f>
        <v>38322</v>
      </c>
      <c r="C61" s="167" t="n">
        <f aca="false">VLOOKUP(B61,'Super Peak Curve'!$C$23:$AN$275,38)</f>
        <v>34.3699704133525</v>
      </c>
      <c r="E61" s="150" t="n">
        <f aca="false">VLOOKUP(B61,PJM_01212000!$J$7:$AF$230,23)</f>
        <v>1.5</v>
      </c>
      <c r="G61" s="168" t="n">
        <f aca="false">E61/(256)^(1/2)</f>
        <v>0.09375</v>
      </c>
      <c r="H61" s="169"/>
      <c r="I61" s="168" t="n">
        <f aca="false">(G61/(22)^(1/2))</f>
        <v>0.0199875671583385</v>
      </c>
      <c r="K61" s="167" t="n">
        <f aca="false">I61*C61</f>
        <v>0.68697209186699</v>
      </c>
      <c r="M61" s="170" t="n">
        <v>34.3699704133525</v>
      </c>
      <c r="N61" s="171" t="n">
        <f aca="false">M61</f>
        <v>34.3699704133525</v>
      </c>
    </row>
    <row r="62" customFormat="false" ht="12.75" hidden="false" customHeight="false" outlineLevel="0" collapsed="false">
      <c r="B62" s="149" t="n">
        <f aca="false">PJM_01212000!A96</f>
        <v>38353</v>
      </c>
      <c r="C62" s="167" t="n">
        <f aca="false">VLOOKUP(B62,'Super Peak Curve'!$C$23:$AN$275,38)</f>
        <v>45.7685756208616</v>
      </c>
      <c r="E62" s="150" t="n">
        <f aca="false">VLOOKUP(B62,PJM_01212000!$J$7:$AF$230,23)</f>
        <v>1.875</v>
      </c>
      <c r="G62" s="168" t="n">
        <f aca="false">E62/(256)^(1/2)</f>
        <v>0.1171875</v>
      </c>
      <c r="H62" s="169"/>
      <c r="I62" s="168" t="n">
        <f aca="false">(G62/(22)^(1/2))</f>
        <v>0.0249844589479231</v>
      </c>
      <c r="K62" s="167" t="n">
        <f aca="false">I62*C62</f>
        <v>1.14350309870433</v>
      </c>
      <c r="M62" s="170" t="n">
        <v>45.7685756208616</v>
      </c>
      <c r="N62" s="171" t="n">
        <f aca="false">M62</f>
        <v>45.7685756208616</v>
      </c>
    </row>
    <row r="63" customFormat="false" ht="12.75" hidden="false" customHeight="false" outlineLevel="0" collapsed="false">
      <c r="B63" s="149" t="n">
        <f aca="false">PJM_01212000!A97</f>
        <v>38384</v>
      </c>
      <c r="C63" s="167" t="n">
        <f aca="false">VLOOKUP(B63,'Super Peak Curve'!$C$23:$AN$275,38)</f>
        <v>45.7685756208616</v>
      </c>
      <c r="E63" s="150" t="n">
        <f aca="false">VLOOKUP(B63,PJM_01212000!$J$7:$AF$230,23)</f>
        <v>1.875</v>
      </c>
      <c r="G63" s="168" t="n">
        <f aca="false">E63/(256)^(1/2)</f>
        <v>0.1171875</v>
      </c>
      <c r="H63" s="169"/>
      <c r="I63" s="168" t="n">
        <f aca="false">(G63/(22)^(1/2))</f>
        <v>0.0249844589479231</v>
      </c>
      <c r="K63" s="167" t="n">
        <f aca="false">I63*C63</f>
        <v>1.14350309870433</v>
      </c>
      <c r="M63" s="170" t="n">
        <v>45.7685756208616</v>
      </c>
      <c r="N63" s="171" t="n">
        <f aca="false">M63</f>
        <v>45.7685756208616</v>
      </c>
    </row>
    <row r="64" customFormat="false" ht="12.75" hidden="false" customHeight="false" outlineLevel="0" collapsed="false">
      <c r="B64" s="149" t="n">
        <f aca="false">PJM_01212000!A98</f>
        <v>38412</v>
      </c>
      <c r="C64" s="167" t="n">
        <f aca="false">VLOOKUP(B64,'Super Peak Curve'!$C$23:$AN$275,38)</f>
        <v>32.898887177906</v>
      </c>
      <c r="E64" s="150" t="n">
        <f aca="false">VLOOKUP(B64,PJM_01212000!$J$7:$AF$230,23)</f>
        <v>1.1</v>
      </c>
      <c r="G64" s="168" t="n">
        <f aca="false">E64/(256)^(1/2)</f>
        <v>0.06875</v>
      </c>
      <c r="H64" s="169"/>
      <c r="I64" s="168" t="n">
        <f aca="false">(G64/(22)^(1/2))</f>
        <v>0.0146575492494482</v>
      </c>
      <c r="K64" s="167" t="n">
        <f aca="false">I64*C64</f>
        <v>0.482217059062198</v>
      </c>
      <c r="M64" s="170" t="n">
        <v>32.898887177906</v>
      </c>
      <c r="N64" s="171" t="n">
        <f aca="false">M64</f>
        <v>32.898887177906</v>
      </c>
    </row>
    <row r="65" customFormat="false" ht="12.75" hidden="false" customHeight="false" outlineLevel="0" collapsed="false">
      <c r="B65" s="149" t="n">
        <f aca="false">PJM_01212000!A99</f>
        <v>38443</v>
      </c>
      <c r="C65" s="167" t="n">
        <f aca="false">VLOOKUP(B65,'Super Peak Curve'!$C$23:$AN$275,38)</f>
        <v>30.4292693053455</v>
      </c>
      <c r="E65" s="150" t="n">
        <f aca="false">VLOOKUP(B65,PJM_01212000!$J$7:$AF$230,23)</f>
        <v>1.2</v>
      </c>
      <c r="G65" s="168" t="n">
        <f aca="false">E65/(256)^(1/2)</f>
        <v>0.075</v>
      </c>
      <c r="H65" s="169"/>
      <c r="I65" s="168" t="n">
        <f aca="false">(G65/(22)^(1/2))</f>
        <v>0.0159900537266708</v>
      </c>
      <c r="K65" s="167" t="n">
        <f aca="false">I65*C65</f>
        <v>0.486565651055808</v>
      </c>
      <c r="M65" s="170" t="n">
        <v>30.4292693053455</v>
      </c>
      <c r="N65" s="171" t="n">
        <f aca="false">M65</f>
        <v>30.4292693053455</v>
      </c>
    </row>
    <row r="66" customFormat="false" ht="12.75" hidden="false" customHeight="false" outlineLevel="0" collapsed="false">
      <c r="B66" s="149" t="n">
        <f aca="false">PJM_01212000!A100</f>
        <v>38473</v>
      </c>
      <c r="C66" s="167" t="n">
        <f aca="false">VLOOKUP(B66,'Super Peak Curve'!$C$23:$AN$275,38)</f>
        <v>34.9376182537816</v>
      </c>
      <c r="E66" s="150" t="n">
        <f aca="false">VLOOKUP(B66,PJM_01212000!$J$7:$AF$230,23)</f>
        <v>2</v>
      </c>
      <c r="G66" s="168" t="n">
        <f aca="false">E66/(256)^(1/2)</f>
        <v>0.125</v>
      </c>
      <c r="H66" s="169"/>
      <c r="I66" s="168" t="n">
        <f aca="false">(G66/(22)^(1/2))</f>
        <v>0.0266500895444513</v>
      </c>
      <c r="K66" s="167" t="n">
        <f aca="false">I66*C66</f>
        <v>0.931090654933135</v>
      </c>
      <c r="M66" s="170" t="n">
        <v>34.9376182537816</v>
      </c>
      <c r="N66" s="171" t="n">
        <f aca="false">M66</f>
        <v>34.9376182537816</v>
      </c>
    </row>
    <row r="67" customFormat="false" ht="12.75" hidden="false" customHeight="false" outlineLevel="0" collapsed="false">
      <c r="B67" s="149" t="n">
        <f aca="false">PJM_01212000!A101</f>
        <v>38504</v>
      </c>
      <c r="C67" s="167" t="n">
        <f aca="false">VLOOKUP(B67,'Super Peak Curve'!$C$23:$AN$275,38)</f>
        <v>69.534333561473</v>
      </c>
      <c r="E67" s="150" t="n">
        <f aca="false">VLOOKUP(B67,PJM_01212000!$J$7:$AF$230,23)</f>
        <v>2.25</v>
      </c>
      <c r="G67" s="168" t="n">
        <f aca="false">E67/(256)^(1/2)</f>
        <v>0.140625</v>
      </c>
      <c r="H67" s="169"/>
      <c r="I67" s="168" t="n">
        <f aca="false">(G67/(22)^(1/2))</f>
        <v>0.0299813507375077</v>
      </c>
      <c r="K67" s="167" t="n">
        <f aca="false">I67*C67</f>
        <v>2.08473324280538</v>
      </c>
      <c r="M67" s="170" t="n">
        <v>69.534333561473</v>
      </c>
      <c r="N67" s="171" t="n">
        <f aca="false">M67</f>
        <v>69.534333561473</v>
      </c>
    </row>
    <row r="68" customFormat="false" ht="12.75" hidden="false" customHeight="false" outlineLevel="0" collapsed="false">
      <c r="B68" s="149" t="n">
        <f aca="false">PJM_01212000!A102</f>
        <v>38534</v>
      </c>
      <c r="C68" s="167" t="n">
        <f aca="false">VLOOKUP(B68,'Super Peak Curve'!$C$23:$AN$275,38)</f>
        <v>125.660389562529</v>
      </c>
      <c r="E68" s="150" t="n">
        <f aca="false">VLOOKUP(B68,PJM_01212000!$J$7:$AF$230,23)</f>
        <v>3</v>
      </c>
      <c r="G68" s="168" t="n">
        <f aca="false">E68/(256)^(1/2)</f>
        <v>0.1875</v>
      </c>
      <c r="H68" s="169"/>
      <c r="I68" s="168" t="n">
        <f aca="false">(G68/(22)^(1/2))</f>
        <v>0.039975134316677</v>
      </c>
      <c r="K68" s="167" t="n">
        <f aca="false">I68*C68</f>
        <v>5.02329095104803</v>
      </c>
      <c r="M68" s="170" t="n">
        <v>125.660389562529</v>
      </c>
      <c r="N68" s="171" t="n">
        <f aca="false">M68</f>
        <v>125.660389562529</v>
      </c>
    </row>
    <row r="69" customFormat="false" ht="12.75" hidden="false" customHeight="false" outlineLevel="0" collapsed="false">
      <c r="B69" s="149" t="n">
        <f aca="false">PJM_01212000!A103</f>
        <v>38565</v>
      </c>
      <c r="C69" s="167" t="n">
        <f aca="false">VLOOKUP(B69,'Super Peak Curve'!$C$23:$AN$275,38)</f>
        <v>101.50100524673</v>
      </c>
      <c r="E69" s="150" t="n">
        <f aca="false">VLOOKUP(B69,PJM_01212000!$J$7:$AF$230,23)</f>
        <v>3</v>
      </c>
      <c r="G69" s="168" t="n">
        <f aca="false">E69/(256)^(1/2)</f>
        <v>0.1875</v>
      </c>
      <c r="H69" s="169"/>
      <c r="I69" s="168" t="n">
        <f aca="false">(G69/(22)^(1/2))</f>
        <v>0.039975134316677</v>
      </c>
      <c r="K69" s="167" t="n">
        <f aca="false">I69*C69</f>
        <v>4.05751631801577</v>
      </c>
      <c r="M69" s="170" t="n">
        <v>101.50100524673</v>
      </c>
      <c r="N69" s="171" t="n">
        <f aca="false">M69</f>
        <v>101.50100524673</v>
      </c>
    </row>
    <row r="70" customFormat="false" ht="12.75" hidden="false" customHeight="false" outlineLevel="0" collapsed="false">
      <c r="B70" s="149" t="n">
        <f aca="false">PJM_01212000!A104</f>
        <v>38596</v>
      </c>
      <c r="C70" s="167" t="n">
        <f aca="false">VLOOKUP(B70,'Super Peak Curve'!$C$23:$AN$275,38)</f>
        <v>39.1858486760388</v>
      </c>
      <c r="E70" s="150" t="n">
        <f aca="false">VLOOKUP(B70,PJM_01212000!$J$7:$AF$230,23)</f>
        <v>1.75</v>
      </c>
      <c r="G70" s="168" t="n">
        <f aca="false">E70/(256)^(1/2)</f>
        <v>0.109375</v>
      </c>
      <c r="H70" s="169"/>
      <c r="I70" s="168" t="n">
        <f aca="false">(G70/(22)^(1/2))</f>
        <v>0.0233188283513949</v>
      </c>
      <c r="K70" s="167" t="n">
        <f aca="false">I70*C70</f>
        <v>0.913768079080284</v>
      </c>
      <c r="M70" s="170" t="n">
        <v>39.1858486760388</v>
      </c>
      <c r="N70" s="171" t="n">
        <f aca="false">M70</f>
        <v>39.1858486760388</v>
      </c>
    </row>
    <row r="71" customFormat="false" ht="12.75" hidden="false" customHeight="false" outlineLevel="0" collapsed="false">
      <c r="B71" s="149" t="n">
        <f aca="false">PJM_01212000!A105</f>
        <v>38626</v>
      </c>
      <c r="C71" s="167" t="n">
        <f aca="false">VLOOKUP(B71,'Super Peak Curve'!$C$23:$AN$275,38)</f>
        <v>32.393042323122</v>
      </c>
      <c r="E71" s="150" t="n">
        <f aca="false">VLOOKUP(B71,PJM_01212000!$J$7:$AF$230,23)</f>
        <v>1.5</v>
      </c>
      <c r="G71" s="168" t="n">
        <f aca="false">E71/(256)^(1/2)</f>
        <v>0.09375</v>
      </c>
      <c r="H71" s="169"/>
      <c r="I71" s="168" t="n">
        <f aca="false">(G71/(22)^(1/2))</f>
        <v>0.0199875671583385</v>
      </c>
      <c r="K71" s="167" t="n">
        <f aca="false">I71*C71</f>
        <v>0.647458108896302</v>
      </c>
      <c r="M71" s="170" t="n">
        <v>32.393042323122</v>
      </c>
      <c r="N71" s="171" t="n">
        <f aca="false">M71</f>
        <v>32.393042323122</v>
      </c>
    </row>
    <row r="72" customFormat="false" ht="12.75" hidden="false" customHeight="false" outlineLevel="0" collapsed="false">
      <c r="B72" s="149" t="n">
        <f aca="false">PJM_01212000!A106</f>
        <v>38657</v>
      </c>
      <c r="C72" s="167" t="n">
        <f aca="false">VLOOKUP(B72,'Super Peak Curve'!$C$23:$AN$275,38)</f>
        <v>32.4470030972672</v>
      </c>
      <c r="E72" s="150" t="n">
        <f aca="false">VLOOKUP(B72,PJM_01212000!$J$7:$AF$230,23)</f>
        <v>1.5</v>
      </c>
      <c r="G72" s="168" t="n">
        <f aca="false">E72/(256)^(1/2)</f>
        <v>0.09375</v>
      </c>
      <c r="H72" s="169"/>
      <c r="I72" s="168" t="n">
        <f aca="false">(G72/(22)^(1/2))</f>
        <v>0.0199875671583385</v>
      </c>
      <c r="K72" s="167" t="n">
        <f aca="false">I72*C72</f>
        <v>0.648536653493444</v>
      </c>
      <c r="M72" s="170" t="n">
        <v>32.4470030972672</v>
      </c>
      <c r="N72" s="171" t="n">
        <f aca="false">M72</f>
        <v>32.4470030972672</v>
      </c>
    </row>
    <row r="73" customFormat="false" ht="12.75" hidden="false" customHeight="false" outlineLevel="0" collapsed="false">
      <c r="B73" s="149" t="n">
        <f aca="false">PJM_01212000!A107</f>
        <v>38687</v>
      </c>
      <c r="C73" s="167" t="n">
        <f aca="false">VLOOKUP(B73,'Super Peak Curve'!$C$23:$AN$275,38)</f>
        <v>34.9729523584998</v>
      </c>
      <c r="E73" s="150" t="n">
        <f aca="false">VLOOKUP(B73,PJM_01212000!$J$7:$AF$230,23)</f>
        <v>1.5</v>
      </c>
      <c r="G73" s="168" t="n">
        <f aca="false">E73/(256)^(1/2)</f>
        <v>0.09375</v>
      </c>
      <c r="H73" s="169"/>
      <c r="I73" s="168" t="n">
        <f aca="false">(G73/(22)^(1/2))</f>
        <v>0.0199875671583385</v>
      </c>
      <c r="K73" s="167" t="n">
        <f aca="false">I73*C73</f>
        <v>0.699024233990886</v>
      </c>
      <c r="M73" s="170" t="n">
        <v>34.9729523584998</v>
      </c>
      <c r="N73" s="171" t="n">
        <f aca="false">M73</f>
        <v>34.9729523584998</v>
      </c>
    </row>
    <row r="74" customFormat="false" ht="12.75" hidden="false" customHeight="false" outlineLevel="0" collapsed="false">
      <c r="B74" s="149" t="n">
        <f aca="false">PJM_01212000!A108</f>
        <v>38718</v>
      </c>
      <c r="C74" s="167" t="n">
        <f aca="false">VLOOKUP(B74,'Super Peak Curve'!$C$23:$AN$275,38)</f>
        <v>46.3816844955022</v>
      </c>
      <c r="E74" s="150" t="n">
        <f aca="false">VLOOKUP(B74,PJM_01212000!$J$7:$AF$230,23)</f>
        <v>1.875</v>
      </c>
      <c r="G74" s="168" t="n">
        <f aca="false">E74/(256)^(1/2)</f>
        <v>0.1171875</v>
      </c>
      <c r="H74" s="169"/>
      <c r="I74" s="168" t="n">
        <f aca="false">(G74/(22)^(1/2))</f>
        <v>0.0249844589479231</v>
      </c>
      <c r="K74" s="167" t="n">
        <f aca="false">I74*C74</f>
        <v>1.1588212922134</v>
      </c>
      <c r="M74" s="170" t="n">
        <v>46.3816844955022</v>
      </c>
      <c r="N74" s="171" t="n">
        <f aca="false">M74</f>
        <v>46.3816844955022</v>
      </c>
    </row>
    <row r="75" customFormat="false" ht="12.75" hidden="false" customHeight="false" outlineLevel="0" collapsed="false">
      <c r="B75" s="149" t="n">
        <f aca="false">PJM_01212000!A109</f>
        <v>38749</v>
      </c>
      <c r="C75" s="167" t="n">
        <f aca="false">VLOOKUP(B75,'Super Peak Curve'!$C$23:$AN$275,38)</f>
        <v>46.3816844955022</v>
      </c>
      <c r="E75" s="150" t="n">
        <f aca="false">VLOOKUP(B75,PJM_01212000!$J$7:$AF$230,23)</f>
        <v>1.875</v>
      </c>
      <c r="G75" s="168" t="n">
        <f aca="false">E75/(256)^(1/2)</f>
        <v>0.1171875</v>
      </c>
      <c r="H75" s="169"/>
      <c r="I75" s="168" t="n">
        <f aca="false">(G75/(22)^(1/2))</f>
        <v>0.0249844589479231</v>
      </c>
      <c r="K75" s="167" t="n">
        <f aca="false">I75*C75</f>
        <v>1.1588212922134</v>
      </c>
      <c r="M75" s="170" t="n">
        <v>46.3816844955022</v>
      </c>
      <c r="N75" s="171" t="n">
        <f aca="false">M75</f>
        <v>46.3816844955022</v>
      </c>
    </row>
    <row r="76" customFormat="false" ht="12.75" hidden="false" customHeight="false" outlineLevel="0" collapsed="false">
      <c r="B76" s="149" t="n">
        <f aca="false">PJM_01212000!A110</f>
        <v>38777</v>
      </c>
      <c r="C76" s="167" t="n">
        <f aca="false">VLOOKUP(B76,'Super Peak Curve'!$C$23:$AN$275,38)</f>
        <v>33.506999677906</v>
      </c>
      <c r="E76" s="150" t="n">
        <f aca="false">VLOOKUP(B76,PJM_01212000!$J$7:$AF$230,23)</f>
        <v>1.1</v>
      </c>
      <c r="G76" s="168" t="n">
        <f aca="false">E76/(256)^(1/2)</f>
        <v>0.06875</v>
      </c>
      <c r="H76" s="169"/>
      <c r="I76" s="168" t="n">
        <f aca="false">(G76/(22)^(1/2))</f>
        <v>0.0146575492494482</v>
      </c>
      <c r="K76" s="167" t="n">
        <f aca="false">I76*C76</f>
        <v>0.491130497980153</v>
      </c>
      <c r="M76" s="170" t="n">
        <v>33.506999677906</v>
      </c>
      <c r="N76" s="171" t="n">
        <f aca="false">M76</f>
        <v>33.506999677906</v>
      </c>
    </row>
    <row r="77" customFormat="false" ht="12.75" hidden="false" customHeight="false" outlineLevel="0" collapsed="false">
      <c r="B77" s="149" t="n">
        <f aca="false">PJM_01212000!A111</f>
        <v>38808</v>
      </c>
      <c r="C77" s="167" t="n">
        <f aca="false">VLOOKUP(B77,'Super Peak Curve'!$C$23:$AN$275,38)</f>
        <v>30.9964504505439</v>
      </c>
      <c r="E77" s="150" t="n">
        <f aca="false">VLOOKUP(B77,PJM_01212000!$J$7:$AF$230,23)</f>
        <v>1.2</v>
      </c>
      <c r="G77" s="168" t="n">
        <f aca="false">E77/(256)^(1/2)</f>
        <v>0.075</v>
      </c>
      <c r="H77" s="169"/>
      <c r="I77" s="168" t="n">
        <f aca="false">(G77/(22)^(1/2))</f>
        <v>0.0159900537266708</v>
      </c>
      <c r="K77" s="167" t="n">
        <f aca="false">I77*C77</f>
        <v>0.495634908040286</v>
      </c>
      <c r="M77" s="170" t="n">
        <v>30.9964504505439</v>
      </c>
      <c r="N77" s="171" t="n">
        <f aca="false">M77</f>
        <v>30.9964504505439</v>
      </c>
    </row>
    <row r="78" customFormat="false" ht="12.75" hidden="false" customHeight="false" outlineLevel="0" collapsed="false">
      <c r="B78" s="149" t="n">
        <f aca="false">PJM_01212000!A112</f>
        <v>38838</v>
      </c>
      <c r="C78" s="167" t="n">
        <f aca="false">VLOOKUP(B78,'Super Peak Curve'!$C$23:$AN$275,38)</f>
        <v>35.7609713940906</v>
      </c>
      <c r="E78" s="150" t="n">
        <f aca="false">VLOOKUP(B78,PJM_01212000!$J$7:$AF$230,23)</f>
        <v>2</v>
      </c>
      <c r="G78" s="168" t="n">
        <f aca="false">E78/(256)^(1/2)</f>
        <v>0.125</v>
      </c>
      <c r="H78" s="169"/>
      <c r="I78" s="168" t="n">
        <f aca="false">(G78/(22)^(1/2))</f>
        <v>0.0266500895444513</v>
      </c>
      <c r="K78" s="167" t="n">
        <f aca="false">I78*C78</f>
        <v>0.953033089849077</v>
      </c>
      <c r="M78" s="170" t="n">
        <v>35.7609713940906</v>
      </c>
      <c r="N78" s="171" t="n">
        <f aca="false">M78</f>
        <v>35.7609713940906</v>
      </c>
    </row>
    <row r="79" customFormat="false" ht="12.75" hidden="false" customHeight="false" outlineLevel="0" collapsed="false">
      <c r="B79" s="149" t="n">
        <f aca="false">PJM_01212000!A113</f>
        <v>38869</v>
      </c>
      <c r="C79" s="167" t="n">
        <f aca="false">VLOOKUP(B79,'Super Peak Curve'!$C$23:$AN$275,38)</f>
        <v>70.7683057965106</v>
      </c>
      <c r="E79" s="150" t="n">
        <f aca="false">VLOOKUP(B79,PJM_01212000!$J$7:$AF$230,23)</f>
        <v>2.25</v>
      </c>
      <c r="G79" s="168" t="n">
        <f aca="false">E79/(256)^(1/2)</f>
        <v>0.140625</v>
      </c>
      <c r="H79" s="169"/>
      <c r="I79" s="168" t="n">
        <f aca="false">(G79/(22)^(1/2))</f>
        <v>0.0299813507375077</v>
      </c>
      <c r="K79" s="167" t="n">
        <f aca="false">I79*C79</f>
        <v>2.12172939718438</v>
      </c>
      <c r="M79" s="170" t="n">
        <v>70.7683057965106</v>
      </c>
      <c r="N79" s="171" t="n">
        <f aca="false">M79</f>
        <v>70.7683057965106</v>
      </c>
    </row>
    <row r="80" customFormat="false" ht="12.75" hidden="false" customHeight="false" outlineLevel="0" collapsed="false">
      <c r="B80" s="149" t="n">
        <f aca="false">PJM_01212000!A114</f>
        <v>38899</v>
      </c>
      <c r="C80" s="167" t="n">
        <f aca="false">VLOOKUP(B80,'Super Peak Curve'!$C$23:$AN$275,38)</f>
        <v>128.614787530468</v>
      </c>
      <c r="E80" s="150" t="n">
        <f aca="false">VLOOKUP(B80,PJM_01212000!$J$7:$AF$230,23)</f>
        <v>3</v>
      </c>
      <c r="G80" s="168" t="n">
        <f aca="false">E80/(256)^(1/2)</f>
        <v>0.1875</v>
      </c>
      <c r="H80" s="169"/>
      <c r="I80" s="168" t="n">
        <f aca="false">(G80/(22)^(1/2))</f>
        <v>0.039975134316677</v>
      </c>
      <c r="K80" s="167" t="n">
        <f aca="false">I80*C80</f>
        <v>5.14139340664132</v>
      </c>
      <c r="M80" s="170" t="n">
        <v>128.614787530468</v>
      </c>
      <c r="N80" s="171" t="n">
        <f aca="false">M80</f>
        <v>128.614787530468</v>
      </c>
    </row>
    <row r="81" customFormat="false" ht="12.75" hidden="false" customHeight="false" outlineLevel="0" collapsed="false">
      <c r="B81" s="149" t="n">
        <f aca="false">PJM_01212000!A115</f>
        <v>38930</v>
      </c>
      <c r="C81" s="167" t="n">
        <f aca="false">VLOOKUP(B81,'Super Peak Curve'!$C$23:$AN$275,38)</f>
        <v>104.262520001659</v>
      </c>
      <c r="E81" s="150" t="n">
        <f aca="false">VLOOKUP(B81,PJM_01212000!$J$7:$AF$230,23)</f>
        <v>3</v>
      </c>
      <c r="G81" s="168" t="n">
        <f aca="false">E81/(256)^(1/2)</f>
        <v>0.1875</v>
      </c>
      <c r="H81" s="169"/>
      <c r="I81" s="168" t="n">
        <f aca="false">(G81/(22)^(1/2))</f>
        <v>0.039975134316677</v>
      </c>
      <c r="K81" s="167" t="n">
        <f aca="false">I81*C81</f>
        <v>4.16790824126154</v>
      </c>
      <c r="M81" s="170" t="n">
        <v>104.262520001659</v>
      </c>
      <c r="N81" s="171" t="n">
        <f aca="false">M81</f>
        <v>104.262520001659</v>
      </c>
    </row>
    <row r="82" customFormat="false" ht="12.75" hidden="false" customHeight="false" outlineLevel="0" collapsed="false">
      <c r="B82" s="149" t="n">
        <f aca="false">PJM_01212000!A116</f>
        <v>38961</v>
      </c>
      <c r="C82" s="167" t="n">
        <f aca="false">VLOOKUP(B82,'Super Peak Curve'!$C$23:$AN$275,38)</f>
        <v>39.7633851600262</v>
      </c>
      <c r="E82" s="150" t="n">
        <f aca="false">VLOOKUP(B82,PJM_01212000!$J$7:$AF$230,23)</f>
        <v>1.75</v>
      </c>
      <c r="G82" s="168" t="n">
        <f aca="false">E82/(256)^(1/2)</f>
        <v>0.109375</v>
      </c>
      <c r="H82" s="169"/>
      <c r="I82" s="168" t="n">
        <f aca="false">(G82/(22)^(1/2))</f>
        <v>0.0233188283513949</v>
      </c>
      <c r="K82" s="167" t="n">
        <f aca="false">I82*C82</f>
        <v>0.927235553217053</v>
      </c>
      <c r="M82" s="170" t="n">
        <v>39.7633851600262</v>
      </c>
      <c r="N82" s="171" t="n">
        <f aca="false">M82</f>
        <v>39.7633851600262</v>
      </c>
    </row>
    <row r="83" customFormat="false" ht="12.75" hidden="false" customHeight="false" outlineLevel="0" collapsed="false">
      <c r="B83" s="149" t="n">
        <f aca="false">PJM_01212000!A117</f>
        <v>38991</v>
      </c>
      <c r="C83" s="167" t="n">
        <f aca="false">VLOOKUP(B83,'Super Peak Curve'!$C$23:$AN$275,38)</f>
        <v>32.980404823122</v>
      </c>
      <c r="E83" s="150" t="n">
        <f aca="false">VLOOKUP(B83,PJM_01212000!$J$7:$AF$230,23)</f>
        <v>1.5</v>
      </c>
      <c r="G83" s="168" t="n">
        <f aca="false">E83/(256)^(1/2)</f>
        <v>0.09375</v>
      </c>
      <c r="H83" s="169"/>
      <c r="I83" s="168" t="n">
        <f aca="false">(G83/(22)^(1/2))</f>
        <v>0.0199875671583385</v>
      </c>
      <c r="K83" s="167" t="n">
        <f aca="false">I83*C83</f>
        <v>0.659198056311342</v>
      </c>
      <c r="M83" s="170" t="n">
        <v>32.980404823122</v>
      </c>
      <c r="N83" s="171" t="n">
        <f aca="false">M83</f>
        <v>32.980404823122</v>
      </c>
    </row>
    <row r="84" customFormat="false" ht="12.75" hidden="false" customHeight="false" outlineLevel="0" collapsed="false">
      <c r="B84" s="149" t="n">
        <f aca="false">PJM_01212000!A118</f>
        <v>39022</v>
      </c>
      <c r="C84" s="167" t="n">
        <f aca="false">VLOOKUP(B84,'Super Peak Curve'!$C$23:$AN$275,38)</f>
        <v>33.0424155972672</v>
      </c>
      <c r="E84" s="150" t="n">
        <f aca="false">VLOOKUP(B84,PJM_01212000!$J$7:$AF$230,23)</f>
        <v>1.5</v>
      </c>
      <c r="G84" s="168" t="n">
        <f aca="false">E84/(256)^(1/2)</f>
        <v>0.09375</v>
      </c>
      <c r="H84" s="169"/>
      <c r="I84" s="168" t="n">
        <f aca="false">(G84/(22)^(1/2))</f>
        <v>0.0199875671583385</v>
      </c>
      <c r="K84" s="167" t="n">
        <f aca="false">I84*C84</f>
        <v>0.660437500824108</v>
      </c>
      <c r="M84" s="170" t="n">
        <v>33.0424155972672</v>
      </c>
      <c r="N84" s="171" t="n">
        <f aca="false">M84</f>
        <v>33.0424155972672</v>
      </c>
    </row>
    <row r="85" customFormat="false" ht="12.75" hidden="false" customHeight="false" outlineLevel="0" collapsed="false">
      <c r="B85" s="149" t="n">
        <f aca="false">PJM_01212000!A119</f>
        <v>39052</v>
      </c>
      <c r="C85" s="167" t="n">
        <f aca="false">VLOOKUP(B85,'Super Peak Curve'!$C$23:$AN$275,38)</f>
        <v>35.575934303647</v>
      </c>
      <c r="E85" s="150" t="n">
        <f aca="false">VLOOKUP(B85,PJM_01212000!$J$7:$AF$230,23)</f>
        <v>1.5</v>
      </c>
      <c r="G85" s="168" t="n">
        <f aca="false">E85/(256)^(1/2)</f>
        <v>0.09375</v>
      </c>
      <c r="H85" s="169"/>
      <c r="I85" s="168" t="n">
        <f aca="false">(G85/(22)^(1/2))</f>
        <v>0.0199875671583385</v>
      </c>
      <c r="K85" s="167" t="n">
        <f aca="false">I85*C85</f>
        <v>0.711076376114782</v>
      </c>
      <c r="M85" s="170" t="n">
        <v>35.575934303647</v>
      </c>
      <c r="N85" s="171" t="n">
        <f aca="false">M85</f>
        <v>35.575934303647</v>
      </c>
    </row>
    <row r="86" customFormat="false" ht="12.75" hidden="false" customHeight="false" outlineLevel="0" collapsed="false">
      <c r="B86" s="149" t="n">
        <f aca="false">PJM_01212000!A120</f>
        <v>39083</v>
      </c>
      <c r="C86" s="167" t="n">
        <f aca="false">VLOOKUP(B86,'Super Peak Curve'!$C$23:$AN$275,38)</f>
        <v>46.9947933701428</v>
      </c>
      <c r="E86" s="150" t="n">
        <f aca="false">VLOOKUP(B86,PJM_01212000!$J$7:$AF$230,23)</f>
        <v>1.75</v>
      </c>
      <c r="G86" s="168" t="n">
        <f aca="false">E86/(256)^(1/2)</f>
        <v>0.109375</v>
      </c>
      <c r="H86" s="169"/>
      <c r="I86" s="168" t="n">
        <f aca="false">(G86/(22)^(1/2))</f>
        <v>0.0233188283513949</v>
      </c>
      <c r="K86" s="167" t="n">
        <f aca="false">I86*C86</f>
        <v>1.09586352000763</v>
      </c>
      <c r="M86" s="170" t="n">
        <v>46.9947933701428</v>
      </c>
      <c r="N86" s="171" t="n">
        <f aca="false">M86</f>
        <v>46.9947933701428</v>
      </c>
    </row>
    <row r="87" customFormat="false" ht="12.75" hidden="false" customHeight="false" outlineLevel="0" collapsed="false">
      <c r="B87" s="149" t="n">
        <f aca="false">PJM_01212000!A121</f>
        <v>39114</v>
      </c>
      <c r="C87" s="167" t="n">
        <f aca="false">VLOOKUP(B87,'Super Peak Curve'!$C$23:$AN$275,38)</f>
        <v>46.9947933701428</v>
      </c>
      <c r="E87" s="150" t="n">
        <f aca="false">VLOOKUP(B87,PJM_01212000!$J$7:$AF$230,23)</f>
        <v>1.75</v>
      </c>
      <c r="G87" s="168" t="n">
        <f aca="false">E87/(256)^(1/2)</f>
        <v>0.109375</v>
      </c>
      <c r="H87" s="169"/>
      <c r="I87" s="168" t="n">
        <f aca="false">(G87/(22)^(1/2))</f>
        <v>0.0233188283513949</v>
      </c>
      <c r="K87" s="167" t="n">
        <f aca="false">I87*C87</f>
        <v>1.09586352000763</v>
      </c>
      <c r="M87" s="170" t="n">
        <v>46.9947933701428</v>
      </c>
      <c r="N87" s="171" t="n">
        <f aca="false">M87</f>
        <v>46.9947933701428</v>
      </c>
    </row>
    <row r="88" customFormat="false" ht="12.75" hidden="false" customHeight="false" outlineLevel="0" collapsed="false">
      <c r="B88" s="149" t="n">
        <f aca="false">PJM_01212000!A122</f>
        <v>39142</v>
      </c>
      <c r="C88" s="167" t="n">
        <f aca="false">VLOOKUP(B88,'Super Peak Curve'!$C$23:$AN$275,38)</f>
        <v>34.115112177906</v>
      </c>
      <c r="E88" s="150" t="n">
        <f aca="false">VLOOKUP(B88,PJM_01212000!$J$7:$AF$230,23)</f>
        <v>1.1</v>
      </c>
      <c r="G88" s="168" t="n">
        <f aca="false">E88/(256)^(1/2)</f>
        <v>0.06875</v>
      </c>
      <c r="H88" s="169"/>
      <c r="I88" s="168" t="n">
        <f aca="false">(G88/(22)^(1/2))</f>
        <v>0.0146575492494482</v>
      </c>
      <c r="K88" s="167" t="n">
        <f aca="false">I88*C88</f>
        <v>0.500043936898108</v>
      </c>
      <c r="M88" s="170" t="n">
        <v>34.115112177906</v>
      </c>
      <c r="N88" s="171" t="n">
        <f aca="false">M88</f>
        <v>34.115112177906</v>
      </c>
    </row>
    <row r="89" customFormat="false" ht="12.75" hidden="false" customHeight="false" outlineLevel="0" collapsed="false">
      <c r="B89" s="149" t="n">
        <f aca="false">PJM_01212000!A123</f>
        <v>39173</v>
      </c>
      <c r="C89" s="167" t="n">
        <f aca="false">VLOOKUP(B89,'Super Peak Curve'!$C$23:$AN$275,38)</f>
        <v>31.5636315957423</v>
      </c>
      <c r="E89" s="150" t="n">
        <f aca="false">VLOOKUP(B89,PJM_01212000!$J$7:$AF$230,23)</f>
        <v>1.2</v>
      </c>
      <c r="G89" s="168" t="n">
        <f aca="false">E89/(256)^(1/2)</f>
        <v>0.075</v>
      </c>
      <c r="H89" s="169"/>
      <c r="I89" s="168" t="n">
        <f aca="false">(G89/(22)^(1/2))</f>
        <v>0.0159900537266708</v>
      </c>
      <c r="K89" s="167" t="n">
        <f aca="false">I89*C89</f>
        <v>0.504704165024764</v>
      </c>
      <c r="M89" s="170" t="n">
        <v>31.5636315957423</v>
      </c>
      <c r="N89" s="171" t="n">
        <f aca="false">M89</f>
        <v>31.5636315957423</v>
      </c>
    </row>
    <row r="90" customFormat="false" ht="12.75" hidden="false" customHeight="false" outlineLevel="0" collapsed="false">
      <c r="B90" s="149" t="n">
        <f aca="false">PJM_01212000!A124</f>
        <v>39203</v>
      </c>
      <c r="C90" s="167" t="n">
        <f aca="false">VLOOKUP(B90,'Super Peak Curve'!$C$23:$AN$275,38)</f>
        <v>36.8587755811694</v>
      </c>
      <c r="E90" s="150" t="n">
        <f aca="false">VLOOKUP(B90,PJM_01212000!$J$7:$AF$230,23)</f>
        <v>2</v>
      </c>
      <c r="G90" s="168" t="n">
        <f aca="false">E90/(256)^(1/2)</f>
        <v>0.125</v>
      </c>
      <c r="H90" s="169"/>
      <c r="I90" s="168" t="n">
        <f aca="false">(G90/(22)^(1/2))</f>
        <v>0.0266500895444513</v>
      </c>
      <c r="K90" s="167" t="n">
        <f aca="false">I90*C90</f>
        <v>0.982289669736999</v>
      </c>
      <c r="M90" s="170" t="n">
        <v>36.8587755811694</v>
      </c>
      <c r="N90" s="171" t="n">
        <f aca="false">M90</f>
        <v>36.8587755811694</v>
      </c>
    </row>
    <row r="91" customFormat="false" ht="12.75" hidden="false" customHeight="false" outlineLevel="0" collapsed="false">
      <c r="B91" s="149" t="n">
        <f aca="false">PJM_01212000!A125</f>
        <v>39234</v>
      </c>
      <c r="C91" s="167" t="n">
        <f aca="false">VLOOKUP(B91,'Super Peak Curve'!$C$23:$AN$275,38)</f>
        <v>72.3107710903075</v>
      </c>
      <c r="E91" s="150" t="n">
        <f aca="false">VLOOKUP(B91,PJM_01212000!$J$7:$AF$230,23)</f>
        <v>2.25</v>
      </c>
      <c r="G91" s="168" t="n">
        <f aca="false">E91/(256)^(1/2)</f>
        <v>0.140625</v>
      </c>
      <c r="H91" s="169"/>
      <c r="I91" s="168" t="n">
        <f aca="false">(G91/(22)^(1/2))</f>
        <v>0.0299813507375077</v>
      </c>
      <c r="K91" s="167" t="n">
        <f aca="false">I91*C91</f>
        <v>2.16797459015814</v>
      </c>
      <c r="M91" s="170" t="n">
        <v>72.3107710903075</v>
      </c>
      <c r="N91" s="171" t="n">
        <f aca="false">M91</f>
        <v>72.3107710903075</v>
      </c>
    </row>
    <row r="92" customFormat="false" ht="12.75" hidden="false" customHeight="false" outlineLevel="0" collapsed="false">
      <c r="B92" s="149" t="n">
        <f aca="false">PJM_01212000!A126</f>
        <v>39264</v>
      </c>
      <c r="C92" s="167" t="n">
        <f aca="false">VLOOKUP(B92,'Super Peak Curve'!$C$23:$AN$275,38)</f>
        <v>131.569185498407</v>
      </c>
      <c r="E92" s="150" t="n">
        <f aca="false">VLOOKUP(B92,PJM_01212000!$J$7:$AF$230,23)</f>
        <v>3</v>
      </c>
      <c r="G92" s="168" t="n">
        <f aca="false">E92/(256)^(1/2)</f>
        <v>0.1875</v>
      </c>
      <c r="H92" s="169"/>
      <c r="I92" s="168" t="n">
        <f aca="false">(G92/(22)^(1/2))</f>
        <v>0.039975134316677</v>
      </c>
      <c r="K92" s="167" t="n">
        <f aca="false">I92*C92</f>
        <v>5.25949586223462</v>
      </c>
      <c r="M92" s="170" t="n">
        <v>131.569185498407</v>
      </c>
      <c r="N92" s="171" t="n">
        <f aca="false">M92</f>
        <v>131.569185498407</v>
      </c>
    </row>
    <row r="93" customFormat="false" ht="12.75" hidden="false" customHeight="false" outlineLevel="0" collapsed="false">
      <c r="B93" s="149" t="n">
        <f aca="false">PJM_01212000!A127</f>
        <v>39295</v>
      </c>
      <c r="C93" s="167" t="n">
        <f aca="false">VLOOKUP(B93,'Super Peak Curve'!$C$23:$AN$275,38)</f>
        <v>107.024034756588</v>
      </c>
      <c r="E93" s="150" t="n">
        <f aca="false">VLOOKUP(B93,PJM_01212000!$J$7:$AF$230,23)</f>
        <v>3</v>
      </c>
      <c r="G93" s="168" t="n">
        <f aca="false">E93/(256)^(1/2)</f>
        <v>0.1875</v>
      </c>
      <c r="H93" s="169"/>
      <c r="I93" s="168" t="n">
        <f aca="false">(G93/(22)^(1/2))</f>
        <v>0.039975134316677</v>
      </c>
      <c r="K93" s="167" t="n">
        <f aca="false">I93*C93</f>
        <v>4.2783001645073</v>
      </c>
      <c r="M93" s="170" t="n">
        <v>107.024034756588</v>
      </c>
      <c r="N93" s="171" t="n">
        <f aca="false">M93</f>
        <v>107.024034756588</v>
      </c>
    </row>
    <row r="94" customFormat="false" ht="12.75" hidden="false" customHeight="false" outlineLevel="0" collapsed="false">
      <c r="B94" s="149" t="n">
        <f aca="false">PJM_01212000!A128</f>
        <v>39326</v>
      </c>
      <c r="C94" s="167" t="n">
        <f aca="false">VLOOKUP(B94,'Super Peak Curve'!$C$23:$AN$275,38)</f>
        <v>40.3409216440135</v>
      </c>
      <c r="E94" s="150" t="n">
        <f aca="false">VLOOKUP(B94,PJM_01212000!$J$7:$AF$230,23)</f>
        <v>1.75</v>
      </c>
      <c r="G94" s="168" t="n">
        <f aca="false">E94/(256)^(1/2)</f>
        <v>0.109375</v>
      </c>
      <c r="H94" s="169"/>
      <c r="I94" s="168" t="n">
        <f aca="false">(G94/(22)^(1/2))</f>
        <v>0.0233188283513949</v>
      </c>
      <c r="K94" s="167" t="n">
        <f aca="false">I94*C94</f>
        <v>0.940703027353821</v>
      </c>
      <c r="M94" s="170" t="n">
        <v>40.3409216440135</v>
      </c>
      <c r="N94" s="171" t="n">
        <f aca="false">M94</f>
        <v>40.3409216440135</v>
      </c>
    </row>
    <row r="95" customFormat="false" ht="12.75" hidden="false" customHeight="false" outlineLevel="0" collapsed="false">
      <c r="B95" s="149" t="n">
        <f aca="false">PJM_01212000!A129</f>
        <v>39356</v>
      </c>
      <c r="C95" s="167" t="n">
        <f aca="false">VLOOKUP(B95,'Super Peak Curve'!$C$23:$AN$275,38)</f>
        <v>33.567767323122</v>
      </c>
      <c r="E95" s="150" t="n">
        <f aca="false">VLOOKUP(B95,PJM_01212000!$J$7:$AF$230,23)</f>
        <v>1.5</v>
      </c>
      <c r="G95" s="168" t="n">
        <f aca="false">E95/(256)^(1/2)</f>
        <v>0.09375</v>
      </c>
      <c r="H95" s="169"/>
      <c r="I95" s="168" t="n">
        <f aca="false">(G95/(22)^(1/2))</f>
        <v>0.0199875671583385</v>
      </c>
      <c r="K95" s="167" t="n">
        <f aca="false">I95*C95</f>
        <v>0.670938003726381</v>
      </c>
      <c r="M95" s="170" t="n">
        <v>33.567767323122</v>
      </c>
      <c r="N95" s="171" t="n">
        <f aca="false">M95</f>
        <v>33.567767323122</v>
      </c>
    </row>
    <row r="96" customFormat="false" ht="12.75" hidden="false" customHeight="false" outlineLevel="0" collapsed="false">
      <c r="B96" s="149" t="n">
        <f aca="false">PJM_01212000!A130</f>
        <v>39387</v>
      </c>
      <c r="C96" s="167" t="n">
        <f aca="false">VLOOKUP(B96,'Super Peak Curve'!$C$23:$AN$275,38)</f>
        <v>33.6378280972672</v>
      </c>
      <c r="E96" s="150" t="n">
        <f aca="false">VLOOKUP(B96,PJM_01212000!$J$7:$AF$230,23)</f>
        <v>1.5</v>
      </c>
      <c r="G96" s="168" t="n">
        <f aca="false">E96/(256)^(1/2)</f>
        <v>0.09375</v>
      </c>
      <c r="H96" s="169"/>
      <c r="I96" s="168" t="n">
        <f aca="false">(G96/(22)^(1/2))</f>
        <v>0.0199875671583385</v>
      </c>
      <c r="K96" s="167" t="n">
        <f aca="false">I96*C96</f>
        <v>0.672338348154772</v>
      </c>
      <c r="M96" s="170" t="n">
        <v>33.6378280972672</v>
      </c>
      <c r="N96" s="171" t="n">
        <f aca="false">M96</f>
        <v>33.6378280972672</v>
      </c>
    </row>
    <row r="97" customFormat="false" ht="12.75" hidden="false" customHeight="false" outlineLevel="0" collapsed="false">
      <c r="B97" s="149" t="n">
        <f aca="false">PJM_01212000!A131</f>
        <v>39417</v>
      </c>
      <c r="C97" s="167" t="n">
        <f aca="false">VLOOKUP(B97,'Super Peak Curve'!$C$23:$AN$275,38)</f>
        <v>36.1789162487942</v>
      </c>
      <c r="E97" s="150" t="n">
        <f aca="false">VLOOKUP(B97,PJM_01212000!$J$7:$AF$230,23)</f>
        <v>1.5</v>
      </c>
      <c r="G97" s="168" t="n">
        <f aca="false">E97/(256)^(1/2)</f>
        <v>0.09375</v>
      </c>
      <c r="H97" s="169"/>
      <c r="I97" s="168" t="n">
        <f aca="false">(G97/(22)^(1/2))</f>
        <v>0.0199875671583385</v>
      </c>
      <c r="K97" s="167" t="n">
        <f aca="false">I97*C97</f>
        <v>0.723128518238677</v>
      </c>
      <c r="M97" s="170" t="n">
        <v>36.1789162487942</v>
      </c>
      <c r="N97" s="171" t="n">
        <f aca="false">M97</f>
        <v>36.1789162487942</v>
      </c>
    </row>
    <row r="98" customFormat="false" ht="12.75" hidden="false" customHeight="false" outlineLevel="0" collapsed="false">
      <c r="B98" s="149" t="n">
        <f aca="false">PJM_01212000!A132</f>
        <v>39448</v>
      </c>
      <c r="C98" s="167" t="n">
        <f aca="false">VLOOKUP(B98,'Super Peak Curve'!$C$23:$AN$275,38)</f>
        <v>47.6079022447834</v>
      </c>
      <c r="E98" s="150" t="n">
        <f aca="false">VLOOKUP(B98,PJM_01212000!$J$7:$AF$230,23)</f>
        <v>1.75</v>
      </c>
      <c r="G98" s="168" t="n">
        <f aca="false">E98/(256)^(1/2)</f>
        <v>0.109375</v>
      </c>
      <c r="H98" s="169"/>
      <c r="I98" s="168" t="n">
        <f aca="false">(G98/(22)^(1/2))</f>
        <v>0.0233188283513949</v>
      </c>
      <c r="K98" s="167" t="n">
        <f aca="false">I98*C98</f>
        <v>1.11016050061609</v>
      </c>
      <c r="M98" s="170" t="n">
        <v>47.6079022447834</v>
      </c>
      <c r="N98" s="171" t="n">
        <f aca="false">M98</f>
        <v>47.6079022447834</v>
      </c>
    </row>
    <row r="99" customFormat="false" ht="12.75" hidden="false" customHeight="false" outlineLevel="0" collapsed="false">
      <c r="B99" s="149" t="n">
        <f aca="false">PJM_01212000!A133</f>
        <v>39479</v>
      </c>
      <c r="C99" s="167" t="n">
        <f aca="false">VLOOKUP(B99,'Super Peak Curve'!$C$23:$AN$275,38)</f>
        <v>47.6079022447834</v>
      </c>
      <c r="E99" s="150" t="n">
        <f aca="false">VLOOKUP(B99,PJM_01212000!$J$7:$AF$230,23)</f>
        <v>1.75</v>
      </c>
      <c r="G99" s="168" t="n">
        <f aca="false">E99/(256)^(1/2)</f>
        <v>0.109375</v>
      </c>
      <c r="H99" s="169"/>
      <c r="I99" s="168" t="n">
        <f aca="false">(G99/(22)^(1/2))</f>
        <v>0.0233188283513949</v>
      </c>
      <c r="K99" s="167" t="n">
        <f aca="false">I99*C99</f>
        <v>1.11016050061609</v>
      </c>
      <c r="M99" s="170" t="n">
        <v>47.6079022447834</v>
      </c>
      <c r="N99" s="171" t="n">
        <f aca="false">M99</f>
        <v>47.6079022447834</v>
      </c>
    </row>
    <row r="100" customFormat="false" ht="12.75" hidden="false" customHeight="false" outlineLevel="0" collapsed="false">
      <c r="B100" s="149" t="n">
        <f aca="false">PJM_01212000!A134</f>
        <v>39508</v>
      </c>
      <c r="C100" s="167" t="n">
        <f aca="false">VLOOKUP(B100,'Super Peak Curve'!$C$23:$AN$275,38)</f>
        <v>34.723224677906</v>
      </c>
      <c r="E100" s="150" t="n">
        <f aca="false">VLOOKUP(B100,PJM_01212000!$J$7:$AF$230,23)</f>
        <v>1.1</v>
      </c>
      <c r="G100" s="168" t="n">
        <f aca="false">E100/(256)^(1/2)</f>
        <v>0.06875</v>
      </c>
      <c r="H100" s="169"/>
      <c r="I100" s="168" t="n">
        <f aca="false">(G100/(22)^(1/2))</f>
        <v>0.0146575492494482</v>
      </c>
      <c r="K100" s="167" t="n">
        <f aca="false">I100*C100</f>
        <v>0.508957375816064</v>
      </c>
      <c r="M100" s="170" t="n">
        <v>34.723224677906</v>
      </c>
      <c r="N100" s="171" t="n">
        <f aca="false">M100</f>
        <v>34.723224677906</v>
      </c>
    </row>
    <row r="101" customFormat="false" ht="12.75" hidden="false" customHeight="false" outlineLevel="0" collapsed="false">
      <c r="B101" s="149" t="n">
        <f aca="false">PJM_01212000!A135</f>
        <v>39539</v>
      </c>
      <c r="C101" s="167" t="n">
        <f aca="false">VLOOKUP(B101,'Super Peak Curve'!$C$23:$AN$275,38)</f>
        <v>32.1308127409408</v>
      </c>
      <c r="E101" s="150" t="n">
        <f aca="false">VLOOKUP(B101,PJM_01212000!$J$7:$AF$230,23)</f>
        <v>1.2</v>
      </c>
      <c r="G101" s="168" t="n">
        <f aca="false">E101/(256)^(1/2)</f>
        <v>0.075</v>
      </c>
      <c r="H101" s="169"/>
      <c r="I101" s="168" t="n">
        <f aca="false">(G101/(22)^(1/2))</f>
        <v>0.0159900537266708</v>
      </c>
      <c r="K101" s="167" t="n">
        <f aca="false">I101*C101</f>
        <v>0.513773422009241</v>
      </c>
      <c r="M101" s="170" t="n">
        <v>32.1308127409408</v>
      </c>
      <c r="N101" s="171" t="n">
        <f aca="false">M101</f>
        <v>32.1308127409408</v>
      </c>
    </row>
    <row r="102" customFormat="false" ht="12.75" hidden="false" customHeight="false" outlineLevel="0" collapsed="false">
      <c r="B102" s="149" t="n">
        <f aca="false">PJM_01212000!A136</f>
        <v>39569</v>
      </c>
      <c r="C102" s="167" t="n">
        <f aca="false">VLOOKUP(B102,'Super Peak Curve'!$C$23:$AN$275,38)</f>
        <v>38.2310308150178</v>
      </c>
      <c r="E102" s="150" t="n">
        <f aca="false">VLOOKUP(B102,PJM_01212000!$J$7:$AF$230,23)</f>
        <v>2</v>
      </c>
      <c r="G102" s="168" t="n">
        <f aca="false">E102/(256)^(1/2)</f>
        <v>0.125</v>
      </c>
      <c r="H102" s="169"/>
      <c r="I102" s="168" t="n">
        <f aca="false">(G102/(22)^(1/2))</f>
        <v>0.0266500895444513</v>
      </c>
      <c r="K102" s="167" t="n">
        <f aca="false">I102*C102</f>
        <v>1.0188603945969</v>
      </c>
      <c r="M102" s="170" t="n">
        <v>38.2310308150178</v>
      </c>
      <c r="N102" s="171" t="n">
        <f aca="false">M102</f>
        <v>38.2310308150178</v>
      </c>
    </row>
    <row r="103" customFormat="false" ht="12.75" hidden="false" customHeight="false" outlineLevel="0" collapsed="false">
      <c r="B103" s="149" t="n">
        <f aca="false">PJM_01212000!A137</f>
        <v>39600</v>
      </c>
      <c r="C103" s="167" t="n">
        <f aca="false">VLOOKUP(B103,'Super Peak Curve'!$C$23:$AN$275,38)</f>
        <v>73.8532363841044</v>
      </c>
      <c r="E103" s="150" t="n">
        <f aca="false">VLOOKUP(B103,PJM_01212000!$J$7:$AF$230,23)</f>
        <v>2.25</v>
      </c>
      <c r="G103" s="168" t="n">
        <f aca="false">E103/(256)^(1/2)</f>
        <v>0.140625</v>
      </c>
      <c r="H103" s="169"/>
      <c r="I103" s="168" t="n">
        <f aca="false">(G103/(22)^(1/2))</f>
        <v>0.0299813507375077</v>
      </c>
      <c r="K103" s="167" t="n">
        <f aca="false">I103*C103</f>
        <v>2.2142197831319</v>
      </c>
      <c r="M103" s="170" t="n">
        <v>73.8532363841044</v>
      </c>
      <c r="N103" s="171" t="n">
        <f aca="false">M103</f>
        <v>73.8532363841044</v>
      </c>
    </row>
    <row r="104" customFormat="false" ht="12.75" hidden="false" customHeight="false" outlineLevel="0" collapsed="false">
      <c r="B104" s="149" t="n">
        <f aca="false">PJM_01212000!A138</f>
        <v>39630</v>
      </c>
      <c r="C104" s="167" t="n">
        <f aca="false">VLOOKUP(B104,'Super Peak Curve'!$C$23:$AN$275,38)</f>
        <v>134.523583466347</v>
      </c>
      <c r="E104" s="150" t="n">
        <f aca="false">VLOOKUP(B104,PJM_01212000!$J$7:$AF$230,23)</f>
        <v>3</v>
      </c>
      <c r="G104" s="168" t="n">
        <f aca="false">E104/(256)^(1/2)</f>
        <v>0.1875</v>
      </c>
      <c r="H104" s="169"/>
      <c r="I104" s="168" t="n">
        <f aca="false">(G104/(22)^(1/2))</f>
        <v>0.039975134316677</v>
      </c>
      <c r="K104" s="167" t="n">
        <f aca="false">I104*C104</f>
        <v>5.37759831782791</v>
      </c>
      <c r="M104" s="170" t="n">
        <v>134.523583466347</v>
      </c>
      <c r="N104" s="171" t="n">
        <f aca="false">M104</f>
        <v>134.523583466347</v>
      </c>
    </row>
    <row r="105" customFormat="false" ht="12.75" hidden="false" customHeight="false" outlineLevel="0" collapsed="false">
      <c r="B105" s="149" t="n">
        <f aca="false">PJM_01212000!A139</f>
        <v>39661</v>
      </c>
      <c r="C105" s="167" t="n">
        <f aca="false">VLOOKUP(B105,'Super Peak Curve'!$C$23:$AN$275,38)</f>
        <v>109.785549511517</v>
      </c>
      <c r="E105" s="150" t="n">
        <f aca="false">VLOOKUP(B105,PJM_01212000!$J$7:$AF$230,23)</f>
        <v>3</v>
      </c>
      <c r="G105" s="168" t="n">
        <f aca="false">E105/(256)^(1/2)</f>
        <v>0.1875</v>
      </c>
      <c r="H105" s="169"/>
      <c r="I105" s="168" t="n">
        <f aca="false">(G105/(22)^(1/2))</f>
        <v>0.039975134316677</v>
      </c>
      <c r="K105" s="167" t="n">
        <f aca="false">I105*C105</f>
        <v>4.38869208775307</v>
      </c>
      <c r="M105" s="170" t="n">
        <v>109.785549511517</v>
      </c>
      <c r="N105" s="171" t="n">
        <f aca="false">M105</f>
        <v>109.785549511517</v>
      </c>
    </row>
    <row r="106" customFormat="false" ht="12.75" hidden="false" customHeight="false" outlineLevel="0" collapsed="false">
      <c r="B106" s="149" t="n">
        <f aca="false">PJM_01212000!A140</f>
        <v>39692</v>
      </c>
      <c r="C106" s="167" t="n">
        <f aca="false">VLOOKUP(B106,'Super Peak Curve'!$C$23:$AN$275,38)</f>
        <v>40.9184581280008</v>
      </c>
      <c r="E106" s="150" t="n">
        <f aca="false">VLOOKUP(B106,PJM_01212000!$J$7:$AF$230,23)</f>
        <v>1.75</v>
      </c>
      <c r="G106" s="168" t="n">
        <f aca="false">E106/(256)^(1/2)</f>
        <v>0.109375</v>
      </c>
      <c r="H106" s="169"/>
      <c r="I106" s="168" t="n">
        <f aca="false">(G106/(22)^(1/2))</f>
        <v>0.0233188283513949</v>
      </c>
      <c r="K106" s="167" t="n">
        <f aca="false">I106*C106</f>
        <v>0.95417050149059</v>
      </c>
      <c r="M106" s="170" t="n">
        <v>40.9184581280008</v>
      </c>
      <c r="N106" s="171" t="n">
        <f aca="false">M106</f>
        <v>40.9184581280008</v>
      </c>
    </row>
    <row r="107" customFormat="false" ht="12.75" hidden="false" customHeight="false" outlineLevel="0" collapsed="false">
      <c r="B107" s="149" t="n">
        <f aca="false">PJM_01212000!A141</f>
        <v>39722</v>
      </c>
      <c r="C107" s="167" t="n">
        <f aca="false">VLOOKUP(B107,'Super Peak Curve'!$C$23:$AN$275,38)</f>
        <v>34.155129823122</v>
      </c>
      <c r="E107" s="150" t="n">
        <f aca="false">VLOOKUP(B107,PJM_01212000!$J$7:$AF$230,23)</f>
        <v>1.5</v>
      </c>
      <c r="G107" s="168" t="n">
        <f aca="false">E107/(256)^(1/2)</f>
        <v>0.09375</v>
      </c>
      <c r="H107" s="169"/>
      <c r="I107" s="168" t="n">
        <f aca="false">(G107/(22)^(1/2))</f>
        <v>0.0199875671583385</v>
      </c>
      <c r="K107" s="167" t="n">
        <f aca="false">I107*C107</f>
        <v>0.682677951141421</v>
      </c>
      <c r="M107" s="170" t="n">
        <v>34.155129823122</v>
      </c>
      <c r="N107" s="171" t="n">
        <f aca="false">M107</f>
        <v>34.155129823122</v>
      </c>
    </row>
    <row r="108" customFormat="false" ht="12.75" hidden="false" customHeight="false" outlineLevel="0" collapsed="false">
      <c r="B108" s="149" t="n">
        <f aca="false">PJM_01212000!A142</f>
        <v>39753</v>
      </c>
      <c r="C108" s="167" t="n">
        <f aca="false">VLOOKUP(B108,'Super Peak Curve'!$C$23:$AN$275,38)</f>
        <v>34.2332405972672</v>
      </c>
      <c r="E108" s="150" t="n">
        <f aca="false">VLOOKUP(B108,PJM_01212000!$J$7:$AF$230,23)</f>
        <v>1.5</v>
      </c>
      <c r="G108" s="168" t="n">
        <f aca="false">E108/(256)^(1/2)</f>
        <v>0.09375</v>
      </c>
      <c r="H108" s="169"/>
      <c r="I108" s="168" t="n">
        <f aca="false">(G108/(22)^(1/2))</f>
        <v>0.0199875671583385</v>
      </c>
      <c r="K108" s="167" t="n">
        <f aca="false">I108*C108</f>
        <v>0.684239195485437</v>
      </c>
      <c r="M108" s="170" t="n">
        <v>34.2332405972672</v>
      </c>
      <c r="N108" s="171" t="n">
        <f aca="false">M108</f>
        <v>34.2332405972672</v>
      </c>
    </row>
    <row r="109" customFormat="false" ht="12.75" hidden="false" customHeight="false" outlineLevel="0" collapsed="false">
      <c r="B109" s="149" t="n">
        <f aca="false">PJM_01212000!A143</f>
        <v>39783</v>
      </c>
      <c r="C109" s="167" t="n">
        <f aca="false">VLOOKUP(B109,'Super Peak Curve'!$C$23:$AN$275,38)</f>
        <v>36.7818981939414</v>
      </c>
      <c r="E109" s="150" t="n">
        <f aca="false">VLOOKUP(B109,PJM_01212000!$J$7:$AF$230,23)</f>
        <v>1.5</v>
      </c>
      <c r="G109" s="168" t="n">
        <f aca="false">E109/(256)^(1/2)</f>
        <v>0.09375</v>
      </c>
      <c r="H109" s="169"/>
      <c r="I109" s="168" t="n">
        <f aca="false">(G109/(22)^(1/2))</f>
        <v>0.0199875671583385</v>
      </c>
      <c r="K109" s="167" t="n">
        <f aca="false">I109*C109</f>
        <v>0.735180660362573</v>
      </c>
      <c r="M109" s="170" t="n">
        <v>36.7818981939414</v>
      </c>
      <c r="N109" s="171" t="n">
        <f aca="false">M109</f>
        <v>36.7818981939414</v>
      </c>
    </row>
    <row r="110" customFormat="false" ht="12.75" hidden="false" customHeight="false" outlineLevel="0" collapsed="false">
      <c r="B110" s="149" t="n">
        <f aca="false">PJM_01212000!A144</f>
        <v>39814</v>
      </c>
      <c r="C110" s="167" t="n">
        <f aca="false">VLOOKUP(B110,'Super Peak Curve'!$C$23:$AN$275,38)</f>
        <v>48.221011119424</v>
      </c>
      <c r="E110" s="150" t="n">
        <f aca="false">VLOOKUP(B110,PJM_01212000!$J$7:$AF$230,23)</f>
        <v>1.75</v>
      </c>
      <c r="G110" s="168" t="n">
        <f aca="false">E110/(256)^(1/2)</f>
        <v>0.109375</v>
      </c>
      <c r="H110" s="169"/>
      <c r="I110" s="168" t="n">
        <f aca="false">(G110/(22)^(1/2))</f>
        <v>0.0233188283513949</v>
      </c>
      <c r="K110" s="167" t="n">
        <f aca="false">I110*C110</f>
        <v>1.12445748122455</v>
      </c>
      <c r="M110" s="170" t="n">
        <v>48.221011119424</v>
      </c>
      <c r="N110" s="171" t="n">
        <f aca="false">M110</f>
        <v>48.221011119424</v>
      </c>
    </row>
    <row r="111" customFormat="false" ht="12.75" hidden="false" customHeight="false" outlineLevel="0" collapsed="false">
      <c r="B111" s="149" t="n">
        <f aca="false">PJM_01212000!A145</f>
        <v>39845</v>
      </c>
      <c r="C111" s="167" t="n">
        <f aca="false">VLOOKUP(B111,'Super Peak Curve'!$C$23:$AN$275,38)</f>
        <v>48.221011119424</v>
      </c>
      <c r="E111" s="150" t="n">
        <f aca="false">VLOOKUP(B111,PJM_01212000!$J$7:$AF$230,23)</f>
        <v>1.75</v>
      </c>
      <c r="G111" s="168" t="n">
        <f aca="false">E111/(256)^(1/2)</f>
        <v>0.109375</v>
      </c>
      <c r="H111" s="169"/>
      <c r="I111" s="168" t="n">
        <f aca="false">(G111/(22)^(1/2))</f>
        <v>0.0233188283513949</v>
      </c>
      <c r="K111" s="167" t="n">
        <f aca="false">I111*C111</f>
        <v>1.12445748122455</v>
      </c>
      <c r="M111" s="170" t="n">
        <v>48.221011119424</v>
      </c>
      <c r="N111" s="171" t="n">
        <f aca="false">M111</f>
        <v>48.221011119424</v>
      </c>
    </row>
    <row r="112" customFormat="false" ht="12.75" hidden="false" customHeight="false" outlineLevel="0" collapsed="false">
      <c r="B112" s="149" t="n">
        <f aca="false">PJM_01212000!A146</f>
        <v>39873</v>
      </c>
      <c r="C112" s="167" t="n">
        <f aca="false">VLOOKUP(B112,'Super Peak Curve'!$C$23:$AN$275,38)</f>
        <v>35.331337177906</v>
      </c>
      <c r="E112" s="150" t="n">
        <f aca="false">VLOOKUP(B112,PJM_01212000!$J$7:$AF$230,23)</f>
        <v>1.1</v>
      </c>
      <c r="G112" s="168" t="n">
        <f aca="false">E112/(256)^(1/2)</f>
        <v>0.06875</v>
      </c>
      <c r="H112" s="169"/>
      <c r="I112" s="168" t="n">
        <f aca="false">(G112/(22)^(1/2))</f>
        <v>0.0146575492494482</v>
      </c>
      <c r="K112" s="167" t="n">
        <f aca="false">I112*C112</f>
        <v>0.517870814734019</v>
      </c>
      <c r="M112" s="170" t="n">
        <v>35.331337177906</v>
      </c>
      <c r="N112" s="171" t="n">
        <f aca="false">M112</f>
        <v>35.331337177906</v>
      </c>
    </row>
    <row r="113" customFormat="false" ht="12.75" hidden="false" customHeight="false" outlineLevel="0" collapsed="false">
      <c r="B113" s="149" t="n">
        <f aca="false">PJM_01212000!A147</f>
        <v>39904</v>
      </c>
      <c r="C113" s="167" t="n">
        <f aca="false">VLOOKUP(B113,'Super Peak Curve'!$C$23:$AN$275,38)</f>
        <v>32.6979938861392</v>
      </c>
      <c r="E113" s="150" t="n">
        <f aca="false">VLOOKUP(B113,PJM_01212000!$J$7:$AF$230,23)</f>
        <v>1.2</v>
      </c>
      <c r="G113" s="168" t="n">
        <f aca="false">E113/(256)^(1/2)</f>
        <v>0.075</v>
      </c>
      <c r="H113" s="169"/>
      <c r="I113" s="168" t="n">
        <f aca="false">(G113/(22)^(1/2))</f>
        <v>0.0159900537266708</v>
      </c>
      <c r="K113" s="167" t="n">
        <f aca="false">I113*C113</f>
        <v>0.522842678993719</v>
      </c>
      <c r="M113" s="170" t="n">
        <v>32.6979938861392</v>
      </c>
      <c r="N113" s="171" t="n">
        <f aca="false">M113</f>
        <v>32.6979938861392</v>
      </c>
    </row>
    <row r="114" customFormat="false" ht="12.75" hidden="false" customHeight="false" outlineLevel="0" collapsed="false">
      <c r="B114" s="149" t="n">
        <f aca="false">PJM_01212000!A148</f>
        <v>39934</v>
      </c>
      <c r="C114" s="167" t="n">
        <f aca="false">VLOOKUP(B114,'Super Peak Curve'!$C$23:$AN$275,38)</f>
        <v>39.6032860488663</v>
      </c>
      <c r="E114" s="150" t="n">
        <f aca="false">VLOOKUP(B114,PJM_01212000!$J$7:$AF$230,23)</f>
        <v>2</v>
      </c>
      <c r="G114" s="168" t="n">
        <f aca="false">E114/(256)^(1/2)</f>
        <v>0.125</v>
      </c>
      <c r="H114" s="169"/>
      <c r="I114" s="168" t="n">
        <f aca="false">(G114/(22)^(1/2))</f>
        <v>0.0266500895444513</v>
      </c>
      <c r="K114" s="167" t="n">
        <f aca="false">I114*C114</f>
        <v>1.05543111945681</v>
      </c>
      <c r="M114" s="170" t="n">
        <v>39.6032860488663</v>
      </c>
      <c r="N114" s="171" t="n">
        <f aca="false">M114</f>
        <v>39.6032860488663</v>
      </c>
    </row>
    <row r="115" customFormat="false" ht="12.75" hidden="false" customHeight="false" outlineLevel="0" collapsed="false">
      <c r="B115" s="149" t="n">
        <f aca="false">PJM_01212000!A149</f>
        <v>39965</v>
      </c>
      <c r="C115" s="167" t="n">
        <f aca="false">VLOOKUP(B115,'Super Peak Curve'!$C$23:$AN$275,38)</f>
        <v>75.3957016779013</v>
      </c>
      <c r="E115" s="150" t="n">
        <f aca="false">VLOOKUP(B115,PJM_01212000!$J$7:$AF$230,23)</f>
        <v>2.25</v>
      </c>
      <c r="G115" s="168" t="n">
        <f aca="false">E115/(256)^(1/2)</f>
        <v>0.140625</v>
      </c>
      <c r="H115" s="169"/>
      <c r="I115" s="168" t="n">
        <f aca="false">(G115/(22)^(1/2))</f>
        <v>0.0299813507375077</v>
      </c>
      <c r="K115" s="167" t="n">
        <f aca="false">I115*C115</f>
        <v>2.26046497610566</v>
      </c>
      <c r="M115" s="170" t="n">
        <v>75.3957016779013</v>
      </c>
      <c r="N115" s="171" t="n">
        <f aca="false">M115</f>
        <v>75.3957016779013</v>
      </c>
    </row>
    <row r="116" customFormat="false" ht="12.75" hidden="false" customHeight="false" outlineLevel="0" collapsed="false">
      <c r="B116" s="149" t="n">
        <f aca="false">PJM_01212000!A150</f>
        <v>39995</v>
      </c>
      <c r="C116" s="167" t="n">
        <f aca="false">VLOOKUP(B116,'Super Peak Curve'!$C$23:$AN$275,38)</f>
        <v>137.477981434286</v>
      </c>
      <c r="E116" s="150" t="n">
        <f aca="false">VLOOKUP(B116,PJM_01212000!$J$7:$AF$230,23)</f>
        <v>3</v>
      </c>
      <c r="G116" s="168" t="n">
        <f aca="false">E116/(256)^(1/2)</f>
        <v>0.1875</v>
      </c>
      <c r="H116" s="169"/>
      <c r="I116" s="168" t="n">
        <f aca="false">(G116/(22)^(1/2))</f>
        <v>0.039975134316677</v>
      </c>
      <c r="K116" s="167" t="n">
        <f aca="false">I116*C116</f>
        <v>5.4957007734212</v>
      </c>
      <c r="M116" s="170" t="n">
        <v>137.477981434286</v>
      </c>
      <c r="N116" s="171" t="n">
        <f aca="false">M116</f>
        <v>137.477981434286</v>
      </c>
    </row>
    <row r="117" customFormat="false" ht="12.75" hidden="false" customHeight="false" outlineLevel="0" collapsed="false">
      <c r="B117" s="149" t="n">
        <f aca="false">PJM_01212000!A151</f>
        <v>40026</v>
      </c>
      <c r="C117" s="167" t="n">
        <f aca="false">VLOOKUP(B117,'Super Peak Curve'!$C$23:$AN$275,38)</f>
        <v>112.547064266446</v>
      </c>
      <c r="E117" s="150" t="n">
        <f aca="false">VLOOKUP(B117,PJM_01212000!$J$7:$AF$230,23)</f>
        <v>3</v>
      </c>
      <c r="G117" s="168" t="n">
        <f aca="false">E117/(256)^(1/2)</f>
        <v>0.1875</v>
      </c>
      <c r="H117" s="169"/>
      <c r="I117" s="168" t="n">
        <f aca="false">(G117/(22)^(1/2))</f>
        <v>0.039975134316677</v>
      </c>
      <c r="K117" s="167" t="n">
        <f aca="false">I117*C117</f>
        <v>4.49908401099884</v>
      </c>
      <c r="M117" s="170" t="n">
        <v>112.547064266446</v>
      </c>
      <c r="N117" s="171" t="n">
        <f aca="false">M117</f>
        <v>112.547064266446</v>
      </c>
    </row>
    <row r="118" customFormat="false" ht="12.75" hidden="false" customHeight="false" outlineLevel="0" collapsed="false">
      <c r="B118" s="149" t="n">
        <f aca="false">PJM_01212000!A152</f>
        <v>40057</v>
      </c>
      <c r="C118" s="167" t="n">
        <f aca="false">VLOOKUP(B118,'Super Peak Curve'!$C$23:$AN$275,38)</f>
        <v>41.4959946119881</v>
      </c>
      <c r="E118" s="150" t="n">
        <f aca="false">VLOOKUP(B118,PJM_01212000!$J$7:$AF$230,23)</f>
        <v>1.75</v>
      </c>
      <c r="G118" s="168" t="n">
        <f aca="false">E118/(256)^(1/2)</f>
        <v>0.109375</v>
      </c>
      <c r="H118" s="169"/>
      <c r="I118" s="168" t="n">
        <f aca="false">(G118/(22)^(1/2))</f>
        <v>0.0233188283513949</v>
      </c>
      <c r="K118" s="167" t="n">
        <f aca="false">I118*C118</f>
        <v>0.967637975627359</v>
      </c>
      <c r="M118" s="170" t="n">
        <v>41.4959946119881</v>
      </c>
      <c r="N118" s="171" t="n">
        <f aca="false">M118</f>
        <v>41.4959946119881</v>
      </c>
    </row>
    <row r="119" customFormat="false" ht="12.75" hidden="false" customHeight="false" outlineLevel="0" collapsed="false">
      <c r="B119" s="149" t="n">
        <f aca="false">PJM_01212000!A153</f>
        <v>40087</v>
      </c>
      <c r="C119" s="167" t="n">
        <f aca="false">VLOOKUP(B119,'Super Peak Curve'!$C$23:$AN$275,38)</f>
        <v>34.742492323122</v>
      </c>
      <c r="E119" s="150" t="n">
        <f aca="false">VLOOKUP(B119,PJM_01212000!$J$7:$AF$230,23)</f>
        <v>1.5</v>
      </c>
      <c r="G119" s="168" t="n">
        <f aca="false">E119/(256)^(1/2)</f>
        <v>0.09375</v>
      </c>
      <c r="H119" s="169"/>
      <c r="I119" s="168" t="n">
        <f aca="false">(G119/(22)^(1/2))</f>
        <v>0.0199875671583385</v>
      </c>
      <c r="K119" s="167" t="n">
        <f aca="false">I119*C119</f>
        <v>0.694417898556461</v>
      </c>
      <c r="M119" s="170" t="n">
        <v>34.742492323122</v>
      </c>
      <c r="N119" s="171" t="n">
        <f aca="false">M119</f>
        <v>34.742492323122</v>
      </c>
    </row>
    <row r="120" customFormat="false" ht="12.75" hidden="false" customHeight="false" outlineLevel="0" collapsed="false">
      <c r="B120" s="149" t="n">
        <f aca="false">PJM_01212000!A154</f>
        <v>40118</v>
      </c>
      <c r="C120" s="167" t="n">
        <f aca="false">VLOOKUP(B120,'Super Peak Curve'!$C$23:$AN$275,38)</f>
        <v>34.8286530972672</v>
      </c>
      <c r="E120" s="150" t="n">
        <f aca="false">VLOOKUP(B120,PJM_01212000!$J$7:$AF$230,23)</f>
        <v>1.5</v>
      </c>
      <c r="G120" s="168" t="n">
        <f aca="false">E120/(256)^(1/2)</f>
        <v>0.09375</v>
      </c>
      <c r="H120" s="169"/>
      <c r="I120" s="168" t="n">
        <f aca="false">(G120/(22)^(1/2))</f>
        <v>0.0199875671583385</v>
      </c>
      <c r="K120" s="167" t="n">
        <f aca="false">I120*C120</f>
        <v>0.696140042816101</v>
      </c>
      <c r="M120" s="170" t="n">
        <v>34.8286530972672</v>
      </c>
      <c r="N120" s="171" t="n">
        <f aca="false">M120</f>
        <v>34.8286530972672</v>
      </c>
    </row>
    <row r="121" customFormat="false" ht="12.75" hidden="false" customHeight="false" outlineLevel="0" collapsed="false">
      <c r="B121" s="149" t="n">
        <f aca="false">PJM_01212000!A155</f>
        <v>40148</v>
      </c>
      <c r="C121" s="167" t="n">
        <f aca="false">VLOOKUP(B121,'Super Peak Curve'!$C$23:$AN$275,38)</f>
        <v>37.3848801390886</v>
      </c>
      <c r="E121" s="150" t="n">
        <f aca="false">VLOOKUP(B121,PJM_01212000!$J$7:$AF$230,23)</f>
        <v>1.5</v>
      </c>
      <c r="G121" s="168" t="n">
        <f aca="false">E121/(256)^(1/2)</f>
        <v>0.09375</v>
      </c>
      <c r="H121" s="169"/>
      <c r="I121" s="168" t="n">
        <f aca="false">(G121/(22)^(1/2))</f>
        <v>0.0199875671583385</v>
      </c>
      <c r="K121" s="167" t="n">
        <f aca="false">I121*C121</f>
        <v>0.747232802486468</v>
      </c>
      <c r="M121" s="170" t="n">
        <v>37.3848801390886</v>
      </c>
      <c r="N121" s="171" t="n">
        <f aca="false">M121</f>
        <v>37.3848801390886</v>
      </c>
    </row>
    <row r="122" customFormat="false" ht="12.75" hidden="false" customHeight="false" outlineLevel="0" collapsed="false">
      <c r="B122" s="149" t="n">
        <f aca="false">PJM_01212000!A156</f>
        <v>40179</v>
      </c>
      <c r="C122" s="167" t="n">
        <f aca="false">VLOOKUP(B122,'Super Peak Curve'!$C$23:$AN$275,38)</f>
        <v>48.8341199940646</v>
      </c>
      <c r="E122" s="150" t="n">
        <f aca="false">VLOOKUP(B122,PJM_01212000!$J$7:$AF$230,23)</f>
        <v>1.75</v>
      </c>
      <c r="G122" s="168" t="n">
        <f aca="false">E122/(256)^(1/2)</f>
        <v>0.109375</v>
      </c>
      <c r="H122" s="169"/>
      <c r="I122" s="168" t="n">
        <f aca="false">(G122/(22)^(1/2))</f>
        <v>0.0233188283513949</v>
      </c>
      <c r="K122" s="167" t="n">
        <f aca="false">I122*C122</f>
        <v>1.13875446183301</v>
      </c>
      <c r="M122" s="170" t="n">
        <v>48.8341199940646</v>
      </c>
      <c r="N122" s="171" t="n">
        <f aca="false">M122</f>
        <v>48.8341199940646</v>
      </c>
    </row>
    <row r="123" customFormat="false" ht="12.75" hidden="false" customHeight="false" outlineLevel="0" collapsed="false">
      <c r="B123" s="149" t="n">
        <f aca="false">PJM_01212000!A157</f>
        <v>40210</v>
      </c>
      <c r="C123" s="167" t="n">
        <f aca="false">VLOOKUP(B123,'Super Peak Curve'!$C$23:$AN$275,38)</f>
        <v>48.8341199940646</v>
      </c>
      <c r="E123" s="150" t="n">
        <f aca="false">VLOOKUP(B123,PJM_01212000!$J$7:$AF$230,23)</f>
        <v>1.75</v>
      </c>
      <c r="G123" s="168" t="n">
        <f aca="false">E123/(256)^(1/2)</f>
        <v>0.109375</v>
      </c>
      <c r="H123" s="169"/>
      <c r="I123" s="168" t="n">
        <f aca="false">(G123/(22)^(1/2))</f>
        <v>0.0233188283513949</v>
      </c>
      <c r="K123" s="167" t="n">
        <f aca="false">I123*C123</f>
        <v>1.13875446183301</v>
      </c>
      <c r="M123" s="170" t="n">
        <v>48.8341199940646</v>
      </c>
      <c r="N123" s="171" t="n">
        <f aca="false">M123</f>
        <v>48.8341199940646</v>
      </c>
    </row>
    <row r="124" customFormat="false" ht="12.75" hidden="false" customHeight="false" outlineLevel="0" collapsed="false">
      <c r="B124" s="149" t="n">
        <f aca="false">PJM_01212000!A158</f>
        <v>40238</v>
      </c>
      <c r="C124" s="167" t="n">
        <f aca="false">VLOOKUP(B124,'Super Peak Curve'!$C$23:$AN$275,38)</f>
        <v>35.939449677906</v>
      </c>
      <c r="E124" s="150" t="n">
        <f aca="false">VLOOKUP(B124,PJM_01212000!$J$7:$AF$230,23)</f>
        <v>1.1</v>
      </c>
      <c r="G124" s="168" t="n">
        <f aca="false">E124/(256)^(1/2)</f>
        <v>0.06875</v>
      </c>
      <c r="H124" s="169"/>
      <c r="I124" s="168" t="n">
        <f aca="false">(G124/(22)^(1/2))</f>
        <v>0.0146575492494482</v>
      </c>
      <c r="K124" s="167" t="n">
        <f aca="false">I124*C124</f>
        <v>0.526784253651974</v>
      </c>
      <c r="M124" s="170" t="n">
        <v>35.939449677906</v>
      </c>
      <c r="N124" s="171" t="n">
        <f aca="false">M124</f>
        <v>35.939449677906</v>
      </c>
    </row>
    <row r="125" customFormat="false" ht="12.75" hidden="false" customHeight="false" outlineLevel="0" collapsed="false">
      <c r="B125" s="149" t="n">
        <f aca="false">PJM_01212000!A159</f>
        <v>40269</v>
      </c>
      <c r="C125" s="167" t="n">
        <f aca="false">VLOOKUP(B125,'Super Peak Curve'!$C$23:$AN$275,38)</f>
        <v>33.2651750313376</v>
      </c>
      <c r="E125" s="150" t="n">
        <f aca="false">VLOOKUP(B125,PJM_01212000!$J$7:$AF$230,23)</f>
        <v>1.2</v>
      </c>
      <c r="G125" s="168" t="n">
        <f aca="false">E125/(256)^(1/2)</f>
        <v>0.075</v>
      </c>
      <c r="H125" s="169"/>
      <c r="I125" s="168" t="n">
        <f aca="false">(G125/(22)^(1/2))</f>
        <v>0.0159900537266708</v>
      </c>
      <c r="K125" s="167" t="n">
        <f aca="false">I125*C125</f>
        <v>0.531911935978196</v>
      </c>
      <c r="M125" s="170" t="n">
        <v>33.2651750313376</v>
      </c>
      <c r="N125" s="171" t="n">
        <f aca="false">M125</f>
        <v>33.2651750313376</v>
      </c>
    </row>
    <row r="126" customFormat="false" ht="12.75" hidden="false" customHeight="false" outlineLevel="0" collapsed="false">
      <c r="B126" s="149" t="n">
        <f aca="false">PJM_01212000!A160</f>
        <v>40299</v>
      </c>
      <c r="C126" s="167" t="n">
        <f aca="false">VLOOKUP(B126,'Super Peak Curve'!$C$23:$AN$275,38)</f>
        <v>40.9755412827147</v>
      </c>
      <c r="E126" s="150" t="n">
        <f aca="false">VLOOKUP(B126,PJM_01212000!$J$7:$AF$230,23)</f>
        <v>2</v>
      </c>
      <c r="G126" s="168" t="n">
        <f aca="false">E126/(256)^(1/2)</f>
        <v>0.125</v>
      </c>
      <c r="H126" s="169"/>
      <c r="I126" s="168" t="n">
        <f aca="false">(G126/(22)^(1/2))</f>
        <v>0.0266500895444513</v>
      </c>
      <c r="K126" s="167" t="n">
        <f aca="false">I126*C126</f>
        <v>1.09200184431671</v>
      </c>
      <c r="M126" s="170" t="n">
        <v>40.9755412827147</v>
      </c>
      <c r="N126" s="171" t="n">
        <f aca="false">M126</f>
        <v>40.9755412827147</v>
      </c>
    </row>
    <row r="127" customFormat="false" ht="12.75" hidden="false" customHeight="false" outlineLevel="0" collapsed="false">
      <c r="B127" s="149" t="n">
        <f aca="false">PJM_01212000!A161</f>
        <v>40330</v>
      </c>
      <c r="C127" s="167" t="n">
        <f aca="false">VLOOKUP(B127,'Super Peak Curve'!$C$23:$AN$275,38)</f>
        <v>76.9381669716982</v>
      </c>
      <c r="E127" s="150" t="n">
        <f aca="false">VLOOKUP(B127,PJM_01212000!$J$7:$AF$230,23)</f>
        <v>2.25</v>
      </c>
      <c r="G127" s="168" t="n">
        <f aca="false">E127/(256)^(1/2)</f>
        <v>0.140625</v>
      </c>
      <c r="H127" s="169"/>
      <c r="I127" s="168" t="n">
        <f aca="false">(G127/(22)^(1/2))</f>
        <v>0.0299813507375077</v>
      </c>
      <c r="K127" s="167" t="n">
        <f aca="false">I127*C127</f>
        <v>2.30671016907942</v>
      </c>
      <c r="M127" s="170" t="n">
        <v>76.9381669716982</v>
      </c>
      <c r="N127" s="171" t="n">
        <f aca="false">M127</f>
        <v>76.9381669716982</v>
      </c>
    </row>
    <row r="128" customFormat="false" ht="12.75" hidden="false" customHeight="false" outlineLevel="0" collapsed="false">
      <c r="B128" s="149" t="n">
        <f aca="false">PJM_01212000!A162</f>
        <v>40360</v>
      </c>
      <c r="C128" s="167" t="n">
        <f aca="false">VLOOKUP(B128,'Super Peak Curve'!$C$23:$AN$275,38)</f>
        <v>140.432379402225</v>
      </c>
      <c r="E128" s="150" t="n">
        <f aca="false">VLOOKUP(B128,PJM_01212000!$J$7:$AF$230,23)</f>
        <v>3</v>
      </c>
      <c r="G128" s="168" t="n">
        <f aca="false">E128/(256)^(1/2)</f>
        <v>0.1875</v>
      </c>
      <c r="H128" s="169"/>
      <c r="I128" s="168" t="n">
        <f aca="false">(G128/(22)^(1/2))</f>
        <v>0.039975134316677</v>
      </c>
      <c r="K128" s="167" t="n">
        <f aca="false">I128*C128</f>
        <v>5.6138032290145</v>
      </c>
      <c r="M128" s="170" t="n">
        <v>140.432379402225</v>
      </c>
      <c r="N128" s="171" t="n">
        <f aca="false">M128</f>
        <v>140.432379402225</v>
      </c>
    </row>
    <row r="129" customFormat="false" ht="12.75" hidden="false" customHeight="false" outlineLevel="0" collapsed="false">
      <c r="B129" s="149" t="n">
        <f aca="false">PJM_01212000!A163</f>
        <v>40391</v>
      </c>
      <c r="C129" s="167" t="n">
        <f aca="false">VLOOKUP(B129,'Super Peak Curve'!$C$23:$AN$275,38)</f>
        <v>115.308579021374</v>
      </c>
      <c r="E129" s="150" t="n">
        <f aca="false">VLOOKUP(B129,PJM_01212000!$J$7:$AF$230,23)</f>
        <v>3</v>
      </c>
      <c r="G129" s="168" t="n">
        <f aca="false">E129/(256)^(1/2)</f>
        <v>0.1875</v>
      </c>
      <c r="H129" s="169"/>
      <c r="I129" s="168" t="n">
        <f aca="false">(G129/(22)^(1/2))</f>
        <v>0.039975134316677</v>
      </c>
      <c r="K129" s="167" t="n">
        <f aca="false">I129*C129</f>
        <v>4.6094759342446</v>
      </c>
      <c r="M129" s="170" t="n">
        <v>115.308579021374</v>
      </c>
      <c r="N129" s="171" t="n">
        <f aca="false">M129</f>
        <v>115.308579021374</v>
      </c>
    </row>
    <row r="130" customFormat="false" ht="12.75" hidden="false" customHeight="false" outlineLevel="0" collapsed="false">
      <c r="B130" s="149" t="n">
        <f aca="false">PJM_01212000!A164</f>
        <v>40422</v>
      </c>
      <c r="C130" s="167" t="n">
        <f aca="false">VLOOKUP(B130,'Super Peak Curve'!$C$23:$AN$275,38)</f>
        <v>42.0735310959755</v>
      </c>
      <c r="E130" s="150" t="n">
        <f aca="false">VLOOKUP(B130,PJM_01212000!$J$7:$AF$230,23)</f>
        <v>1.75</v>
      </c>
      <c r="G130" s="168" t="n">
        <f aca="false">E130/(256)^(1/2)</f>
        <v>0.109375</v>
      </c>
      <c r="H130" s="169"/>
      <c r="I130" s="168" t="n">
        <f aca="false">(G130/(22)^(1/2))</f>
        <v>0.0233188283513949</v>
      </c>
      <c r="K130" s="167" t="n">
        <f aca="false">I130*C130</f>
        <v>0.981105449764127</v>
      </c>
      <c r="M130" s="170" t="n">
        <v>42.0735310959755</v>
      </c>
      <c r="N130" s="171" t="n">
        <f aca="false">M130</f>
        <v>42.0735310959755</v>
      </c>
    </row>
    <row r="131" customFormat="false" ht="12.75" hidden="false" customHeight="false" outlineLevel="0" collapsed="false">
      <c r="B131" s="149" t="n">
        <f aca="false">PJM_01212000!A165</f>
        <v>40452</v>
      </c>
      <c r="C131" s="167" t="n">
        <f aca="false">VLOOKUP(B131,'Super Peak Curve'!$C$23:$AN$275,38)</f>
        <v>35.329854823122</v>
      </c>
      <c r="E131" s="150" t="n">
        <f aca="false">VLOOKUP(B131,PJM_01212000!$J$7:$AF$230,23)</f>
        <v>1.5</v>
      </c>
      <c r="G131" s="168" t="n">
        <f aca="false">E131/(256)^(1/2)</f>
        <v>0.09375</v>
      </c>
      <c r="H131" s="169"/>
      <c r="I131" s="168" t="n">
        <f aca="false">(G131/(22)^(1/2))</f>
        <v>0.0199875671583385</v>
      </c>
      <c r="K131" s="167" t="n">
        <f aca="false">I131*C131</f>
        <v>0.7061578459715</v>
      </c>
      <c r="M131" s="170" t="n">
        <v>35.329854823122</v>
      </c>
      <c r="N131" s="171" t="n">
        <f aca="false">M131</f>
        <v>35.329854823122</v>
      </c>
    </row>
    <row r="132" customFormat="false" ht="12.75" hidden="false" customHeight="false" outlineLevel="0" collapsed="false">
      <c r="B132" s="149" t="n">
        <f aca="false">PJM_01212000!A166</f>
        <v>40483</v>
      </c>
      <c r="C132" s="167" t="n">
        <f aca="false">VLOOKUP(B132,'Super Peak Curve'!$C$23:$AN$275,38)</f>
        <v>35.4240655972672</v>
      </c>
      <c r="E132" s="150" t="n">
        <f aca="false">VLOOKUP(B132,PJM_01212000!$J$7:$AF$230,23)</f>
        <v>1.5</v>
      </c>
      <c r="G132" s="168" t="n">
        <f aca="false">E132/(256)^(1/2)</f>
        <v>0.09375</v>
      </c>
      <c r="H132" s="169"/>
      <c r="I132" s="168" t="n">
        <f aca="false">(G132/(22)^(1/2))</f>
        <v>0.0199875671583385</v>
      </c>
      <c r="K132" s="167" t="n">
        <f aca="false">I132*C132</f>
        <v>0.708040890146765</v>
      </c>
      <c r="M132" s="170" t="n">
        <v>35.4240655972672</v>
      </c>
      <c r="N132" s="171" t="n">
        <f aca="false">M132</f>
        <v>35.4240655972672</v>
      </c>
    </row>
    <row r="133" customFormat="false" ht="12.75" hidden="false" customHeight="false" outlineLevel="0" collapsed="false">
      <c r="B133" s="149" t="n">
        <f aca="false">PJM_01212000!A167</f>
        <v>40513</v>
      </c>
      <c r="C133" s="167" t="n">
        <f aca="false">VLOOKUP(B133,'Super Peak Curve'!$C$23:$AN$275,38)</f>
        <v>37.9878620842358</v>
      </c>
      <c r="E133" s="150" t="n">
        <f aca="false">VLOOKUP(B133,PJM_01212000!$J$7:$AF$230,23)</f>
        <v>1.5</v>
      </c>
      <c r="G133" s="168" t="n">
        <f aca="false">E133/(256)^(1/2)</f>
        <v>0.09375</v>
      </c>
      <c r="H133" s="169"/>
      <c r="I133" s="168" t="n">
        <f aca="false">(G133/(22)^(1/2))</f>
        <v>0.0199875671583385</v>
      </c>
      <c r="K133" s="167" t="n">
        <f aca="false">I133*C133</f>
        <v>0.759284944610364</v>
      </c>
      <c r="M133" s="170" t="n">
        <v>37.9878620842358</v>
      </c>
      <c r="N133" s="171" t="n">
        <f aca="false">M133</f>
        <v>37.9878620842358</v>
      </c>
    </row>
    <row r="134" customFormat="false" ht="12.75" hidden="false" customHeight="false" outlineLevel="0" collapsed="false">
      <c r="B134" s="149" t="n">
        <f aca="false">PJM_01212000!A168</f>
        <v>40544</v>
      </c>
      <c r="C134" s="167" t="n">
        <f aca="false">VLOOKUP(B134,'Super Peak Curve'!$C$23:$AN$275,38)</f>
        <v>49.1406744313849</v>
      </c>
      <c r="E134" s="150" t="n">
        <f aca="false">VLOOKUP(B134,PJM_01212000!$J$7:$AF$230,23)</f>
        <v>1.75</v>
      </c>
      <c r="G134" s="168" t="n">
        <f aca="false">E134/(256)^(1/2)</f>
        <v>0.109375</v>
      </c>
      <c r="H134" s="169"/>
      <c r="I134" s="168" t="n">
        <f aca="false">(G134/(22)^(1/2))</f>
        <v>0.0233188283513949</v>
      </c>
      <c r="K134" s="167" t="n">
        <f aca="false">I134*C134</f>
        <v>1.14590295213725</v>
      </c>
      <c r="M134" s="170" t="n">
        <v>49.1406744313849</v>
      </c>
      <c r="N134" s="171" t="n">
        <f aca="false">M134</f>
        <v>49.1406744313849</v>
      </c>
    </row>
    <row r="135" customFormat="false" ht="12.75" hidden="false" customHeight="false" outlineLevel="0" collapsed="false">
      <c r="B135" s="149" t="n">
        <f aca="false">PJM_01212000!A169</f>
        <v>40575</v>
      </c>
      <c r="C135" s="167" t="n">
        <f aca="false">VLOOKUP(B135,'Super Peak Curve'!$C$23:$AN$275,38)</f>
        <v>49.1406744313849</v>
      </c>
      <c r="E135" s="150" t="n">
        <f aca="false">VLOOKUP(B135,PJM_01212000!$J$7:$AF$230,23)</f>
        <v>1.75</v>
      </c>
      <c r="G135" s="168" t="n">
        <f aca="false">E135/(256)^(1/2)</f>
        <v>0.109375</v>
      </c>
      <c r="H135" s="169"/>
      <c r="I135" s="168" t="n">
        <f aca="false">(G135/(22)^(1/2))</f>
        <v>0.0233188283513949</v>
      </c>
      <c r="K135" s="167" t="n">
        <f aca="false">I135*C135</f>
        <v>1.14590295213725</v>
      </c>
      <c r="M135" s="170" t="n">
        <v>49.1406744313849</v>
      </c>
      <c r="N135" s="171" t="n">
        <f aca="false">M135</f>
        <v>49.1406744313849</v>
      </c>
    </row>
    <row r="136" customFormat="false" ht="12.75" hidden="false" customHeight="false" outlineLevel="0" collapsed="false">
      <c r="B136" s="149" t="n">
        <f aca="false">PJM_01212000!A170</f>
        <v>40603</v>
      </c>
      <c r="C136" s="167" t="n">
        <f aca="false">VLOOKUP(B136,'Super Peak Curve'!$C$23:$AN$275,38)</f>
        <v>36.243505927906</v>
      </c>
      <c r="E136" s="150" t="n">
        <f aca="false">VLOOKUP(B136,PJM_01212000!$J$7:$AF$230,23)</f>
        <v>1.1</v>
      </c>
      <c r="G136" s="168" t="n">
        <f aca="false">E136/(256)^(1/2)</f>
        <v>0.06875</v>
      </c>
      <c r="H136" s="169"/>
      <c r="I136" s="168" t="n">
        <f aca="false">(G136/(22)^(1/2))</f>
        <v>0.0146575492494482</v>
      </c>
      <c r="K136" s="167" t="n">
        <f aca="false">I136*C136</f>
        <v>0.531240973110951</v>
      </c>
      <c r="M136" s="170" t="n">
        <v>36.243505927906</v>
      </c>
      <c r="N136" s="171" t="n">
        <f aca="false">M136</f>
        <v>36.243505927906</v>
      </c>
    </row>
    <row r="137" customFormat="false" ht="12.75" hidden="false" customHeight="false" outlineLevel="0" collapsed="false">
      <c r="B137" s="149" t="n">
        <f aca="false">PJM_01212000!A171</f>
        <v>40634</v>
      </c>
      <c r="C137" s="167" t="n">
        <f aca="false">VLOOKUP(B137,'Super Peak Curve'!$C$23:$AN$275,38)</f>
        <v>33.5487656039369</v>
      </c>
      <c r="E137" s="150" t="n">
        <f aca="false">VLOOKUP(B137,PJM_01212000!$J$7:$AF$230,23)</f>
        <v>1.2</v>
      </c>
      <c r="G137" s="168" t="n">
        <f aca="false">E137/(256)^(1/2)</f>
        <v>0.075</v>
      </c>
      <c r="H137" s="169"/>
      <c r="I137" s="168" t="n">
        <f aca="false">(G137/(22)^(1/2))</f>
        <v>0.0159900537266708</v>
      </c>
      <c r="K137" s="167" t="n">
        <f aca="false">I137*C137</f>
        <v>0.536446564470435</v>
      </c>
      <c r="M137" s="170" t="n">
        <v>33.5487656039369</v>
      </c>
      <c r="N137" s="171" t="n">
        <f aca="false">M137</f>
        <v>33.5487656039369</v>
      </c>
    </row>
    <row r="138" customFormat="false" ht="12.75" hidden="false" customHeight="false" outlineLevel="0" collapsed="false">
      <c r="B138" s="149" t="n">
        <f aca="false">PJM_01212000!A172</f>
        <v>40664</v>
      </c>
      <c r="C138" s="167" t="n">
        <f aca="false">VLOOKUP(B138,'Super Peak Curve'!$C$23:$AN$275,38)</f>
        <v>41.2499923294844</v>
      </c>
      <c r="E138" s="150" t="n">
        <f aca="false">VLOOKUP(B138,PJM_01212000!$J$7:$AF$230,23)</f>
        <v>2</v>
      </c>
      <c r="G138" s="168" t="n">
        <f aca="false">E138/(256)^(1/2)</f>
        <v>0.125</v>
      </c>
      <c r="H138" s="169"/>
      <c r="I138" s="168" t="n">
        <f aca="false">(G138/(22)^(1/2))</f>
        <v>0.0266500895444513</v>
      </c>
      <c r="K138" s="167" t="n">
        <f aca="false">I138*C138</f>
        <v>1.09931598928869</v>
      </c>
      <c r="M138" s="170" t="n">
        <v>41.2499923294844</v>
      </c>
      <c r="N138" s="171" t="n">
        <f aca="false">M138</f>
        <v>41.2499923294844</v>
      </c>
    </row>
    <row r="139" customFormat="false" ht="12.75" hidden="false" customHeight="false" outlineLevel="0" collapsed="false">
      <c r="B139" s="149" t="n">
        <f aca="false">PJM_01212000!A173</f>
        <v>40695</v>
      </c>
      <c r="C139" s="167" t="n">
        <f aca="false">VLOOKUP(B139,'Super Peak Curve'!$C$23:$AN$275,38)</f>
        <v>77.8636461479764</v>
      </c>
      <c r="E139" s="150" t="n">
        <f aca="false">VLOOKUP(B139,PJM_01212000!$J$7:$AF$230,23)</f>
        <v>2.25</v>
      </c>
      <c r="G139" s="168" t="n">
        <f aca="false">E139/(256)^(1/2)</f>
        <v>0.140625</v>
      </c>
      <c r="H139" s="169"/>
      <c r="I139" s="168" t="n">
        <f aca="false">(G139/(22)^(1/2))</f>
        <v>0.0299813507375077</v>
      </c>
      <c r="K139" s="167" t="n">
        <f aca="false">I139*C139</f>
        <v>2.33445728486367</v>
      </c>
      <c r="M139" s="170" t="n">
        <v>77.8636461479764</v>
      </c>
      <c r="N139" s="171" t="n">
        <f aca="false">M139</f>
        <v>77.8636461479764</v>
      </c>
    </row>
    <row r="140" customFormat="false" ht="12.75" hidden="false" customHeight="false" outlineLevel="0" collapsed="false">
      <c r="B140" s="149" t="n">
        <f aca="false">PJM_01212000!A174</f>
        <v>40725</v>
      </c>
      <c r="C140" s="167" t="n">
        <f aca="false">VLOOKUP(B140,'Super Peak Curve'!$C$23:$AN$275,38)</f>
        <v>143.386777370165</v>
      </c>
      <c r="E140" s="150" t="n">
        <f aca="false">VLOOKUP(B140,PJM_01212000!$J$7:$AF$230,23)</f>
        <v>3</v>
      </c>
      <c r="G140" s="168" t="n">
        <f aca="false">E140/(256)^(1/2)</f>
        <v>0.1875</v>
      </c>
      <c r="H140" s="169"/>
      <c r="I140" s="168" t="n">
        <f aca="false">(G140/(22)^(1/2))</f>
        <v>0.039975134316677</v>
      </c>
      <c r="K140" s="167" t="n">
        <f aca="false">I140*C140</f>
        <v>5.73190568460779</v>
      </c>
      <c r="M140" s="170" t="n">
        <v>143.386777370165</v>
      </c>
      <c r="N140" s="171" t="n">
        <f aca="false">M140</f>
        <v>143.386777370165</v>
      </c>
    </row>
    <row r="141" customFormat="false" ht="12.75" hidden="false" customHeight="false" outlineLevel="0" collapsed="false">
      <c r="B141" s="149" t="n">
        <f aca="false">PJM_01212000!A175</f>
        <v>40756</v>
      </c>
      <c r="C141" s="167" t="n">
        <f aca="false">VLOOKUP(B141,'Super Peak Curve'!$C$23:$AN$275,38)</f>
        <v>118.070093776303</v>
      </c>
      <c r="E141" s="150" t="n">
        <f aca="false">VLOOKUP(B141,PJM_01212000!$J$7:$AF$230,23)</f>
        <v>3</v>
      </c>
      <c r="G141" s="168" t="n">
        <f aca="false">E141/(256)^(1/2)</f>
        <v>0.1875</v>
      </c>
      <c r="H141" s="169"/>
      <c r="I141" s="168" t="n">
        <f aca="false">(G141/(22)^(1/2))</f>
        <v>0.039975134316677</v>
      </c>
      <c r="K141" s="167" t="n">
        <f aca="false">I141*C141</f>
        <v>4.71986785749037</v>
      </c>
      <c r="M141" s="170" t="n">
        <v>118.070093776303</v>
      </c>
      <c r="N141" s="171" t="n">
        <f aca="false">M141</f>
        <v>118.070093776303</v>
      </c>
    </row>
    <row r="142" customFormat="false" ht="12.75" hidden="false" customHeight="false" outlineLevel="0" collapsed="false">
      <c r="B142" s="149" t="n">
        <f aca="false">PJM_01212000!A176</f>
        <v>40787</v>
      </c>
      <c r="C142" s="167" t="n">
        <f aca="false">VLOOKUP(B142,'Super Peak Curve'!$C$23:$AN$275,38)</f>
        <v>42.6510675799628</v>
      </c>
      <c r="E142" s="150" t="n">
        <f aca="false">VLOOKUP(B142,PJM_01212000!$J$7:$AF$230,23)</f>
        <v>1.75</v>
      </c>
      <c r="G142" s="168" t="n">
        <f aca="false">E142/(256)^(1/2)</f>
        <v>0.109375</v>
      </c>
      <c r="H142" s="169"/>
      <c r="I142" s="168" t="n">
        <f aca="false">(G142/(22)^(1/2))</f>
        <v>0.0233188283513949</v>
      </c>
      <c r="K142" s="167" t="n">
        <f aca="false">I142*C142</f>
        <v>0.994572923900896</v>
      </c>
      <c r="M142" s="170" t="n">
        <v>42.6510675799628</v>
      </c>
      <c r="N142" s="171" t="n">
        <f aca="false">M142</f>
        <v>42.6510675799628</v>
      </c>
    </row>
    <row r="143" customFormat="false" ht="12.75" hidden="false" customHeight="false" outlineLevel="0" collapsed="false">
      <c r="B143" s="149" t="n">
        <f aca="false">PJM_01212000!A177</f>
        <v>40817</v>
      </c>
      <c r="C143" s="167" t="n">
        <f aca="false">VLOOKUP(B143,'Super Peak Curve'!$C$23:$AN$275,38)</f>
        <v>35.623536073122</v>
      </c>
      <c r="E143" s="150" t="n">
        <f aca="false">VLOOKUP(B143,PJM_01212000!$J$7:$AF$230,23)</f>
        <v>1.5</v>
      </c>
      <c r="G143" s="168" t="n">
        <f aca="false">E143/(256)^(1/2)</f>
        <v>0.09375</v>
      </c>
      <c r="H143" s="169"/>
      <c r="I143" s="168" t="n">
        <f aca="false">(G143/(22)^(1/2))</f>
        <v>0.0199875671583385</v>
      </c>
      <c r="K143" s="167" t="n">
        <f aca="false">I143*C143</f>
        <v>0.71202781967902</v>
      </c>
      <c r="M143" s="170" t="n">
        <v>35.623536073122</v>
      </c>
      <c r="N143" s="171" t="n">
        <f aca="false">M143</f>
        <v>35.623536073122</v>
      </c>
    </row>
    <row r="144" customFormat="false" ht="12.75" hidden="false" customHeight="false" outlineLevel="0" collapsed="false">
      <c r="B144" s="149" t="n">
        <f aca="false">PJM_01212000!A178</f>
        <v>40848</v>
      </c>
      <c r="C144" s="167" t="n">
        <f aca="false">VLOOKUP(B144,'Super Peak Curve'!$C$23:$AN$275,38)</f>
        <v>35.7217718472672</v>
      </c>
      <c r="E144" s="150" t="n">
        <f aca="false">VLOOKUP(B144,PJM_01212000!$J$7:$AF$230,23)</f>
        <v>1.5</v>
      </c>
      <c r="G144" s="168" t="n">
        <f aca="false">E144/(256)^(1/2)</f>
        <v>0.09375</v>
      </c>
      <c r="H144" s="169"/>
      <c r="I144" s="168" t="n">
        <f aca="false">(G144/(22)^(1/2))</f>
        <v>0.0199875671583385</v>
      </c>
      <c r="K144" s="167" t="n">
        <f aca="false">I144*C144</f>
        <v>0.713991313812097</v>
      </c>
      <c r="M144" s="170" t="n">
        <v>35.7217718472672</v>
      </c>
      <c r="N144" s="171" t="n">
        <f aca="false">M144</f>
        <v>35.7217718472672</v>
      </c>
    </row>
    <row r="145" customFormat="false" ht="12.75" hidden="false" customHeight="false" outlineLevel="0" collapsed="false">
      <c r="B145" s="149" t="n">
        <f aca="false">PJM_01212000!A179</f>
        <v>40878</v>
      </c>
      <c r="C145" s="167" t="n">
        <f aca="false">VLOOKUP(B145,'Super Peak Curve'!$C$23:$AN$275,38)</f>
        <v>38.2893530568094</v>
      </c>
      <c r="E145" s="150" t="n">
        <f aca="false">VLOOKUP(B145,PJM_01212000!$J$7:$AF$230,23)</f>
        <v>1.5</v>
      </c>
      <c r="G145" s="168" t="n">
        <f aca="false">E145/(256)^(1/2)</f>
        <v>0.09375</v>
      </c>
      <c r="H145" s="169"/>
      <c r="I145" s="168" t="n">
        <f aca="false">(G145/(22)^(1/2))</f>
        <v>0.0199875671583385</v>
      </c>
      <c r="K145" s="167" t="n">
        <f aca="false">I145*C145</f>
        <v>0.765311015672311</v>
      </c>
      <c r="M145" s="170" t="n">
        <v>38.2893530568094</v>
      </c>
      <c r="N145" s="171" t="n">
        <f aca="false">M145</f>
        <v>38.2893530568094</v>
      </c>
    </row>
    <row r="146" customFormat="false" ht="12.75" hidden="false" customHeight="false" outlineLevel="0" collapsed="false">
      <c r="B146" s="149" t="n">
        <f aca="false">PJM_01212000!A180</f>
        <v>40909</v>
      </c>
      <c r="C146" s="167" t="n">
        <f aca="false">VLOOKUP(B146,'Super Peak Curve'!$C$23:$AN$275,38)</f>
        <v>49.4472288687053</v>
      </c>
      <c r="E146" s="150" t="n">
        <f aca="false">VLOOKUP(B146,PJM_01212000!$J$7:$AF$230,23)</f>
        <v>1.75</v>
      </c>
      <c r="G146" s="168" t="n">
        <f aca="false">E146/(256)^(1/2)</f>
        <v>0.109375</v>
      </c>
      <c r="H146" s="169"/>
      <c r="I146" s="168" t="n">
        <f aca="false">(G146/(22)^(1/2))</f>
        <v>0.0233188283513949</v>
      </c>
      <c r="K146" s="167" t="n">
        <f aca="false">I146*C146</f>
        <v>1.15305144244148</v>
      </c>
      <c r="M146" s="170" t="n">
        <v>49.4472288687053</v>
      </c>
      <c r="N146" s="171" t="n">
        <f aca="false">M146</f>
        <v>49.4472288687053</v>
      </c>
    </row>
    <row r="147" customFormat="false" ht="12.75" hidden="false" customHeight="false" outlineLevel="0" collapsed="false">
      <c r="B147" s="149" t="n">
        <f aca="false">PJM_01212000!A181</f>
        <v>40940</v>
      </c>
      <c r="C147" s="167" t="n">
        <f aca="false">VLOOKUP(B147,'Super Peak Curve'!$C$23:$AN$275,38)</f>
        <v>49.4472288687053</v>
      </c>
      <c r="E147" s="150" t="n">
        <f aca="false">VLOOKUP(B147,PJM_01212000!$J$7:$AF$230,23)</f>
        <v>1.75</v>
      </c>
      <c r="G147" s="168" t="n">
        <f aca="false">E147/(256)^(1/2)</f>
        <v>0.109375</v>
      </c>
      <c r="H147" s="169"/>
      <c r="I147" s="168" t="n">
        <f aca="false">(G147/(22)^(1/2))</f>
        <v>0.0233188283513949</v>
      </c>
      <c r="K147" s="167" t="n">
        <f aca="false">I147*C147</f>
        <v>1.15305144244148</v>
      </c>
      <c r="M147" s="170" t="n">
        <v>49.4472288687053</v>
      </c>
      <c r="N147" s="171" t="n">
        <f aca="false">M147</f>
        <v>49.4472288687053</v>
      </c>
    </row>
    <row r="148" customFormat="false" ht="12.75" hidden="false" customHeight="false" outlineLevel="0" collapsed="false">
      <c r="B148" s="149" t="n">
        <f aca="false">PJM_01212000!A182</f>
        <v>40969</v>
      </c>
      <c r="C148" s="167" t="n">
        <f aca="false">VLOOKUP(B148,'Super Peak Curve'!$C$23:$AN$275,38)</f>
        <v>36.547562177906</v>
      </c>
      <c r="E148" s="150" t="n">
        <f aca="false">VLOOKUP(B148,PJM_01212000!$J$7:$AF$230,23)</f>
        <v>1.1</v>
      </c>
      <c r="G148" s="168" t="n">
        <f aca="false">E148/(256)^(1/2)</f>
        <v>0.06875</v>
      </c>
      <c r="H148" s="169"/>
      <c r="I148" s="168" t="n">
        <f aca="false">(G148/(22)^(1/2))</f>
        <v>0.0146575492494482</v>
      </c>
      <c r="K148" s="167" t="n">
        <f aca="false">I148*C148</f>
        <v>0.535697692569929</v>
      </c>
      <c r="M148" s="170" t="n">
        <v>36.547562177906</v>
      </c>
      <c r="N148" s="171" t="n">
        <f aca="false">M148</f>
        <v>36.547562177906</v>
      </c>
    </row>
    <row r="149" customFormat="false" ht="12.75" hidden="false" customHeight="false" outlineLevel="0" collapsed="false">
      <c r="B149" s="149" t="n">
        <f aca="false">PJM_01212000!A183</f>
        <v>41000</v>
      </c>
      <c r="C149" s="167" t="n">
        <f aca="false">VLOOKUP(B149,'Super Peak Curve'!$C$23:$AN$275,38)</f>
        <v>33.8323561765361</v>
      </c>
      <c r="E149" s="150" t="n">
        <f aca="false">VLOOKUP(B149,PJM_01212000!$J$7:$AF$230,23)</f>
        <v>1.2</v>
      </c>
      <c r="G149" s="168" t="n">
        <f aca="false">E149/(256)^(1/2)</f>
        <v>0.075</v>
      </c>
      <c r="H149" s="169"/>
      <c r="I149" s="168" t="n">
        <f aca="false">(G149/(22)^(1/2))</f>
        <v>0.0159900537266708</v>
      </c>
      <c r="K149" s="167" t="n">
        <f aca="false">I149*C149</f>
        <v>0.540981192962674</v>
      </c>
      <c r="M149" s="170" t="n">
        <v>33.8323561765361</v>
      </c>
      <c r="N149" s="171" t="n">
        <f aca="false">M149</f>
        <v>33.8323561765361</v>
      </c>
    </row>
    <row r="150" customFormat="false" ht="12.75" hidden="false" customHeight="false" outlineLevel="0" collapsed="false">
      <c r="B150" s="149" t="n">
        <f aca="false">PJM_01212000!A184</f>
        <v>41030</v>
      </c>
      <c r="C150" s="167" t="n">
        <f aca="false">VLOOKUP(B150,'Super Peak Curve'!$C$23:$AN$275,38)</f>
        <v>41.5244433762541</v>
      </c>
      <c r="E150" s="150" t="n">
        <f aca="false">VLOOKUP(B150,PJM_01212000!$J$7:$AF$230,23)</f>
        <v>2</v>
      </c>
      <c r="G150" s="168" t="n">
        <f aca="false">E150/(256)^(1/2)</f>
        <v>0.125</v>
      </c>
      <c r="H150" s="169"/>
      <c r="I150" s="168" t="n">
        <f aca="false">(G150/(22)^(1/2))</f>
        <v>0.0266500895444513</v>
      </c>
      <c r="K150" s="167" t="n">
        <f aca="false">I150*C150</f>
        <v>1.10663013426067</v>
      </c>
      <c r="M150" s="170" t="n">
        <v>41.5244433762541</v>
      </c>
      <c r="N150" s="171" t="n">
        <f aca="false">M150</f>
        <v>41.5244433762541</v>
      </c>
    </row>
    <row r="151" customFormat="false" ht="12.75" hidden="false" customHeight="false" outlineLevel="0" collapsed="false">
      <c r="B151" s="149" t="n">
        <f aca="false">PJM_01212000!A185</f>
        <v>41061</v>
      </c>
      <c r="C151" s="167" t="n">
        <f aca="false">VLOOKUP(B151,'Super Peak Curve'!$C$23:$AN$275,38)</f>
        <v>78.7891253242545</v>
      </c>
      <c r="E151" s="150" t="n">
        <f aca="false">VLOOKUP(B151,PJM_01212000!$J$7:$AF$230,23)</f>
        <v>2.25</v>
      </c>
      <c r="G151" s="168" t="n">
        <f aca="false">E151/(256)^(1/2)</f>
        <v>0.140625</v>
      </c>
      <c r="H151" s="169"/>
      <c r="I151" s="168" t="n">
        <f aca="false">(G151/(22)^(1/2))</f>
        <v>0.0299813507375077</v>
      </c>
      <c r="K151" s="167" t="n">
        <f aca="false">I151*C151</f>
        <v>2.36220440064793</v>
      </c>
      <c r="M151" s="170" t="n">
        <v>78.7891253242545</v>
      </c>
      <c r="N151" s="171" t="n">
        <f aca="false">M151</f>
        <v>78.7891253242545</v>
      </c>
    </row>
    <row r="152" customFormat="false" ht="12.75" hidden="false" customHeight="false" outlineLevel="0" collapsed="false">
      <c r="B152" s="149" t="n">
        <f aca="false">PJM_01212000!A186</f>
        <v>41091</v>
      </c>
      <c r="C152" s="167" t="n">
        <f aca="false">VLOOKUP(B152,'Super Peak Curve'!$C$23:$AN$275,38)</f>
        <v>146.341175338104</v>
      </c>
      <c r="E152" s="150" t="n">
        <f aca="false">VLOOKUP(B152,PJM_01212000!$J$7:$AF$230,23)</f>
        <v>3</v>
      </c>
      <c r="G152" s="168" t="n">
        <f aca="false">E152/(256)^(1/2)</f>
        <v>0.1875</v>
      </c>
      <c r="H152" s="169"/>
      <c r="I152" s="168" t="n">
        <f aca="false">(G152/(22)^(1/2))</f>
        <v>0.039975134316677</v>
      </c>
      <c r="K152" s="167" t="n">
        <f aca="false">I152*C152</f>
        <v>5.85000814020108</v>
      </c>
      <c r="M152" s="170" t="n">
        <v>146.341175338104</v>
      </c>
      <c r="N152" s="171" t="n">
        <f aca="false">M152</f>
        <v>146.341175338104</v>
      </c>
    </row>
    <row r="153" customFormat="false" ht="12.75" hidden="false" customHeight="false" outlineLevel="0" collapsed="false">
      <c r="B153" s="149" t="n">
        <f aca="false">PJM_01212000!A187</f>
        <v>41122</v>
      </c>
      <c r="C153" s="167" t="n">
        <f aca="false">VLOOKUP(B153,'Super Peak Curve'!$C$23:$AN$275,38)</f>
        <v>120.831608531232</v>
      </c>
      <c r="E153" s="150" t="n">
        <f aca="false">VLOOKUP(B153,PJM_01212000!$J$7:$AF$230,23)</f>
        <v>3</v>
      </c>
      <c r="G153" s="168" t="n">
        <f aca="false">E153/(256)^(1/2)</f>
        <v>0.1875</v>
      </c>
      <c r="H153" s="169"/>
      <c r="I153" s="168" t="n">
        <f aca="false">(G153/(22)^(1/2))</f>
        <v>0.039975134316677</v>
      </c>
      <c r="K153" s="167" t="n">
        <f aca="false">I153*C153</f>
        <v>4.83025978073614</v>
      </c>
      <c r="M153" s="170" t="n">
        <v>120.831608531232</v>
      </c>
      <c r="N153" s="171" t="n">
        <f aca="false">M153</f>
        <v>120.831608531232</v>
      </c>
    </row>
    <row r="154" customFormat="false" ht="12.75" hidden="false" customHeight="false" outlineLevel="0" collapsed="false">
      <c r="B154" s="149" t="n">
        <f aca="false">PJM_01212000!A188</f>
        <v>41153</v>
      </c>
      <c r="C154" s="167" t="n">
        <f aca="false">VLOOKUP(B154,'Super Peak Curve'!$C$23:$AN$275,38)</f>
        <v>43.2286040639501</v>
      </c>
      <c r="E154" s="150" t="n">
        <f aca="false">VLOOKUP(B154,PJM_01212000!$J$7:$AF$230,23)</f>
        <v>1.75</v>
      </c>
      <c r="G154" s="168" t="n">
        <f aca="false">E154/(256)^(1/2)</f>
        <v>0.109375</v>
      </c>
      <c r="H154" s="169"/>
      <c r="I154" s="168" t="n">
        <f aca="false">(G154/(22)^(1/2))</f>
        <v>0.0233188283513949</v>
      </c>
      <c r="K154" s="167" t="n">
        <f aca="false">I154*C154</f>
        <v>1.00804039803766</v>
      </c>
      <c r="M154" s="170" t="n">
        <v>43.2286040639501</v>
      </c>
      <c r="N154" s="171" t="n">
        <f aca="false">M154</f>
        <v>43.2286040639501</v>
      </c>
    </row>
    <row r="155" customFormat="false" ht="12.75" hidden="false" customHeight="false" outlineLevel="0" collapsed="false">
      <c r="B155" s="149" t="n">
        <f aca="false">PJM_01212000!A189</f>
        <v>41183</v>
      </c>
      <c r="C155" s="167" t="n">
        <f aca="false">VLOOKUP(B155,'Super Peak Curve'!$C$23:$AN$275,38)</f>
        <v>35.917217323122</v>
      </c>
      <c r="E155" s="150" t="n">
        <f aca="false">VLOOKUP(B155,PJM_01212000!$J$7:$AF$230,23)</f>
        <v>1.5</v>
      </c>
      <c r="G155" s="168" t="n">
        <f aca="false">E155/(256)^(1/2)</f>
        <v>0.09375</v>
      </c>
      <c r="H155" s="169"/>
      <c r="I155" s="168" t="n">
        <f aca="false">(G155/(22)^(1/2))</f>
        <v>0.0199875671583385</v>
      </c>
      <c r="K155" s="167" t="n">
        <f aca="false">I155*C155</f>
        <v>0.71789779338654</v>
      </c>
      <c r="M155" s="170" t="n">
        <v>35.917217323122</v>
      </c>
      <c r="N155" s="171" t="n">
        <f aca="false">M155</f>
        <v>35.917217323122</v>
      </c>
    </row>
    <row r="156" customFormat="false" ht="12.75" hidden="false" customHeight="false" outlineLevel="0" collapsed="false">
      <c r="B156" s="149" t="n">
        <f aca="false">PJM_01212000!A190</f>
        <v>41214</v>
      </c>
      <c r="C156" s="167" t="n">
        <f aca="false">VLOOKUP(B156,'Super Peak Curve'!$C$23:$AN$275,38)</f>
        <v>36.0194780972672</v>
      </c>
      <c r="E156" s="150" t="n">
        <f aca="false">VLOOKUP(B156,PJM_01212000!$J$7:$AF$230,23)</f>
        <v>1.5</v>
      </c>
      <c r="G156" s="168" t="n">
        <f aca="false">E156/(256)^(1/2)</f>
        <v>0.09375</v>
      </c>
      <c r="H156" s="169"/>
      <c r="I156" s="168" t="n">
        <f aca="false">(G156/(22)^(1/2))</f>
        <v>0.0199875671583385</v>
      </c>
      <c r="K156" s="167" t="n">
        <f aca="false">I156*C156</f>
        <v>0.719941737477429</v>
      </c>
      <c r="M156" s="170" t="n">
        <v>36.0194780972672</v>
      </c>
      <c r="N156" s="171" t="n">
        <f aca="false">M156</f>
        <v>36.0194780972672</v>
      </c>
    </row>
    <row r="157" customFormat="false" ht="12.75" hidden="false" customHeight="false" outlineLevel="0" collapsed="false">
      <c r="B157" s="149" t="n">
        <f aca="false">PJM_01212000!A191</f>
        <v>41244</v>
      </c>
      <c r="C157" s="167" t="n">
        <f aca="false">VLOOKUP(B157,'Super Peak Curve'!$C$23:$AN$275,38)</f>
        <v>38.590844029383</v>
      </c>
      <c r="E157" s="150" t="n">
        <f aca="false">VLOOKUP(B157,PJM_01212000!$J$7:$AF$230,23)</f>
        <v>1.5</v>
      </c>
      <c r="G157" s="168" t="n">
        <f aca="false">E157/(256)^(1/2)</f>
        <v>0.09375</v>
      </c>
      <c r="H157" s="169"/>
      <c r="I157" s="168" t="n">
        <f aca="false">(G157/(22)^(1/2))</f>
        <v>0.0199875671583385</v>
      </c>
      <c r="K157" s="167" t="n">
        <f aca="false">I157*C157</f>
        <v>0.771337086734259</v>
      </c>
      <c r="M157" s="170" t="n">
        <v>38.590844029383</v>
      </c>
      <c r="N157" s="171" t="n">
        <f aca="false">M157</f>
        <v>38.590844029383</v>
      </c>
    </row>
    <row r="158" customFormat="false" ht="12.75" hidden="false" customHeight="false" outlineLevel="0" collapsed="false">
      <c r="B158" s="149" t="n">
        <f aca="false">PJM_01212000!A192</f>
        <v>41275</v>
      </c>
      <c r="C158" s="167" t="n">
        <f aca="false">VLOOKUP(B158,'Super Peak Curve'!$C$23:$AN$275,38)</f>
        <v>49.7537833060256</v>
      </c>
      <c r="E158" s="150" t="n">
        <f aca="false">VLOOKUP(B158,PJM_01212000!$J$7:$AF$230,23)</f>
        <v>1.75</v>
      </c>
      <c r="G158" s="168" t="n">
        <f aca="false">E158/(256)^(1/2)</f>
        <v>0.109375</v>
      </c>
      <c r="H158" s="169"/>
      <c r="I158" s="168" t="n">
        <f aca="false">(G158/(22)^(1/2))</f>
        <v>0.0233188283513949</v>
      </c>
      <c r="K158" s="167" t="n">
        <f aca="false">I158*C158</f>
        <v>1.16019993274571</v>
      </c>
      <c r="M158" s="170" t="n">
        <v>49.7537833060256</v>
      </c>
      <c r="N158" s="171" t="n">
        <f aca="false">M158</f>
        <v>49.7537833060256</v>
      </c>
    </row>
    <row r="159" customFormat="false" ht="12.75" hidden="false" customHeight="false" outlineLevel="0" collapsed="false">
      <c r="B159" s="149" t="n">
        <f aca="false">PJM_01212000!A193</f>
        <v>41306</v>
      </c>
      <c r="C159" s="167" t="n">
        <f aca="false">VLOOKUP(B159,'Super Peak Curve'!$C$23:$AN$275,38)</f>
        <v>49.7537833060256</v>
      </c>
      <c r="E159" s="150" t="n">
        <f aca="false">VLOOKUP(B159,PJM_01212000!$J$7:$AF$230,23)</f>
        <v>1.75</v>
      </c>
      <c r="G159" s="168" t="n">
        <f aca="false">E159/(256)^(1/2)</f>
        <v>0.109375</v>
      </c>
      <c r="H159" s="169"/>
      <c r="I159" s="168" t="n">
        <f aca="false">(G159/(22)^(1/2))</f>
        <v>0.0233188283513949</v>
      </c>
      <c r="K159" s="167" t="n">
        <f aca="false">I159*C159</f>
        <v>1.16019993274571</v>
      </c>
      <c r="M159" s="170" t="n">
        <v>49.7537833060256</v>
      </c>
      <c r="N159" s="171" t="n">
        <f aca="false">M159</f>
        <v>49.7537833060256</v>
      </c>
    </row>
    <row r="160" customFormat="false" ht="12.75" hidden="false" customHeight="false" outlineLevel="0" collapsed="false">
      <c r="B160" s="149" t="n">
        <f aca="false">PJM_01212000!A194</f>
        <v>41334</v>
      </c>
      <c r="C160" s="167" t="n">
        <f aca="false">VLOOKUP(B160,'Super Peak Curve'!$C$23:$AN$275,38)</f>
        <v>36.851618427906</v>
      </c>
      <c r="E160" s="150" t="n">
        <f aca="false">VLOOKUP(B160,PJM_01212000!$J$7:$AF$230,23)</f>
        <v>1.1</v>
      </c>
      <c r="G160" s="168" t="n">
        <f aca="false">E160/(256)^(1/2)</f>
        <v>0.06875</v>
      </c>
      <c r="H160" s="169"/>
      <c r="I160" s="168" t="n">
        <f aca="false">(G160/(22)^(1/2))</f>
        <v>0.0146575492494482</v>
      </c>
      <c r="K160" s="167" t="n">
        <f aca="false">I160*C160</f>
        <v>0.540154412028906</v>
      </c>
      <c r="M160" s="170" t="n">
        <v>36.851618427906</v>
      </c>
      <c r="N160" s="171" t="n">
        <f aca="false">M160</f>
        <v>36.851618427906</v>
      </c>
    </row>
    <row r="161" customFormat="false" ht="12.75" hidden="false" customHeight="false" outlineLevel="0" collapsed="false">
      <c r="B161" s="149" t="n">
        <f aca="false">PJM_01212000!A195</f>
        <v>41365</v>
      </c>
      <c r="C161" s="167" t="n">
        <f aca="false">VLOOKUP(B161,'Super Peak Curve'!$C$23:$AN$275,38)</f>
        <v>34.1159467491353</v>
      </c>
      <c r="E161" s="150" t="n">
        <f aca="false">VLOOKUP(B161,PJM_01212000!$J$7:$AF$230,23)</f>
        <v>1.2</v>
      </c>
      <c r="G161" s="168" t="n">
        <f aca="false">E161/(256)^(1/2)</f>
        <v>0.075</v>
      </c>
      <c r="H161" s="169"/>
      <c r="I161" s="168" t="n">
        <f aca="false">(G161/(22)^(1/2))</f>
        <v>0.0159900537266708</v>
      </c>
      <c r="K161" s="167" t="n">
        <f aca="false">I161*C161</f>
        <v>0.545515821454912</v>
      </c>
      <c r="M161" s="170" t="n">
        <v>34.1159467491353</v>
      </c>
      <c r="N161" s="171" t="n">
        <f aca="false">M161</f>
        <v>34.1159467491353</v>
      </c>
    </row>
    <row r="162" customFormat="false" ht="12.75" hidden="false" customHeight="false" outlineLevel="0" collapsed="false">
      <c r="B162" s="149" t="n">
        <f aca="false">PJM_01212000!A196</f>
        <v>41395</v>
      </c>
      <c r="C162" s="167" t="n">
        <f aca="false">VLOOKUP(B162,'Super Peak Curve'!$C$23:$AN$275,38)</f>
        <v>41.7988944230238</v>
      </c>
      <c r="E162" s="150" t="n">
        <f aca="false">VLOOKUP(B162,PJM_01212000!$J$7:$AF$230,23)</f>
        <v>2</v>
      </c>
      <c r="G162" s="168" t="n">
        <f aca="false">E162/(256)^(1/2)</f>
        <v>0.125</v>
      </c>
      <c r="H162" s="169"/>
      <c r="I162" s="168" t="n">
        <f aca="false">(G162/(22)^(1/2))</f>
        <v>0.0266500895444513</v>
      </c>
      <c r="K162" s="167" t="n">
        <f aca="false">I162*C162</f>
        <v>1.11394427923265</v>
      </c>
      <c r="M162" s="170" t="n">
        <v>41.7988944230238</v>
      </c>
      <c r="N162" s="171" t="n">
        <f aca="false">M162</f>
        <v>41.7988944230238</v>
      </c>
    </row>
    <row r="163" customFormat="false" ht="12.75" hidden="false" customHeight="false" outlineLevel="0" collapsed="false">
      <c r="B163" s="149" t="n">
        <f aca="false">PJM_01212000!A197</f>
        <v>41426</v>
      </c>
      <c r="C163" s="167" t="n">
        <f aca="false">VLOOKUP(B163,'Super Peak Curve'!$C$23:$AN$275,38)</f>
        <v>79.7146045005327</v>
      </c>
      <c r="E163" s="150" t="n">
        <f aca="false">VLOOKUP(B163,PJM_01212000!$J$7:$AF$230,23)</f>
        <v>2.25</v>
      </c>
      <c r="G163" s="168" t="n">
        <f aca="false">E163/(256)^(1/2)</f>
        <v>0.140625</v>
      </c>
      <c r="H163" s="169"/>
      <c r="I163" s="168" t="n">
        <f aca="false">(G163/(22)^(1/2))</f>
        <v>0.0299813507375077</v>
      </c>
      <c r="K163" s="167" t="n">
        <f aca="false">I163*C163</f>
        <v>2.38995151643218</v>
      </c>
      <c r="M163" s="170" t="n">
        <v>79.7146045005327</v>
      </c>
      <c r="N163" s="171" t="n">
        <f aca="false">M163</f>
        <v>79.7146045005327</v>
      </c>
    </row>
    <row r="164" customFormat="false" ht="12.75" hidden="false" customHeight="false" outlineLevel="0" collapsed="false">
      <c r="B164" s="149" t="n">
        <f aca="false">PJM_01212000!A198</f>
        <v>41456</v>
      </c>
      <c r="C164" s="167" t="n">
        <f aca="false">VLOOKUP(B164,'Super Peak Curve'!$C$23:$AN$275,38)</f>
        <v>149.295573306043</v>
      </c>
      <c r="E164" s="150" t="n">
        <f aca="false">VLOOKUP(B164,PJM_01212000!$J$7:$AF$230,23)</f>
        <v>3</v>
      </c>
      <c r="G164" s="168" t="n">
        <f aca="false">E164/(256)^(1/2)</f>
        <v>0.1875</v>
      </c>
      <c r="H164" s="169"/>
      <c r="I164" s="168" t="n">
        <f aca="false">(G164/(22)^(1/2))</f>
        <v>0.039975134316677</v>
      </c>
      <c r="K164" s="167" t="n">
        <f aca="false">I164*C164</f>
        <v>5.96811059579438</v>
      </c>
      <c r="M164" s="170" t="n">
        <v>149.295573306043</v>
      </c>
      <c r="N164" s="171" t="n">
        <f aca="false">M164</f>
        <v>149.295573306043</v>
      </c>
    </row>
    <row r="165" customFormat="false" ht="12.75" hidden="false" customHeight="false" outlineLevel="0" collapsed="false">
      <c r="B165" s="149" t="n">
        <f aca="false">PJM_01212000!A199</f>
        <v>41487</v>
      </c>
      <c r="C165" s="167" t="n">
        <f aca="false">VLOOKUP(B165,'Super Peak Curve'!$C$23:$AN$275,38)</f>
        <v>123.593123286161</v>
      </c>
      <c r="E165" s="150" t="n">
        <f aca="false">VLOOKUP(B165,PJM_01212000!$J$7:$AF$230,23)</f>
        <v>3</v>
      </c>
      <c r="G165" s="168" t="n">
        <f aca="false">E165/(256)^(1/2)</f>
        <v>0.1875</v>
      </c>
      <c r="H165" s="169"/>
      <c r="I165" s="168" t="n">
        <f aca="false">(G165/(22)^(1/2))</f>
        <v>0.039975134316677</v>
      </c>
      <c r="K165" s="167" t="n">
        <f aca="false">I165*C165</f>
        <v>4.9406517039819</v>
      </c>
      <c r="M165" s="170" t="n">
        <v>123.593123286161</v>
      </c>
      <c r="N165" s="171" t="n">
        <f aca="false">M165</f>
        <v>123.593123286161</v>
      </c>
    </row>
    <row r="166" customFormat="false" ht="12.75" hidden="false" customHeight="false" outlineLevel="0" collapsed="false">
      <c r="B166" s="149" t="n">
        <f aca="false">PJM_01212000!A200</f>
        <v>41518</v>
      </c>
      <c r="C166" s="167" t="n">
        <f aca="false">VLOOKUP(B166,'Super Peak Curve'!$C$23:$AN$275,38)</f>
        <v>43.8061405479375</v>
      </c>
      <c r="E166" s="150" t="n">
        <f aca="false">VLOOKUP(B166,PJM_01212000!$J$7:$AF$230,23)</f>
        <v>1.75</v>
      </c>
      <c r="G166" s="168" t="n">
        <f aca="false">E166/(256)^(1/2)</f>
        <v>0.109375</v>
      </c>
      <c r="H166" s="169"/>
      <c r="I166" s="168" t="n">
        <f aca="false">(G166/(22)^(1/2))</f>
        <v>0.0233188283513949</v>
      </c>
      <c r="K166" s="167" t="n">
        <f aca="false">I166*C166</f>
        <v>1.02150787217443</v>
      </c>
      <c r="M166" s="170" t="n">
        <v>43.8061405479375</v>
      </c>
      <c r="N166" s="171" t="n">
        <f aca="false">M166</f>
        <v>43.8061405479375</v>
      </c>
    </row>
    <row r="167" customFormat="false" ht="12.75" hidden="false" customHeight="false" outlineLevel="0" collapsed="false">
      <c r="B167" s="149" t="n">
        <f aca="false">PJM_01212000!A201</f>
        <v>41548</v>
      </c>
      <c r="C167" s="167" t="n">
        <f aca="false">VLOOKUP(B167,'Super Peak Curve'!$C$23:$AN$275,38)</f>
        <v>36.210898573122</v>
      </c>
      <c r="E167" s="150" t="n">
        <f aca="false">VLOOKUP(B167,PJM_01212000!$J$7:$AF$230,23)</f>
        <v>1.5</v>
      </c>
      <c r="G167" s="168" t="n">
        <f aca="false">E167/(256)^(1/2)</f>
        <v>0.09375</v>
      </c>
      <c r="H167" s="169"/>
      <c r="I167" s="168" t="n">
        <f aca="false">(G167/(22)^(1/2))</f>
        <v>0.0199875671583385</v>
      </c>
      <c r="K167" s="167" t="n">
        <f aca="false">I167*C167</f>
        <v>0.723767767094059</v>
      </c>
      <c r="M167" s="170" t="n">
        <v>36.210898573122</v>
      </c>
      <c r="N167" s="171" t="n">
        <f aca="false">M167</f>
        <v>36.210898573122</v>
      </c>
    </row>
    <row r="168" customFormat="false" ht="12.75" hidden="false" customHeight="false" outlineLevel="0" collapsed="false">
      <c r="B168" s="149" t="n">
        <f aca="false">PJM_01212000!A202</f>
        <v>41579</v>
      </c>
      <c r="C168" s="167" t="n">
        <f aca="false">VLOOKUP(B168,'Super Peak Curve'!$C$23:$AN$275,38)</f>
        <v>36.3171843472672</v>
      </c>
      <c r="E168" s="150" t="n">
        <f aca="false">VLOOKUP(B168,PJM_01212000!$J$7:$AF$230,23)</f>
        <v>1.5</v>
      </c>
      <c r="G168" s="168" t="n">
        <f aca="false">E168/(256)^(1/2)</f>
        <v>0.09375</v>
      </c>
      <c r="H168" s="169"/>
      <c r="I168" s="168" t="n">
        <f aca="false">(G168/(22)^(1/2))</f>
        <v>0.0199875671583385</v>
      </c>
      <c r="K168" s="167" t="n">
        <f aca="false">I168*C168</f>
        <v>0.725892161142761</v>
      </c>
      <c r="M168" s="170" t="n">
        <v>36.3171843472672</v>
      </c>
      <c r="N168" s="171" t="n">
        <f aca="false">M168</f>
        <v>36.3171843472672</v>
      </c>
    </row>
    <row r="169" customFormat="false" ht="12.75" hidden="false" customHeight="false" outlineLevel="0" collapsed="false">
      <c r="B169" s="149" t="n">
        <f aca="false">PJM_01212000!A203</f>
        <v>41609</v>
      </c>
      <c r="C169" s="167" t="n">
        <f aca="false">VLOOKUP(B169,'Super Peak Curve'!$C$23:$AN$275,38)</f>
        <v>38.8923350019566</v>
      </c>
      <c r="E169" s="150" t="n">
        <f aca="false">VLOOKUP(B169,PJM_01212000!$J$7:$AF$230,23)</f>
        <v>1.5</v>
      </c>
      <c r="G169" s="168" t="n">
        <f aca="false">E169/(256)^(1/2)</f>
        <v>0.09375</v>
      </c>
      <c r="H169" s="169"/>
      <c r="I169" s="168" t="n">
        <f aca="false">(G169/(22)^(1/2))</f>
        <v>0.0199875671583385</v>
      </c>
      <c r="K169" s="167" t="n">
        <f aca="false">I169*C169</f>
        <v>0.777363157796207</v>
      </c>
      <c r="M169" s="170" t="n">
        <v>38.8923350019566</v>
      </c>
      <c r="N169" s="171" t="n">
        <f aca="false">M169</f>
        <v>38.8923350019566</v>
      </c>
    </row>
    <row r="170" customFormat="false" ht="12.75" hidden="false" customHeight="false" outlineLevel="0" collapsed="false">
      <c r="B170" s="149" t="n">
        <f aca="false">PJM_01212000!A204</f>
        <v>41640</v>
      </c>
      <c r="C170" s="167" t="n">
        <f aca="false">VLOOKUP(B170,'Super Peak Curve'!$C$23:$AN$275,38)</f>
        <v>50.0603377433459</v>
      </c>
      <c r="E170" s="150" t="n">
        <f aca="false">VLOOKUP(B170,PJM_01212000!$J$7:$AF$230,23)</f>
        <v>1.75</v>
      </c>
      <c r="G170" s="168" t="n">
        <f aca="false">E170/(256)^(1/2)</f>
        <v>0.109375</v>
      </c>
      <c r="H170" s="169"/>
      <c r="I170" s="168" t="n">
        <f aca="false">(G170/(22)^(1/2))</f>
        <v>0.0233188283513949</v>
      </c>
      <c r="K170" s="167" t="n">
        <f aca="false">I170*C170</f>
        <v>1.16734842304994</v>
      </c>
      <c r="M170" s="170" t="n">
        <v>50.0603377433459</v>
      </c>
      <c r="N170" s="171" t="n">
        <f aca="false">M170</f>
        <v>50.0603377433459</v>
      </c>
    </row>
    <row r="171" customFormat="false" ht="12.75" hidden="false" customHeight="false" outlineLevel="0" collapsed="false">
      <c r="B171" s="149" t="n">
        <f aca="false">PJM_01212000!A205</f>
        <v>41671</v>
      </c>
      <c r="C171" s="167" t="n">
        <f aca="false">VLOOKUP(B171,'Super Peak Curve'!$C$23:$AN$275,38)</f>
        <v>50.0603377433459</v>
      </c>
      <c r="E171" s="150" t="n">
        <f aca="false">VLOOKUP(B171,PJM_01212000!$J$7:$AF$230,23)</f>
        <v>1.75</v>
      </c>
      <c r="G171" s="168" t="n">
        <f aca="false">E171/(256)^(1/2)</f>
        <v>0.109375</v>
      </c>
      <c r="H171" s="169"/>
      <c r="I171" s="168" t="n">
        <f aca="false">(G171/(22)^(1/2))</f>
        <v>0.0233188283513949</v>
      </c>
      <c r="K171" s="167" t="n">
        <f aca="false">I171*C171</f>
        <v>1.16734842304994</v>
      </c>
      <c r="M171" s="170" t="n">
        <v>50.0603377433459</v>
      </c>
      <c r="N171" s="171" t="n">
        <f aca="false">M171</f>
        <v>50.0603377433459</v>
      </c>
    </row>
    <row r="172" customFormat="false" ht="12.75" hidden="false" customHeight="false" outlineLevel="0" collapsed="false">
      <c r="B172" s="149" t="n">
        <f aca="false">PJM_01212000!A206</f>
        <v>41699</v>
      </c>
      <c r="C172" s="167" t="n">
        <f aca="false">VLOOKUP(B172,'Super Peak Curve'!$C$23:$AN$275,38)</f>
        <v>37.155674677906</v>
      </c>
      <c r="E172" s="150" t="n">
        <f aca="false">VLOOKUP(B172,PJM_01212000!$J$7:$AF$230,23)</f>
        <v>1.1</v>
      </c>
      <c r="G172" s="168" t="n">
        <f aca="false">E172/(256)^(1/2)</f>
        <v>0.06875</v>
      </c>
      <c r="H172" s="169"/>
      <c r="I172" s="168" t="n">
        <f aca="false">(G172/(22)^(1/2))</f>
        <v>0.0146575492494482</v>
      </c>
      <c r="K172" s="167" t="n">
        <f aca="false">I172*C172</f>
        <v>0.544611131487884</v>
      </c>
      <c r="M172" s="170" t="n">
        <v>37.155674677906</v>
      </c>
      <c r="N172" s="171" t="n">
        <f aca="false">M172</f>
        <v>37.155674677906</v>
      </c>
    </row>
    <row r="173" customFormat="false" ht="12.75" hidden="false" customHeight="false" outlineLevel="0" collapsed="false">
      <c r="B173" s="149" t="n">
        <f aca="false">PJM_01212000!A207</f>
        <v>41730</v>
      </c>
      <c r="C173" s="167" t="n">
        <f aca="false">VLOOKUP(B173,'Super Peak Curve'!$C$23:$AN$275,38)</f>
        <v>34.3995373217345</v>
      </c>
      <c r="E173" s="150" t="n">
        <f aca="false">VLOOKUP(B173,PJM_01212000!$J$7:$AF$230,23)</f>
        <v>1.2</v>
      </c>
      <c r="G173" s="168" t="n">
        <f aca="false">E173/(256)^(1/2)</f>
        <v>0.075</v>
      </c>
      <c r="H173" s="169"/>
      <c r="I173" s="168" t="n">
        <f aca="false">(G173/(22)^(1/2))</f>
        <v>0.0159900537266708</v>
      </c>
      <c r="K173" s="167" t="n">
        <f aca="false">I173*C173</f>
        <v>0.550050449947151</v>
      </c>
      <c r="M173" s="170" t="n">
        <v>34.3995373217345</v>
      </c>
      <c r="N173" s="171" t="n">
        <f aca="false">M173</f>
        <v>34.3995373217345</v>
      </c>
    </row>
    <row r="174" customFormat="false" ht="12.75" hidden="false" customHeight="false" outlineLevel="0" collapsed="false">
      <c r="B174" s="149" t="n">
        <f aca="false">PJM_01212000!A208</f>
        <v>41760</v>
      </c>
      <c r="C174" s="167" t="n">
        <f aca="false">VLOOKUP(B174,'Super Peak Curve'!$C$23:$AN$275,38)</f>
        <v>42.0733454697935</v>
      </c>
      <c r="E174" s="150" t="n">
        <f aca="false">VLOOKUP(B174,PJM_01212000!$J$7:$AF$230,23)</f>
        <v>2</v>
      </c>
      <c r="G174" s="168" t="n">
        <f aca="false">E174/(256)^(1/2)</f>
        <v>0.125</v>
      </c>
      <c r="H174" s="169"/>
      <c r="I174" s="168" t="n">
        <f aca="false">(G174/(22)^(1/2))</f>
        <v>0.0266500895444513</v>
      </c>
      <c r="K174" s="167" t="n">
        <f aca="false">I174*C174</f>
        <v>1.12125842420463</v>
      </c>
      <c r="M174" s="170" t="n">
        <v>42.0733454697935</v>
      </c>
      <c r="N174" s="171" t="n">
        <f aca="false">M174</f>
        <v>42.0733454697935</v>
      </c>
    </row>
    <row r="175" customFormat="false" ht="12.75" hidden="false" customHeight="false" outlineLevel="0" collapsed="false">
      <c r="B175" s="149" t="n">
        <f aca="false">PJM_01212000!A209</f>
        <v>41791</v>
      </c>
      <c r="C175" s="167" t="n">
        <f aca="false">VLOOKUP(B175,'Super Peak Curve'!$C$23:$AN$275,38)</f>
        <v>80.6400836768109</v>
      </c>
      <c r="E175" s="150" t="n">
        <f aca="false">VLOOKUP(B175,PJM_01212000!$J$7:$AF$230,23)</f>
        <v>2.25</v>
      </c>
      <c r="G175" s="168" t="n">
        <f aca="false">E175/(256)^(1/2)</f>
        <v>0.140625</v>
      </c>
      <c r="H175" s="169"/>
      <c r="I175" s="168" t="n">
        <f aca="false">(G175/(22)^(1/2))</f>
        <v>0.0299813507375077</v>
      </c>
      <c r="K175" s="167" t="n">
        <f aca="false">I175*C175</f>
        <v>2.41769863221644</v>
      </c>
      <c r="M175" s="170" t="n">
        <v>80.6400836768109</v>
      </c>
      <c r="N175" s="171" t="n">
        <f aca="false">M175</f>
        <v>80.6400836768109</v>
      </c>
    </row>
    <row r="176" customFormat="false" ht="12.75" hidden="false" customHeight="false" outlineLevel="0" collapsed="false">
      <c r="B176" s="149" t="n">
        <f aca="false">PJM_01212000!A210</f>
        <v>41821</v>
      </c>
      <c r="C176" s="167" t="n">
        <f aca="false">VLOOKUP(B176,'Super Peak Curve'!$C$23:$AN$275,38)</f>
        <v>152.249971273983</v>
      </c>
      <c r="E176" s="150" t="n">
        <f aca="false">VLOOKUP(B176,PJM_01212000!$J$7:$AF$230,23)</f>
        <v>3</v>
      </c>
      <c r="G176" s="168" t="n">
        <f aca="false">E176/(256)^(1/2)</f>
        <v>0.1875</v>
      </c>
      <c r="H176" s="169"/>
      <c r="I176" s="168" t="n">
        <f aca="false">(G176/(22)^(1/2))</f>
        <v>0.039975134316677</v>
      </c>
      <c r="K176" s="167" t="n">
        <f aca="false">I176*C176</f>
        <v>6.08621305138767</v>
      </c>
      <c r="M176" s="170" t="n">
        <v>152.249971273983</v>
      </c>
      <c r="N176" s="171" t="n">
        <f aca="false">M176</f>
        <v>152.249971273983</v>
      </c>
    </row>
    <row r="177" customFormat="false" ht="12.75" hidden="false" customHeight="false" outlineLevel="0" collapsed="false">
      <c r="B177" s="149" t="n">
        <f aca="false">PJM_01212000!A211</f>
        <v>41852</v>
      </c>
      <c r="C177" s="167" t="n">
        <f aca="false">VLOOKUP(B177,'Super Peak Curve'!$C$23:$AN$275,38)</f>
        <v>126.35463804109</v>
      </c>
      <c r="E177" s="150" t="n">
        <f aca="false">VLOOKUP(B177,PJM_01212000!$J$7:$AF$230,23)</f>
        <v>3</v>
      </c>
      <c r="G177" s="168" t="n">
        <f aca="false">E177/(256)^(1/2)</f>
        <v>0.1875</v>
      </c>
      <c r="H177" s="169"/>
      <c r="I177" s="168" t="n">
        <f aca="false">(G177/(22)^(1/2))</f>
        <v>0.039975134316677</v>
      </c>
      <c r="K177" s="167" t="n">
        <f aca="false">I177*C177</f>
        <v>5.05104362722767</v>
      </c>
      <c r="M177" s="170" t="n">
        <v>126.35463804109</v>
      </c>
      <c r="N177" s="171" t="n">
        <f aca="false">M177</f>
        <v>126.35463804109</v>
      </c>
    </row>
    <row r="178" customFormat="false" ht="12.75" hidden="false" customHeight="false" outlineLevel="0" collapsed="false">
      <c r="B178" s="149" t="n">
        <f aca="false">PJM_01212000!A212</f>
        <v>41883</v>
      </c>
      <c r="C178" s="167" t="n">
        <f aca="false">VLOOKUP(B178,'Super Peak Curve'!$C$23:$AN$275,38)</f>
        <v>44.3836770319248</v>
      </c>
      <c r="E178" s="150" t="n">
        <f aca="false">VLOOKUP(B178,PJM_01212000!$J$7:$AF$230,23)</f>
        <v>1.75</v>
      </c>
      <c r="G178" s="168" t="n">
        <f aca="false">E178/(256)^(1/2)</f>
        <v>0.109375</v>
      </c>
      <c r="H178" s="169"/>
      <c r="I178" s="168" t="n">
        <f aca="false">(G178/(22)^(1/2))</f>
        <v>0.0233188283513949</v>
      </c>
      <c r="K178" s="167" t="n">
        <f aca="false">I178*C178</f>
        <v>1.0349753463112</v>
      </c>
      <c r="M178" s="170" t="n">
        <v>44.3836770319248</v>
      </c>
      <c r="N178" s="171" t="n">
        <f aca="false">M178</f>
        <v>44.3836770319248</v>
      </c>
    </row>
    <row r="179" customFormat="false" ht="12.75" hidden="false" customHeight="false" outlineLevel="0" collapsed="false">
      <c r="B179" s="149" t="n">
        <f aca="false">PJM_01212000!A213</f>
        <v>41913</v>
      </c>
      <c r="C179" s="167" t="n">
        <f aca="false">VLOOKUP(B179,'Super Peak Curve'!$C$23:$AN$275,38)</f>
        <v>36.504579823122</v>
      </c>
      <c r="E179" s="150" t="n">
        <f aca="false">VLOOKUP(B179,PJM_01212000!$J$7:$AF$230,23)</f>
        <v>1.5</v>
      </c>
      <c r="G179" s="168" t="n">
        <f aca="false">E179/(256)^(1/2)</f>
        <v>0.09375</v>
      </c>
      <c r="H179" s="169"/>
      <c r="I179" s="168" t="n">
        <f aca="false">(G179/(22)^(1/2))</f>
        <v>0.0199875671583385</v>
      </c>
      <c r="K179" s="167" t="n">
        <f aca="false">I179*C179</f>
        <v>0.729637740801579</v>
      </c>
      <c r="M179" s="170" t="n">
        <v>36.504579823122</v>
      </c>
      <c r="N179" s="171" t="n">
        <f aca="false">M179</f>
        <v>36.504579823122</v>
      </c>
    </row>
    <row r="180" customFormat="false" ht="12.75" hidden="false" customHeight="false" outlineLevel="0" collapsed="false">
      <c r="B180" s="149" t="n">
        <f aca="false">PJM_01212000!A214</f>
        <v>41944</v>
      </c>
      <c r="C180" s="167" t="n">
        <f aca="false">VLOOKUP(B180,'Super Peak Curve'!$C$23:$AN$275,38)</f>
        <v>36.6148905972672</v>
      </c>
      <c r="E180" s="150" t="n">
        <f aca="false">VLOOKUP(B180,PJM_01212000!$J$7:$AF$230,23)</f>
        <v>1.5</v>
      </c>
      <c r="G180" s="168" t="n">
        <f aca="false">E180/(256)^(1/2)</f>
        <v>0.09375</v>
      </c>
      <c r="H180" s="169"/>
      <c r="I180" s="168" t="n">
        <f aca="false">(G180/(22)^(1/2))</f>
        <v>0.0199875671583385</v>
      </c>
      <c r="K180" s="167" t="n">
        <f aca="false">I180*C180</f>
        <v>0.731842584808093</v>
      </c>
      <c r="M180" s="170" t="n">
        <v>36.6148905972672</v>
      </c>
      <c r="N180" s="171" t="n">
        <f aca="false">M180</f>
        <v>36.6148905972672</v>
      </c>
    </row>
    <row r="181" customFormat="false" ht="12.75" hidden="false" customHeight="false" outlineLevel="0" collapsed="false">
      <c r="B181" s="149" t="n">
        <f aca="false">PJM_01212000!A215</f>
        <v>41974</v>
      </c>
      <c r="C181" s="167" t="n">
        <f aca="false">VLOOKUP(B181,'Super Peak Curve'!$C$23:$AN$275,38)</f>
        <v>39.1938259745303</v>
      </c>
      <c r="E181" s="150" t="n">
        <f aca="false">VLOOKUP(B181,PJM_01212000!$J$7:$AF$230,23)</f>
        <v>1.5</v>
      </c>
      <c r="G181" s="168" t="n">
        <f aca="false">E181/(256)^(1/2)</f>
        <v>0.09375</v>
      </c>
      <c r="H181" s="169"/>
      <c r="I181" s="168" t="n">
        <f aca="false">(G181/(22)^(1/2))</f>
        <v>0.0199875671583385</v>
      </c>
      <c r="K181" s="167" t="n">
        <f aca="false">I181*C181</f>
        <v>0.783389228858155</v>
      </c>
      <c r="M181" s="170" t="n">
        <v>39.1938259745303</v>
      </c>
      <c r="N181" s="171" t="n">
        <f aca="false">M181</f>
        <v>39.1938259745303</v>
      </c>
    </row>
    <row r="182" customFormat="false" ht="12.75" hidden="false" customHeight="false" outlineLevel="0" collapsed="false">
      <c r="B182" s="149" t="n">
        <f aca="false">PJM_01212000!A216</f>
        <v>42005</v>
      </c>
      <c r="C182" s="167" t="n">
        <f aca="false">VLOOKUP(B182,'Super Peak Curve'!$C$23:$AN$275,38)</f>
        <v>50.3668921806662</v>
      </c>
      <c r="E182" s="150" t="n">
        <f aca="false">VLOOKUP(B182,PJM_01212000!$J$7:$AF$230,23)</f>
        <v>1.75</v>
      </c>
      <c r="G182" s="168" t="n">
        <f aca="false">E182/(256)^(1/2)</f>
        <v>0.109375</v>
      </c>
      <c r="H182" s="169"/>
      <c r="I182" s="168" t="n">
        <f aca="false">(G182/(22)^(1/2))</f>
        <v>0.0233188283513949</v>
      </c>
      <c r="K182" s="167" t="n">
        <f aca="false">I182*C182</f>
        <v>1.17449691335417</v>
      </c>
      <c r="M182" s="170" t="n">
        <v>50.3668921806662</v>
      </c>
      <c r="N182" s="171" t="n">
        <f aca="false">M182</f>
        <v>50.3668921806662</v>
      </c>
    </row>
    <row r="183" customFormat="false" ht="12.75" hidden="false" customHeight="false" outlineLevel="0" collapsed="false">
      <c r="B183" s="149" t="n">
        <f aca="false">PJM_01212000!A217</f>
        <v>42036</v>
      </c>
      <c r="C183" s="167" t="n">
        <f aca="false">VLOOKUP(B183,'Super Peak Curve'!$C$23:$AN$275,38)</f>
        <v>50.3668921806662</v>
      </c>
      <c r="E183" s="150" t="n">
        <f aca="false">VLOOKUP(B183,PJM_01212000!$J$7:$AF$230,23)</f>
        <v>1.75</v>
      </c>
      <c r="G183" s="168" t="n">
        <f aca="false">E183/(256)^(1/2)</f>
        <v>0.109375</v>
      </c>
      <c r="H183" s="169"/>
      <c r="I183" s="168" t="n">
        <f aca="false">(G183/(22)^(1/2))</f>
        <v>0.0233188283513949</v>
      </c>
      <c r="K183" s="167" t="n">
        <f aca="false">I183*C183</f>
        <v>1.17449691335417</v>
      </c>
      <c r="M183" s="170" t="n">
        <v>50.3668921806662</v>
      </c>
      <c r="N183" s="171" t="n">
        <f aca="false">M183</f>
        <v>50.3668921806662</v>
      </c>
    </row>
    <row r="184" customFormat="false" ht="12.75" hidden="false" customHeight="false" outlineLevel="0" collapsed="false">
      <c r="B184" s="149" t="n">
        <f aca="false">PJM_01212000!A218</f>
        <v>42064</v>
      </c>
      <c r="C184" s="167" t="n">
        <f aca="false">VLOOKUP(B184,'Super Peak Curve'!$C$23:$AN$275,38)</f>
        <v>37.459730927906</v>
      </c>
      <c r="E184" s="150" t="n">
        <f aca="false">VLOOKUP(B184,PJM_01212000!$J$7:$AF$230,23)</f>
        <v>1.1</v>
      </c>
      <c r="G184" s="168" t="n">
        <f aca="false">E184/(256)^(1/2)</f>
        <v>0.06875</v>
      </c>
      <c r="H184" s="169"/>
      <c r="I184" s="168" t="n">
        <f aca="false">(G184/(22)^(1/2))</f>
        <v>0.0146575492494482</v>
      </c>
      <c r="K184" s="167" t="n">
        <f aca="false">I184*C184</f>
        <v>0.549067850946861</v>
      </c>
      <c r="M184" s="170" t="n">
        <v>37.459730927906</v>
      </c>
      <c r="N184" s="171" t="n">
        <f aca="false">M184</f>
        <v>37.459730927906</v>
      </c>
    </row>
    <row r="185" customFormat="false" ht="12.75" hidden="false" customHeight="false" outlineLevel="0" collapsed="false">
      <c r="B185" s="149" t="n">
        <f aca="false">PJM_01212000!A219</f>
        <v>42095</v>
      </c>
      <c r="C185" s="167" t="n">
        <f aca="false">VLOOKUP(B185,'Super Peak Curve'!$C$23:$AN$275,38)</f>
        <v>34.6831278943337</v>
      </c>
      <c r="E185" s="150" t="n">
        <f aca="false">VLOOKUP(B185,PJM_01212000!$J$7:$AF$230,23)</f>
        <v>1.2</v>
      </c>
      <c r="G185" s="168" t="n">
        <f aca="false">E185/(256)^(1/2)</f>
        <v>0.075</v>
      </c>
      <c r="H185" s="169"/>
      <c r="I185" s="168" t="n">
        <f aca="false">(G185/(22)^(1/2))</f>
        <v>0.0159900537266708</v>
      </c>
      <c r="K185" s="167" t="n">
        <f aca="false">I185*C185</f>
        <v>0.55458507843939</v>
      </c>
      <c r="M185" s="170" t="n">
        <v>34.6831278943337</v>
      </c>
      <c r="N185" s="171" t="n">
        <f aca="false">M185</f>
        <v>34.6831278943337</v>
      </c>
    </row>
    <row r="186" customFormat="false" ht="12.75" hidden="false" customHeight="false" outlineLevel="0" collapsed="false">
      <c r="B186" s="149" t="n">
        <f aca="false">PJM_01212000!A220</f>
        <v>42125</v>
      </c>
      <c r="C186" s="167" t="n">
        <f aca="false">VLOOKUP(B186,'Super Peak Curve'!$C$23:$AN$275,38)</f>
        <v>42.3477965165632</v>
      </c>
      <c r="E186" s="150" t="n">
        <f aca="false">VLOOKUP(B186,PJM_01212000!$J$7:$AF$230,23)</f>
        <v>2</v>
      </c>
      <c r="G186" s="168" t="n">
        <f aca="false">E186/(256)^(1/2)</f>
        <v>0.125</v>
      </c>
      <c r="H186" s="169"/>
      <c r="I186" s="168" t="n">
        <f aca="false">(G186/(22)^(1/2))</f>
        <v>0.0266500895444513</v>
      </c>
      <c r="K186" s="167" t="n">
        <f aca="false">I186*C186</f>
        <v>1.12857256917661</v>
      </c>
      <c r="M186" s="170" t="n">
        <v>42.3477965165632</v>
      </c>
      <c r="N186" s="171" t="n">
        <f aca="false">M186</f>
        <v>42.3477965165632</v>
      </c>
    </row>
    <row r="187" customFormat="false" ht="12.75" hidden="false" customHeight="false" outlineLevel="0" collapsed="false">
      <c r="B187" s="149" t="n">
        <f aca="false">PJM_01212000!A221</f>
        <v>42156</v>
      </c>
      <c r="C187" s="167" t="n">
        <f aca="false">VLOOKUP(B187,'Super Peak Curve'!$C$23:$AN$275,38)</f>
        <v>81.565562853089</v>
      </c>
      <c r="E187" s="150" t="n">
        <f aca="false">VLOOKUP(B187,PJM_01212000!$J$7:$AF$230,23)</f>
        <v>2.25</v>
      </c>
      <c r="G187" s="168" t="n">
        <f aca="false">E187/(256)^(1/2)</f>
        <v>0.140625</v>
      </c>
      <c r="H187" s="169"/>
      <c r="I187" s="168" t="n">
        <f aca="false">(G187/(22)^(1/2))</f>
        <v>0.0299813507375077</v>
      </c>
      <c r="K187" s="167" t="n">
        <f aca="false">I187*C187</f>
        <v>2.44544574800069</v>
      </c>
      <c r="M187" s="170" t="n">
        <v>81.565562853089</v>
      </c>
      <c r="N187" s="171" t="n">
        <f aca="false">M187</f>
        <v>81.565562853089</v>
      </c>
    </row>
    <row r="188" customFormat="false" ht="12.75" hidden="false" customHeight="false" outlineLevel="0" collapsed="false">
      <c r="B188" s="149" t="n">
        <f aca="false">PJM_01212000!A222</f>
        <v>42186</v>
      </c>
      <c r="C188" s="167" t="n">
        <f aca="false">VLOOKUP(B188,'Super Peak Curve'!$C$23:$AN$275,38)</f>
        <v>155.204369241922</v>
      </c>
      <c r="E188" s="150" t="n">
        <f aca="false">VLOOKUP(B188,PJM_01212000!$J$7:$AF$230,23)</f>
        <v>3</v>
      </c>
      <c r="G188" s="168" t="n">
        <f aca="false">E188/(256)^(1/2)</f>
        <v>0.1875</v>
      </c>
      <c r="H188" s="169"/>
      <c r="I188" s="168" t="n">
        <f aca="false">(G188/(22)^(1/2))</f>
        <v>0.039975134316677</v>
      </c>
      <c r="K188" s="167" t="n">
        <f aca="false">I188*C188</f>
        <v>6.20431550698096</v>
      </c>
      <c r="M188" s="170" t="n">
        <v>155.204369241922</v>
      </c>
      <c r="N188" s="171" t="n">
        <f aca="false">M188</f>
        <v>155.204369241922</v>
      </c>
    </row>
    <row r="189" customFormat="false" ht="12.75" hidden="false" customHeight="false" outlineLevel="0" collapsed="false">
      <c r="B189" s="149" t="n">
        <f aca="false">PJM_01212000!A223</f>
        <v>42217</v>
      </c>
      <c r="C189" s="167" t="n">
        <f aca="false">VLOOKUP(B189,'Super Peak Curve'!$C$23:$AN$275,38)</f>
        <v>129.116152796019</v>
      </c>
      <c r="E189" s="150" t="n">
        <f aca="false">VLOOKUP(B189,PJM_01212000!$J$7:$AF$230,23)</f>
        <v>3</v>
      </c>
      <c r="G189" s="168" t="n">
        <f aca="false">E189/(256)^(1/2)</f>
        <v>0.1875</v>
      </c>
      <c r="H189" s="169"/>
      <c r="I189" s="168" t="n">
        <f aca="false">(G189/(22)^(1/2))</f>
        <v>0.039975134316677</v>
      </c>
      <c r="K189" s="167" t="n">
        <f aca="false">I189*C189</f>
        <v>5.16143555047344</v>
      </c>
      <c r="M189" s="170" t="n">
        <v>129.116152796019</v>
      </c>
      <c r="N189" s="171" t="n">
        <f aca="false">M189</f>
        <v>129.116152796019</v>
      </c>
    </row>
    <row r="190" customFormat="false" ht="12.75" hidden="false" customHeight="false" outlineLevel="0" collapsed="false">
      <c r="B190" s="149" t="n">
        <f aca="false">PJM_01212000!A224</f>
        <v>42248</v>
      </c>
      <c r="C190" s="167" t="n">
        <f aca="false">VLOOKUP(B190,'Super Peak Curve'!$C$23:$AN$275,38)</f>
        <v>44.9612135159121</v>
      </c>
      <c r="E190" s="150" t="n">
        <f aca="false">VLOOKUP(B190,PJM_01212000!$J$7:$AF$230,23)</f>
        <v>1.75</v>
      </c>
      <c r="G190" s="168" t="n">
        <f aca="false">E190/(256)^(1/2)</f>
        <v>0.109375</v>
      </c>
      <c r="H190" s="169"/>
      <c r="I190" s="168" t="n">
        <f aca="false">(G190/(22)^(1/2))</f>
        <v>0.0233188283513949</v>
      </c>
      <c r="K190" s="167" t="n">
        <f aca="false">I190*C190</f>
        <v>1.04844282044797</v>
      </c>
      <c r="M190" s="170" t="n">
        <v>44.9612135159121</v>
      </c>
      <c r="N190" s="171" t="n">
        <f aca="false">M190</f>
        <v>44.9612135159121</v>
      </c>
    </row>
    <row r="191" customFormat="false" ht="12.75" hidden="false" customHeight="false" outlineLevel="0" collapsed="false">
      <c r="B191" s="149" t="n">
        <f aca="false">PJM_01212000!A225</f>
        <v>42278</v>
      </c>
      <c r="C191" s="167" t="n">
        <f aca="false">VLOOKUP(B191,'Super Peak Curve'!$C$23:$AN$275,38)</f>
        <v>36.798261073122</v>
      </c>
      <c r="E191" s="150" t="n">
        <f aca="false">VLOOKUP(B191,PJM_01212000!$J$7:$AF$230,23)</f>
        <v>1.5</v>
      </c>
      <c r="G191" s="168" t="n">
        <f aca="false">E191/(256)^(1/2)</f>
        <v>0.09375</v>
      </c>
      <c r="H191" s="169"/>
      <c r="I191" s="168" t="n">
        <f aca="false">(G191/(22)^(1/2))</f>
        <v>0.0199875671583385</v>
      </c>
      <c r="K191" s="167" t="n">
        <f aca="false">I191*C191</f>
        <v>0.735507714509099</v>
      </c>
      <c r="M191" s="170" t="n">
        <v>36.798261073122</v>
      </c>
      <c r="N191" s="171" t="n">
        <f aca="false">M191</f>
        <v>36.798261073122</v>
      </c>
    </row>
    <row r="192" customFormat="false" ht="12.75" hidden="false" customHeight="false" outlineLevel="0" collapsed="false">
      <c r="B192" s="149" t="n">
        <f aca="false">PJM_01212000!A226</f>
        <v>42309</v>
      </c>
      <c r="C192" s="167" t="n">
        <f aca="false">VLOOKUP(B192,'Super Peak Curve'!$C$23:$AN$275,38)</f>
        <v>36.9125968472672</v>
      </c>
      <c r="E192" s="150" t="n">
        <f aca="false">VLOOKUP(B192,PJM_01212000!$J$7:$AF$230,23)</f>
        <v>1.5</v>
      </c>
      <c r="G192" s="168" t="n">
        <f aca="false">E192/(256)^(1/2)</f>
        <v>0.09375</v>
      </c>
      <c r="H192" s="169"/>
      <c r="I192" s="168" t="n">
        <f aca="false">(G192/(22)^(1/2))</f>
        <v>0.0199875671583385</v>
      </c>
      <c r="K192" s="167" t="n">
        <f aca="false">I192*C192</f>
        <v>0.737793008473425</v>
      </c>
      <c r="M192" s="170" t="n">
        <v>36.9125968472672</v>
      </c>
      <c r="N192" s="171" t="n">
        <f aca="false">M192</f>
        <v>36.9125968472672</v>
      </c>
    </row>
    <row r="193" customFormat="false" ht="12.75" hidden="false" customHeight="false" outlineLevel="0" collapsed="false">
      <c r="B193" s="149" t="n">
        <f aca="false">PJM_01212000!A227</f>
        <v>42339</v>
      </c>
      <c r="C193" s="167" t="n">
        <f aca="false">VLOOKUP(B193,'Super Peak Curve'!$C$23:$AN$275,38)</f>
        <v>39.4953169471039</v>
      </c>
      <c r="E193" s="150" t="n">
        <f aca="false">VLOOKUP(B193,PJM_01212000!$J$7:$AF$230,23)</f>
        <v>1.5</v>
      </c>
      <c r="G193" s="168" t="n">
        <f aca="false">E193/(256)^(1/2)</f>
        <v>0.09375</v>
      </c>
      <c r="H193" s="169"/>
      <c r="I193" s="168" t="n">
        <f aca="false">(G193/(22)^(1/2))</f>
        <v>0.0199875671583385</v>
      </c>
      <c r="K193" s="167" t="n">
        <f aca="false">I193*C193</f>
        <v>0.789415299920102</v>
      </c>
      <c r="M193" s="170" t="n">
        <v>39.4953169471039</v>
      </c>
      <c r="N193" s="171" t="n">
        <f aca="false">M193</f>
        <v>39.4953169471039</v>
      </c>
    </row>
    <row r="194" customFormat="false" ht="12.75" hidden="false" customHeight="false" outlineLevel="0" collapsed="false">
      <c r="B194" s="149" t="n">
        <f aca="false">PJM_01212000!A228</f>
        <v>42370</v>
      </c>
      <c r="C194" s="167" t="n">
        <f aca="false">VLOOKUP(B194,'Super Peak Curve'!$C$23:$AN$275,38)</f>
        <v>50.6734466179865</v>
      </c>
      <c r="E194" s="150" t="n">
        <f aca="false">VLOOKUP(B194,PJM_01212000!$J$7:$AF$230,23)</f>
        <v>1.75</v>
      </c>
      <c r="G194" s="168" t="n">
        <f aca="false">E194/(256)^(1/2)</f>
        <v>0.109375</v>
      </c>
      <c r="H194" s="169"/>
      <c r="I194" s="168" t="n">
        <f aca="false">(G194/(22)^(1/2))</f>
        <v>0.0233188283513949</v>
      </c>
      <c r="K194" s="167" t="n">
        <f aca="false">I194*C194</f>
        <v>1.1816454036584</v>
      </c>
      <c r="M194" s="170" t="n">
        <v>50.6734466179865</v>
      </c>
      <c r="N194" s="171" t="n">
        <f aca="false">M194</f>
        <v>50.6734466179865</v>
      </c>
    </row>
    <row r="195" customFormat="false" ht="12.75" hidden="false" customHeight="false" outlineLevel="0" collapsed="false">
      <c r="B195" s="149" t="n">
        <f aca="false">PJM_01212000!A229</f>
        <v>42401</v>
      </c>
      <c r="C195" s="167" t="n">
        <f aca="false">VLOOKUP(B195,'Super Peak Curve'!$C$23:$AN$275,38)</f>
        <v>50.6734466179865</v>
      </c>
      <c r="E195" s="150" t="n">
        <f aca="false">VLOOKUP(B195,PJM_01212000!$J$7:$AF$230,23)</f>
        <v>1.75</v>
      </c>
      <c r="G195" s="168" t="n">
        <f aca="false">E195/(256)^(1/2)</f>
        <v>0.109375</v>
      </c>
      <c r="H195" s="169"/>
      <c r="I195" s="168" t="n">
        <f aca="false">(G195/(22)^(1/2))</f>
        <v>0.0233188283513949</v>
      </c>
      <c r="K195" s="167" t="n">
        <f aca="false">I195*C195</f>
        <v>1.1816454036584</v>
      </c>
      <c r="M195" s="170" t="n">
        <v>50.6734466179865</v>
      </c>
      <c r="N195" s="171" t="n">
        <f aca="false">M195</f>
        <v>50.6734466179865</v>
      </c>
    </row>
    <row r="196" customFormat="false" ht="12.75" hidden="false" customHeight="false" outlineLevel="0" collapsed="false">
      <c r="B196" s="149" t="n">
        <f aca="false">PJM_01212000!A230</f>
        <v>42430</v>
      </c>
      <c r="C196" s="167" t="n">
        <f aca="false">VLOOKUP(B196,'Super Peak Curve'!$C$23:$AN$275,38)</f>
        <v>37.763787177906</v>
      </c>
      <c r="E196" s="150" t="n">
        <f aca="false">VLOOKUP(B196,PJM_01212000!$J$7:$AF$230,23)</f>
        <v>1.1</v>
      </c>
      <c r="G196" s="168" t="n">
        <f aca="false">E196/(256)^(1/2)</f>
        <v>0.06875</v>
      </c>
      <c r="H196" s="169"/>
      <c r="I196" s="168" t="n">
        <f aca="false">(G196/(22)^(1/2))</f>
        <v>0.0146575492494482</v>
      </c>
      <c r="K196" s="167" t="n">
        <f aca="false">I196*C196</f>
        <v>0.553524570405839</v>
      </c>
      <c r="M196" s="170" t="n">
        <v>37.763787177906</v>
      </c>
      <c r="N196" s="171" t="n">
        <f aca="false">M196</f>
        <v>37.763787177906</v>
      </c>
    </row>
    <row r="197" customFormat="false" ht="12.75" hidden="false" customHeight="false" outlineLevel="0" collapsed="false">
      <c r="B197" s="149" t="n">
        <f aca="false">PJM_01212000!A231</f>
        <v>42461</v>
      </c>
      <c r="C197" s="167" t="n">
        <f aca="false">VLOOKUP(B197,'Super Peak Curve'!$C$23:$AN$275,38)</f>
        <v>34.9667184669329</v>
      </c>
      <c r="E197" s="150" t="n">
        <f aca="false">VLOOKUP(B197,PJM_01212000!$J$7:$AF$230,23)</f>
        <v>1.2</v>
      </c>
      <c r="G197" s="168" t="n">
        <f aca="false">E197/(256)^(1/2)</f>
        <v>0.075</v>
      </c>
      <c r="H197" s="169"/>
      <c r="I197" s="168" t="n">
        <f aca="false">(G197/(22)^(1/2))</f>
        <v>0.0159900537266708</v>
      </c>
      <c r="K197" s="167" t="n">
        <f aca="false">I197*C197</f>
        <v>0.559119706931629</v>
      </c>
      <c r="M197" s="170" t="n">
        <v>34.9667184669329</v>
      </c>
      <c r="N197" s="171" t="n">
        <f aca="false">M197</f>
        <v>34.9667184669329</v>
      </c>
    </row>
    <row r="198" customFormat="false" ht="12.75" hidden="false" customHeight="false" outlineLevel="0" collapsed="false">
      <c r="B198" s="149" t="n">
        <f aca="false">PJM_01212000!A232</f>
        <v>42491</v>
      </c>
      <c r="C198" s="167" t="n">
        <f aca="false">VLOOKUP(B198,'Super Peak Curve'!$C$23:$AN$275,38)</f>
        <v>42.6222475633329</v>
      </c>
      <c r="E198" s="150" t="n">
        <f aca="false">VLOOKUP(B198,PJM_01212000!$J$7:$AF$230,23)</f>
        <v>2</v>
      </c>
      <c r="G198" s="168" t="n">
        <f aca="false">E198/(256)^(1/2)</f>
        <v>0.125</v>
      </c>
      <c r="H198" s="169"/>
      <c r="I198" s="168" t="n">
        <f aca="false">(G198/(22)^(1/2))</f>
        <v>0.0266500895444513</v>
      </c>
      <c r="K198" s="167" t="n">
        <f aca="false">I198*C198</f>
        <v>1.13588671414859</v>
      </c>
      <c r="M198" s="170" t="n">
        <v>42.6222475633329</v>
      </c>
      <c r="N198" s="171" t="n">
        <f aca="false">M198</f>
        <v>42.6222475633329</v>
      </c>
    </row>
    <row r="199" customFormat="false" ht="12.75" hidden="false" customHeight="false" outlineLevel="0" collapsed="false">
      <c r="B199" s="149" t="n">
        <f aca="false">PJM_01212000!A233</f>
        <v>42522</v>
      </c>
      <c r="C199" s="167" t="n">
        <f aca="false">VLOOKUP(B199,'Super Peak Curve'!$C$23:$AN$275,38)</f>
        <v>82.4910420293672</v>
      </c>
      <c r="E199" s="150" t="n">
        <f aca="false">VLOOKUP(B199,PJM_01212000!$J$7:$AF$230,23)</f>
        <v>2.25</v>
      </c>
      <c r="G199" s="168" t="n">
        <f aca="false">E199/(256)^(1/2)</f>
        <v>0.140625</v>
      </c>
      <c r="H199" s="169"/>
      <c r="I199" s="168" t="n">
        <f aca="false">(G199/(22)^(1/2))</f>
        <v>0.0299813507375077</v>
      </c>
      <c r="K199" s="167" t="n">
        <f aca="false">I199*C199</f>
        <v>2.47319286378495</v>
      </c>
      <c r="M199" s="170" t="n">
        <v>82.4910420293672</v>
      </c>
      <c r="N199" s="171" t="n">
        <f aca="false">M199</f>
        <v>82.4910420293672</v>
      </c>
    </row>
    <row r="200" customFormat="false" ht="12.75" hidden="false" customHeight="false" outlineLevel="0" collapsed="false">
      <c r="B200" s="149" t="n">
        <f aca="false">PJM_01212000!A234</f>
        <v>42552</v>
      </c>
      <c r="C200" s="167" t="n">
        <f aca="false">VLOOKUP(B200,'Super Peak Curve'!$C$23:$AN$275,38)</f>
        <v>158.158767209861</v>
      </c>
      <c r="E200" s="150" t="n">
        <f aca="false">VLOOKUP(B200,PJM_01212000!$J$7:$AF$230,23)</f>
        <v>3</v>
      </c>
      <c r="G200" s="168" t="n">
        <f aca="false">E200/(256)^(1/2)</f>
        <v>0.1875</v>
      </c>
      <c r="H200" s="169"/>
      <c r="I200" s="168" t="n">
        <f aca="false">(G200/(22)^(1/2))</f>
        <v>0.039975134316677</v>
      </c>
      <c r="K200" s="167" t="n">
        <f aca="false">I200*C200</f>
        <v>6.32241796257425</v>
      </c>
      <c r="M200" s="170" t="n">
        <v>158.158767209861</v>
      </c>
      <c r="N200" s="171" t="n">
        <f aca="false">M200</f>
        <v>158.158767209861</v>
      </c>
    </row>
    <row r="201" customFormat="false" ht="12.75" hidden="false" customHeight="false" outlineLevel="0" collapsed="false">
      <c r="B201" s="149" t="n">
        <f aca="false">PJM_01212000!A235</f>
        <v>42583</v>
      </c>
      <c r="C201" s="167" t="n">
        <f aca="false">VLOOKUP(B201,'Super Peak Curve'!$C$23:$AN$275,38)</f>
        <v>131.877667550948</v>
      </c>
      <c r="E201" s="150" t="n">
        <f aca="false">VLOOKUP(B201,PJM_01212000!$J$7:$AF$230,23)</f>
        <v>3</v>
      </c>
      <c r="G201" s="168" t="n">
        <f aca="false">E201/(256)^(1/2)</f>
        <v>0.1875</v>
      </c>
      <c r="H201" s="169"/>
      <c r="I201" s="168" t="n">
        <f aca="false">(G201/(22)^(1/2))</f>
        <v>0.039975134316677</v>
      </c>
      <c r="K201" s="167" t="n">
        <f aca="false">I201*C201</f>
        <v>5.2718274737192</v>
      </c>
      <c r="M201" s="170" t="n">
        <v>131.877667550948</v>
      </c>
      <c r="N201" s="171" t="n">
        <f aca="false">M201</f>
        <v>131.877667550948</v>
      </c>
    </row>
    <row r="202" customFormat="false" ht="12.75" hidden="false" customHeight="false" outlineLevel="0" collapsed="false">
      <c r="B202" s="149" t="n">
        <f aca="false">PJM_01212000!A236</f>
        <v>42614</v>
      </c>
      <c r="C202" s="167" t="n">
        <f aca="false">VLOOKUP(B202,'Super Peak Curve'!$C$23:$AN$275,38)</f>
        <v>45.5387499998995</v>
      </c>
      <c r="E202" s="150" t="n">
        <f aca="false">VLOOKUP(B202,PJM_01212000!$J$7:$AF$230,23)</f>
        <v>1.75</v>
      </c>
      <c r="G202" s="168" t="n">
        <f aca="false">E202/(256)^(1/2)</f>
        <v>0.109375</v>
      </c>
      <c r="H202" s="169"/>
      <c r="I202" s="168" t="n">
        <f aca="false">(G202/(22)^(1/2))</f>
        <v>0.0233188283513949</v>
      </c>
      <c r="K202" s="167" t="n">
        <f aca="false">I202*C202</f>
        <v>1.06191029458474</v>
      </c>
      <c r="M202" s="170" t="n">
        <v>45.5387499998995</v>
      </c>
      <c r="N202" s="171" t="n">
        <f aca="false">M202</f>
        <v>45.5387499998995</v>
      </c>
    </row>
    <row r="203" customFormat="false" ht="12.75" hidden="false" customHeight="false" outlineLevel="0" collapsed="false">
      <c r="B203" s="149" t="n">
        <f aca="false">PJM_01212000!A237</f>
        <v>42644</v>
      </c>
      <c r="C203" s="167" t="n">
        <f aca="false">VLOOKUP(B203,'Super Peak Curve'!$C$23:$AN$275,38)</f>
        <v>37.091942323122</v>
      </c>
      <c r="E203" s="150" t="n">
        <f aca="false">VLOOKUP(B203,PJM_01212000!$J$7:$AF$230,23)</f>
        <v>1.5</v>
      </c>
      <c r="G203" s="168" t="n">
        <f aca="false">E203/(256)^(1/2)</f>
        <v>0.09375</v>
      </c>
      <c r="H203" s="169"/>
      <c r="I203" s="168" t="n">
        <f aca="false">(G203/(22)^(1/2))</f>
        <v>0.0199875671583385</v>
      </c>
      <c r="K203" s="167" t="n">
        <f aca="false">I203*C203</f>
        <v>0.741377688216619</v>
      </c>
      <c r="M203" s="170" t="n">
        <v>37.091942323122</v>
      </c>
      <c r="N203" s="171" t="n">
        <f aca="false">M203</f>
        <v>37.091942323122</v>
      </c>
    </row>
    <row r="204" customFormat="false" ht="12.75" hidden="false" customHeight="false" outlineLevel="0" collapsed="false">
      <c r="B204" s="149" t="n">
        <f aca="false">PJM_01212000!A238</f>
        <v>42675</v>
      </c>
      <c r="C204" s="167" t="n">
        <f aca="false">VLOOKUP(B204,'Super Peak Curve'!$C$23:$AN$275,38)</f>
        <v>37.2103030972672</v>
      </c>
      <c r="E204" s="150" t="n">
        <f aca="false">VLOOKUP(B204,PJM_01212000!$J$7:$AF$230,23)</f>
        <v>1.5</v>
      </c>
      <c r="G204" s="168" t="n">
        <f aca="false">E204/(256)^(1/2)</f>
        <v>0.09375</v>
      </c>
      <c r="H204" s="169"/>
      <c r="I204" s="168" t="n">
        <f aca="false">(G204/(22)^(1/2))</f>
        <v>0.0199875671583385</v>
      </c>
      <c r="K204" s="167" t="n">
        <f aca="false">I204*C204</f>
        <v>0.743743432138758</v>
      </c>
      <c r="M204" s="170" t="n">
        <v>37.2103030972672</v>
      </c>
      <c r="N204" s="171" t="n">
        <f aca="false">M204</f>
        <v>37.2103030972672</v>
      </c>
    </row>
    <row r="205" customFormat="false" ht="12.75" hidden="false" customHeight="false" outlineLevel="0" collapsed="false">
      <c r="B205" s="149" t="n">
        <f aca="false">PJM_01212000!A239</f>
        <v>42705</v>
      </c>
      <c r="C205" s="167" t="n">
        <f aca="false">VLOOKUP(B205,'Super Peak Curve'!$C$23:$AN$275,38)</f>
        <v>39.7968079196775</v>
      </c>
      <c r="E205" s="150" t="n">
        <f aca="false">VLOOKUP(B205,PJM_01212000!$J$7:$AF$230,23)</f>
        <v>1.5</v>
      </c>
      <c r="G205" s="168" t="n">
        <f aca="false">E205/(256)^(1/2)</f>
        <v>0.09375</v>
      </c>
      <c r="H205" s="169"/>
      <c r="I205" s="168" t="n">
        <f aca="false">(G205/(22)^(1/2))</f>
        <v>0.0199875671583385</v>
      </c>
      <c r="K205" s="167" t="n">
        <f aca="false">I205*C205</f>
        <v>0.79544137098205</v>
      </c>
      <c r="M205" s="170" t="n">
        <v>39.7968079196775</v>
      </c>
      <c r="N205" s="171" t="n">
        <f aca="false">M205</f>
        <v>39.7968079196775</v>
      </c>
    </row>
    <row r="206" customFormat="false" ht="12.75" hidden="false" customHeight="false" outlineLevel="0" collapsed="false">
      <c r="B206" s="149" t="n">
        <f aca="false">PJM_01212000!A240</f>
        <v>42736</v>
      </c>
      <c r="C206" s="167" t="n">
        <f aca="false">VLOOKUP(B206,'Super Peak Curve'!$C$23:$AN$275,38)</f>
        <v>50.9800010553068</v>
      </c>
      <c r="E206" s="150" t="n">
        <f aca="false">VLOOKUP(B206,PJM_01212000!$J$7:$AF$230,23)</f>
        <v>1.75</v>
      </c>
      <c r="G206" s="168" t="n">
        <f aca="false">E206/(256)^(1/2)</f>
        <v>0.109375</v>
      </c>
      <c r="H206" s="169"/>
      <c r="I206" s="168" t="n">
        <f aca="false">(G206/(22)^(1/2))</f>
        <v>0.0233188283513949</v>
      </c>
      <c r="K206" s="167" t="n">
        <f aca="false">I206*C206</f>
        <v>1.18879389396263</v>
      </c>
      <c r="M206" s="170" t="n">
        <v>50.9800010553068</v>
      </c>
      <c r="N206" s="171" t="n">
        <f aca="false">M206</f>
        <v>50.9800010553068</v>
      </c>
    </row>
    <row r="207" customFormat="false" ht="12.75" hidden="false" customHeight="false" outlineLevel="0" collapsed="false">
      <c r="B207" s="149" t="n">
        <f aca="false">PJM_01212000!A241</f>
        <v>42767</v>
      </c>
      <c r="C207" s="167" t="n">
        <f aca="false">VLOOKUP(B207,'Super Peak Curve'!$C$23:$AN$275,38)</f>
        <v>50.9800010553068</v>
      </c>
      <c r="E207" s="150" t="n">
        <f aca="false">VLOOKUP(B207,PJM_01212000!$J$7:$AF$230,23)</f>
        <v>1.75</v>
      </c>
      <c r="G207" s="168" t="n">
        <f aca="false">E207/(256)^(1/2)</f>
        <v>0.109375</v>
      </c>
      <c r="H207" s="169"/>
      <c r="I207" s="168" t="n">
        <f aca="false">(G207/(22)^(1/2))</f>
        <v>0.0233188283513949</v>
      </c>
      <c r="K207" s="167" t="n">
        <f aca="false">I207*C207</f>
        <v>1.18879389396263</v>
      </c>
      <c r="M207" s="170" t="n">
        <v>50.9800010553068</v>
      </c>
      <c r="N207" s="171" t="n">
        <f aca="false">M207</f>
        <v>50.9800010553068</v>
      </c>
    </row>
    <row r="208" customFormat="false" ht="12.75" hidden="false" customHeight="false" outlineLevel="0" collapsed="false">
      <c r="B208" s="149" t="n">
        <f aca="false">PJM_01212000!A242</f>
        <v>42795</v>
      </c>
      <c r="C208" s="167" t="n">
        <f aca="false">VLOOKUP(B208,'Super Peak Curve'!$C$23:$AN$275,38)</f>
        <v>38.067843427906</v>
      </c>
      <c r="E208" s="150" t="n">
        <f aca="false">VLOOKUP(B208,PJM_01212000!$J$7:$AF$230,23)</f>
        <v>1.1</v>
      </c>
      <c r="G208" s="168" t="n">
        <f aca="false">E208/(256)^(1/2)</f>
        <v>0.06875</v>
      </c>
      <c r="H208" s="169"/>
      <c r="I208" s="168" t="n">
        <f aca="false">(G208/(22)^(1/2))</f>
        <v>0.0146575492494482</v>
      </c>
      <c r="K208" s="167" t="n">
        <f aca="false">I208*C208</f>
        <v>0.557981289864816</v>
      </c>
      <c r="M208" s="170" t="n">
        <v>38.067843427906</v>
      </c>
      <c r="N208" s="171" t="n">
        <f aca="false">M208</f>
        <v>38.067843427906</v>
      </c>
    </row>
    <row r="209" customFormat="false" ht="12.75" hidden="false" customHeight="false" outlineLevel="0" collapsed="false">
      <c r="B209" s="149" t="n">
        <f aca="false">PJM_01212000!A243</f>
        <v>42826</v>
      </c>
      <c r="C209" s="167" t="n">
        <f aca="false">VLOOKUP(B209,'Super Peak Curve'!$C$23:$AN$275,38)</f>
        <v>35.2503090395321</v>
      </c>
      <c r="E209" s="150" t="n">
        <f aca="false">VLOOKUP(B209,PJM_01212000!$J$7:$AF$230,23)</f>
        <v>1.2</v>
      </c>
      <c r="G209" s="168" t="n">
        <f aca="false">E209/(256)^(1/2)</f>
        <v>0.075</v>
      </c>
      <c r="H209" s="169"/>
      <c r="I209" s="168" t="n">
        <f aca="false">(G209/(22)^(1/2))</f>
        <v>0.0159900537266708</v>
      </c>
      <c r="K209" s="167" t="n">
        <f aca="false">I209*C209</f>
        <v>0.563654335423868</v>
      </c>
      <c r="M209" s="170" t="n">
        <v>35.2503090395321</v>
      </c>
      <c r="N209" s="171" t="n">
        <f aca="false">M209</f>
        <v>35.2503090395321</v>
      </c>
    </row>
    <row r="210" customFormat="false" ht="12.75" hidden="false" customHeight="false" outlineLevel="0" collapsed="false">
      <c r="B210" s="149" t="n">
        <f aca="false">PJM_01212000!A244</f>
        <v>42856</v>
      </c>
      <c r="C210" s="167" t="n">
        <f aca="false">VLOOKUP(B210,'Super Peak Curve'!$C$23:$AN$275,38)</f>
        <v>42.8966986101026</v>
      </c>
      <c r="E210" s="150" t="n">
        <f aca="false">VLOOKUP(B210,PJM_01212000!$J$7:$AF$230,23)</f>
        <v>2</v>
      </c>
      <c r="G210" s="168" t="n">
        <f aca="false">E210/(256)^(1/2)</f>
        <v>0.125</v>
      </c>
      <c r="H210" s="169"/>
      <c r="I210" s="168" t="n">
        <f aca="false">(G210/(22)^(1/2))</f>
        <v>0.0266500895444513</v>
      </c>
      <c r="K210" s="167" t="n">
        <f aca="false">I210*C210</f>
        <v>1.14320085912057</v>
      </c>
      <c r="M210" s="170" t="n">
        <v>42.8966986101026</v>
      </c>
      <c r="N210" s="171" t="n">
        <f aca="false">M210</f>
        <v>42.8966986101026</v>
      </c>
    </row>
    <row r="211" customFormat="false" ht="12.75" hidden="false" customHeight="false" outlineLevel="0" collapsed="false">
      <c r="B211" s="149" t="n">
        <f aca="false">PJM_01212000!A245</f>
        <v>42887</v>
      </c>
      <c r="C211" s="167" t="n">
        <f aca="false">VLOOKUP(B211,'Super Peak Curve'!$C$23:$AN$275,38)</f>
        <v>83.4165212056453</v>
      </c>
      <c r="E211" s="150" t="n">
        <f aca="false">VLOOKUP(B211,PJM_01212000!$J$7:$AF$230,23)</f>
        <v>2.25</v>
      </c>
      <c r="G211" s="168" t="n">
        <f aca="false">E211/(256)^(1/2)</f>
        <v>0.140625</v>
      </c>
      <c r="H211" s="169"/>
      <c r="I211" s="168" t="n">
        <f aca="false">(G211/(22)^(1/2))</f>
        <v>0.0299813507375077</v>
      </c>
      <c r="K211" s="167" t="n">
        <f aca="false">I211*C211</f>
        <v>2.5009399795692</v>
      </c>
      <c r="M211" s="170" t="n">
        <v>83.4165212056453</v>
      </c>
      <c r="N211" s="171" t="n">
        <f aca="false">M211</f>
        <v>83.4165212056453</v>
      </c>
    </row>
    <row r="212" customFormat="false" ht="12.75" hidden="false" customHeight="false" outlineLevel="0" collapsed="false">
      <c r="B212" s="149" t="n">
        <f aca="false">PJM_01212000!A246</f>
        <v>42917</v>
      </c>
      <c r="C212" s="167" t="n">
        <f aca="false">VLOOKUP(B212,'Super Peak Curve'!$C$23:$AN$275,38)</f>
        <v>161.113165177801</v>
      </c>
      <c r="E212" s="150" t="n">
        <f aca="false">VLOOKUP(B212,PJM_01212000!$J$7:$AF$230,23)</f>
        <v>3</v>
      </c>
      <c r="G212" s="168" t="n">
        <f aca="false">E212/(256)^(1/2)</f>
        <v>0.1875</v>
      </c>
      <c r="H212" s="169"/>
      <c r="I212" s="168" t="n">
        <f aca="false">(G212/(22)^(1/2))</f>
        <v>0.039975134316677</v>
      </c>
      <c r="K212" s="167" t="n">
        <f aca="false">I212*C212</f>
        <v>6.44052041816755</v>
      </c>
      <c r="M212" s="170" t="n">
        <v>161.113165177801</v>
      </c>
      <c r="N212" s="171" t="n">
        <f aca="false">M212</f>
        <v>161.113165177801</v>
      </c>
    </row>
    <row r="213" customFormat="false" ht="12.75" hidden="false" customHeight="false" outlineLevel="0" collapsed="false">
      <c r="B213" s="149" t="n">
        <f aca="false">PJM_01212000!A247</f>
        <v>42948</v>
      </c>
      <c r="C213" s="167" t="n">
        <f aca="false">VLOOKUP(B213,'Super Peak Curve'!$C$23:$AN$275,38)</f>
        <v>134.639182305877</v>
      </c>
      <c r="E213" s="150" t="n">
        <f aca="false">VLOOKUP(B213,PJM_01212000!$J$7:$AF$230,23)</f>
        <v>3</v>
      </c>
      <c r="G213" s="168" t="n">
        <f aca="false">E213/(256)^(1/2)</f>
        <v>0.1875</v>
      </c>
      <c r="H213" s="169"/>
      <c r="I213" s="168" t="n">
        <f aca="false">(G213/(22)^(1/2))</f>
        <v>0.039975134316677</v>
      </c>
      <c r="K213" s="167" t="n">
        <f aca="false">I213*C213</f>
        <v>5.38221939696497</v>
      </c>
      <c r="M213" s="170" t="n">
        <v>134.639182305877</v>
      </c>
      <c r="N213" s="171" t="n">
        <f aca="false">M213</f>
        <v>134.639182305877</v>
      </c>
    </row>
    <row r="214" customFormat="false" ht="12.75" hidden="false" customHeight="false" outlineLevel="0" collapsed="false">
      <c r="B214" s="149" t="n">
        <f aca="false">PJM_01212000!A248</f>
        <v>42979</v>
      </c>
      <c r="C214" s="167" t="n">
        <f aca="false">VLOOKUP(B214,'Super Peak Curve'!$C$23:$AN$275,38)</f>
        <v>46.1162864838868</v>
      </c>
      <c r="E214" s="150" t="n">
        <f aca="false">VLOOKUP(B214,PJM_01212000!$J$7:$AF$230,23)</f>
        <v>1.75</v>
      </c>
      <c r="G214" s="168" t="n">
        <f aca="false">E214/(256)^(1/2)</f>
        <v>0.109375</v>
      </c>
      <c r="H214" s="169"/>
      <c r="I214" s="168" t="n">
        <f aca="false">(G214/(22)^(1/2))</f>
        <v>0.0233188283513949</v>
      </c>
      <c r="K214" s="167" t="n">
        <f aca="false">I214*C214</f>
        <v>1.07537776872151</v>
      </c>
      <c r="M214" s="170" t="n">
        <v>46.1162864838868</v>
      </c>
      <c r="N214" s="171" t="n">
        <f aca="false">M214</f>
        <v>46.1162864838868</v>
      </c>
    </row>
    <row r="215" customFormat="false" ht="12.75" hidden="false" customHeight="false" outlineLevel="0" collapsed="false">
      <c r="B215" s="149" t="n">
        <f aca="false">PJM_01212000!A249</f>
        <v>43009</v>
      </c>
      <c r="C215" s="167" t="n">
        <f aca="false">VLOOKUP(B215,'Super Peak Curve'!$C$23:$AN$275,38)</f>
        <v>37.385623573122</v>
      </c>
      <c r="E215" s="150" t="n">
        <f aca="false">VLOOKUP(B215,PJM_01212000!$J$7:$AF$230,23)</f>
        <v>1.5</v>
      </c>
      <c r="G215" s="168" t="n">
        <f aca="false">E215/(256)^(1/2)</f>
        <v>0.09375</v>
      </c>
      <c r="H215" s="169"/>
      <c r="I215" s="168" t="n">
        <f aca="false">(G215/(22)^(1/2))</f>
        <v>0.0199875671583385</v>
      </c>
      <c r="K215" s="167" t="n">
        <f aca="false">I215*C215</f>
        <v>0.747247661924139</v>
      </c>
      <c r="M215" s="170" t="n">
        <v>37.385623573122</v>
      </c>
      <c r="N215" s="171" t="n">
        <f aca="false">M215</f>
        <v>37.385623573122</v>
      </c>
    </row>
    <row r="216" customFormat="false" ht="12.75" hidden="false" customHeight="false" outlineLevel="0" collapsed="false">
      <c r="B216" s="149" t="n">
        <f aca="false">PJM_01212000!A250</f>
        <v>43040</v>
      </c>
      <c r="C216" s="167" t="n">
        <f aca="false">VLOOKUP(B216,'Super Peak Curve'!$C$23:$AN$275,38)</f>
        <v>37.5080093472672</v>
      </c>
      <c r="E216" s="150" t="n">
        <f aca="false">VLOOKUP(B216,PJM_01212000!$J$7:$AF$230,23)</f>
        <v>1.5</v>
      </c>
      <c r="G216" s="168" t="n">
        <f aca="false">E216/(256)^(1/2)</f>
        <v>0.09375</v>
      </c>
      <c r="H216" s="169"/>
      <c r="I216" s="168" t="n">
        <f aca="false">(G216/(22)^(1/2))</f>
        <v>0.0199875671583385</v>
      </c>
      <c r="K216" s="167" t="n">
        <f aca="false">I216*C216</f>
        <v>0.74969385580409</v>
      </c>
      <c r="M216" s="170" t="n">
        <v>37.5080093472672</v>
      </c>
      <c r="N216" s="171" t="n">
        <f aca="false">M216</f>
        <v>37.5080093472672</v>
      </c>
    </row>
    <row r="217" customFormat="false" ht="12.75" hidden="false" customHeight="false" outlineLevel="0" collapsed="false">
      <c r="B217" s="149" t="n">
        <f aca="false">PJM_01212000!A251</f>
        <v>43070</v>
      </c>
      <c r="C217" s="167" t="n">
        <f aca="false">VLOOKUP(B217,'Super Peak Curve'!$C$23:$AN$275,38)</f>
        <v>40.0982988922511</v>
      </c>
      <c r="E217" s="150" t="n">
        <f aca="false">VLOOKUP(B217,PJM_01212000!$J$7:$AF$230,23)</f>
        <v>1.5</v>
      </c>
      <c r="G217" s="168" t="n">
        <f aca="false">E217/(256)^(1/2)</f>
        <v>0.09375</v>
      </c>
      <c r="H217" s="169"/>
      <c r="I217" s="168" t="n">
        <f aca="false">(G217/(22)^(1/2))</f>
        <v>0.0199875671583385</v>
      </c>
      <c r="K217" s="167" t="n">
        <f aca="false">I217*C217</f>
        <v>0.801467442043998</v>
      </c>
      <c r="M217" s="170" t="n">
        <v>40.0982988922511</v>
      </c>
      <c r="N217" s="171" t="n">
        <f aca="false">M217</f>
        <v>40.0982988922511</v>
      </c>
    </row>
    <row r="218" customFormat="false" ht="12.75" hidden="false" customHeight="false" outlineLevel="0" collapsed="false">
      <c r="B218" s="149" t="n">
        <f aca="false">PJM_01212000!A252</f>
        <v>43101</v>
      </c>
      <c r="C218" s="167" t="n">
        <f aca="false">VLOOKUP(B218,'Super Peak Curve'!$C$23:$AN$275,38)</f>
        <v>51.2865554926271</v>
      </c>
      <c r="E218" s="150" t="n">
        <f aca="false">VLOOKUP(B218,PJM_01212000!$J$7:$AF$230,23)</f>
        <v>1.75</v>
      </c>
      <c r="G218" s="168" t="n">
        <f aca="false">E218/(256)^(1/2)</f>
        <v>0.109375</v>
      </c>
      <c r="H218" s="169"/>
      <c r="I218" s="168" t="n">
        <f aca="false">(G218/(22)^(1/2))</f>
        <v>0.0233188283513949</v>
      </c>
      <c r="K218" s="167" t="n">
        <f aca="false">I218*C218</f>
        <v>1.19594238426686</v>
      </c>
      <c r="M218" s="170" t="n">
        <v>51.2865554926271</v>
      </c>
      <c r="N218" s="171" t="n">
        <f aca="false">M218</f>
        <v>51.2865554926271</v>
      </c>
    </row>
    <row r="219" customFormat="false" ht="12.75" hidden="false" customHeight="false" outlineLevel="0" collapsed="false">
      <c r="B219" s="149" t="n">
        <f aca="false">PJM_01212000!A253</f>
        <v>43132</v>
      </c>
      <c r="C219" s="167" t="n">
        <f aca="false">VLOOKUP(B219,'Super Peak Curve'!$C$23:$AN$275,38)</f>
        <v>51.2865554926271</v>
      </c>
      <c r="E219" s="150" t="n">
        <f aca="false">VLOOKUP(B219,PJM_01212000!$J$7:$AF$230,23)</f>
        <v>1.75</v>
      </c>
      <c r="G219" s="168" t="n">
        <f aca="false">E219/(256)^(1/2)</f>
        <v>0.109375</v>
      </c>
      <c r="H219" s="169"/>
      <c r="I219" s="168" t="n">
        <f aca="false">(G219/(22)^(1/2))</f>
        <v>0.0233188283513949</v>
      </c>
      <c r="K219" s="167" t="n">
        <f aca="false">I219*C219</f>
        <v>1.19594238426686</v>
      </c>
      <c r="M219" s="170" t="n">
        <v>51.2865554926271</v>
      </c>
      <c r="N219" s="171" t="n">
        <f aca="false">M219</f>
        <v>51.2865554926271</v>
      </c>
    </row>
    <row r="220" customFormat="false" ht="12.75" hidden="false" customHeight="false" outlineLevel="0" collapsed="false">
      <c r="B220" s="149" t="n">
        <f aca="false">PJM_01212000!A254</f>
        <v>43160</v>
      </c>
      <c r="C220" s="167" t="n">
        <f aca="false">VLOOKUP(B220,'Super Peak Curve'!$C$23:$AN$275,38)</f>
        <v>38.371899677906</v>
      </c>
      <c r="E220" s="150" t="n">
        <f aca="false">VLOOKUP(B220,PJM_01212000!$J$7:$AF$230,23)</f>
        <v>1.1</v>
      </c>
      <c r="G220" s="168" t="n">
        <f aca="false">E220/(256)^(1/2)</f>
        <v>0.06875</v>
      </c>
      <c r="H220" s="169"/>
      <c r="I220" s="168" t="n">
        <f aca="false">(G220/(22)^(1/2))</f>
        <v>0.0146575492494482</v>
      </c>
      <c r="K220" s="167" t="n">
        <f aca="false">I220*C220</f>
        <v>0.562438009323794</v>
      </c>
      <c r="M220" s="170" t="n">
        <v>38.371899677906</v>
      </c>
      <c r="N220" s="171" t="n">
        <f aca="false">M220</f>
        <v>38.371899677906</v>
      </c>
    </row>
    <row r="221" customFormat="false" ht="12.75" hidden="false" customHeight="false" outlineLevel="0" collapsed="false">
      <c r="B221" s="149" t="n">
        <f aca="false">PJM_01212000!A255</f>
        <v>43191</v>
      </c>
      <c r="C221" s="167" t="n">
        <f aca="false">VLOOKUP(B221,'Super Peak Curve'!$C$23:$AN$275,38)</f>
        <v>35.5338996121314</v>
      </c>
      <c r="E221" s="150" t="n">
        <f aca="false">VLOOKUP(B221,PJM_01212000!$J$7:$AF$230,23)</f>
        <v>1.2</v>
      </c>
      <c r="G221" s="168" t="n">
        <f aca="false">E221/(256)^(1/2)</f>
        <v>0.075</v>
      </c>
      <c r="H221" s="169"/>
      <c r="I221" s="168" t="n">
        <f aca="false">(G221/(22)^(1/2))</f>
        <v>0.0159900537266708</v>
      </c>
      <c r="K221" s="167" t="n">
        <f aca="false">I221*C221</f>
        <v>0.568188963916106</v>
      </c>
      <c r="M221" s="170" t="n">
        <v>35.5338996121314</v>
      </c>
      <c r="N221" s="171" t="n">
        <f aca="false">M221</f>
        <v>35.5338996121314</v>
      </c>
    </row>
    <row r="222" customFormat="false" ht="12.75" hidden="false" customHeight="false" outlineLevel="0" collapsed="false">
      <c r="B222" s="149" t="n">
        <f aca="false">PJM_01212000!A256</f>
        <v>43221</v>
      </c>
      <c r="C222" s="167" t="n">
        <f aca="false">VLOOKUP(B222,'Super Peak Curve'!$C$23:$AN$275,38)</f>
        <v>43.1711496568723</v>
      </c>
      <c r="E222" s="150" t="n">
        <f aca="false">VLOOKUP(B222,PJM_01212000!$J$7:$AF$230,23)</f>
        <v>2</v>
      </c>
      <c r="G222" s="168" t="n">
        <f aca="false">E222/(256)^(1/2)</f>
        <v>0.125</v>
      </c>
      <c r="H222" s="169"/>
      <c r="I222" s="168" t="n">
        <f aca="false">(G222/(22)^(1/2))</f>
        <v>0.0266500895444513</v>
      </c>
      <c r="K222" s="167" t="n">
        <f aca="false">I222*C222</f>
        <v>1.15051500409255</v>
      </c>
      <c r="M222" s="170" t="n">
        <v>43.1711496568723</v>
      </c>
      <c r="N222" s="171" t="n">
        <f aca="false">M222</f>
        <v>43.1711496568723</v>
      </c>
    </row>
    <row r="223" customFormat="false" ht="12.75" hidden="false" customHeight="false" outlineLevel="0" collapsed="false">
      <c r="B223" s="149" t="n">
        <f aca="false">PJM_01212000!A257</f>
        <v>43252</v>
      </c>
      <c r="C223" s="167" t="n">
        <f aca="false">VLOOKUP(B223,'Super Peak Curve'!$C$23:$AN$275,38)</f>
        <v>84.3420003819235</v>
      </c>
      <c r="E223" s="150" t="n">
        <f aca="false">VLOOKUP(B223,PJM_01212000!$J$7:$AF$230,23)</f>
        <v>2.25</v>
      </c>
      <c r="G223" s="168" t="n">
        <f aca="false">E223/(256)^(1/2)</f>
        <v>0.140625</v>
      </c>
      <c r="H223" s="169"/>
      <c r="I223" s="168" t="n">
        <f aca="false">(G223/(22)^(1/2))</f>
        <v>0.0299813507375077</v>
      </c>
      <c r="K223" s="167" t="n">
        <f aca="false">I223*C223</f>
        <v>2.52868709535346</v>
      </c>
      <c r="M223" s="170" t="n">
        <v>84.3420003819235</v>
      </c>
      <c r="N223" s="171" t="n">
        <f aca="false">M223</f>
        <v>84.3420003819235</v>
      </c>
    </row>
    <row r="224" customFormat="false" ht="12.75" hidden="false" customHeight="false" outlineLevel="0" collapsed="false">
      <c r="B224" s="149" t="n">
        <f aca="false">PJM_01212000!A258</f>
        <v>43282</v>
      </c>
      <c r="C224" s="167" t="n">
        <f aca="false">VLOOKUP(B224,'Super Peak Curve'!$C$23:$AN$275,38)</f>
        <v>164.06756314574</v>
      </c>
      <c r="E224" s="150" t="n">
        <f aca="false">VLOOKUP(B224,PJM_01212000!$J$7:$AF$230,23)</f>
        <v>3</v>
      </c>
      <c r="G224" s="168" t="n">
        <f aca="false">E224/(256)^(1/2)</f>
        <v>0.1875</v>
      </c>
      <c r="H224" s="169"/>
      <c r="I224" s="168" t="n">
        <f aca="false">(G224/(22)^(1/2))</f>
        <v>0.039975134316677</v>
      </c>
      <c r="K224" s="167" t="n">
        <f aca="false">I224*C224</f>
        <v>6.55862287376084</v>
      </c>
      <c r="M224" s="170" t="n">
        <v>164.06756314574</v>
      </c>
      <c r="N224" s="171" t="n">
        <f aca="false">M224</f>
        <v>164.06756314574</v>
      </c>
    </row>
    <row r="225" customFormat="false" ht="12.75" hidden="false" customHeight="false" outlineLevel="0" collapsed="false">
      <c r="B225" s="149" t="n">
        <f aca="false">PJM_01212000!A259</f>
        <v>43313</v>
      </c>
      <c r="C225" s="167" t="n">
        <f aca="false">VLOOKUP(B225,'Super Peak Curve'!$C$23:$AN$275,38)</f>
        <v>137.400697060805</v>
      </c>
      <c r="E225" s="150" t="n">
        <f aca="false">VLOOKUP(B225,PJM_01212000!$J$7:$AF$230,23)</f>
        <v>3</v>
      </c>
      <c r="G225" s="168" t="n">
        <f aca="false">E225/(256)^(1/2)</f>
        <v>0.1875</v>
      </c>
      <c r="H225" s="169"/>
      <c r="I225" s="168" t="n">
        <f aca="false">(G225/(22)^(1/2))</f>
        <v>0.039975134316677</v>
      </c>
      <c r="K225" s="167" t="n">
        <f aca="false">I225*C225</f>
        <v>5.49261132021074</v>
      </c>
      <c r="M225" s="174" t="n">
        <v>137.400697060805</v>
      </c>
      <c r="N225" s="175" t="n">
        <f aca="false">M225</f>
        <v>137.400697060805</v>
      </c>
    </row>
    <row r="228" customFormat="false" ht="12.75" hidden="false" customHeight="false" outlineLevel="0" collapsed="false">
      <c r="C228" s="176" t="n">
        <f aca="false">SUM(C4:C225)</f>
        <v>12655.1966999619</v>
      </c>
    </row>
    <row r="229" customFormat="false" ht="12.75" hidden="false" customHeight="false" outlineLevel="0" collapsed="false">
      <c r="C229" s="177" t="n">
        <f aca="false">SUM('Super Peak Curve'!AN55:AN275)+'Super Peak Curve'!AN41</f>
        <v>12655.1966999619</v>
      </c>
    </row>
    <row r="230" customFormat="false" ht="12.75" hidden="false" customHeight="false" outlineLevel="0" collapsed="false">
      <c r="C230" s="178" t="str">
        <f aca="false">IF(C228=C229,"OK","Error")</f>
        <v>OK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H26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8" activeCellId="0" sqref="K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79" width="9.14"/>
    <col collapsed="false" customWidth="true" hidden="false" outlineLevel="0" max="2" min="2" style="179" width="11.56"/>
    <col collapsed="false" customWidth="true" hidden="false" outlineLevel="0" max="4" min="3" style="179" width="14.14"/>
    <col collapsed="false" customWidth="true" hidden="false" outlineLevel="0" max="5" min="5" style="179" width="18.7"/>
    <col collapsed="false" customWidth="true" hidden="false" outlineLevel="0" max="6" min="6" style="180" width="16.99"/>
    <col collapsed="false" customWidth="false" hidden="false" outlineLevel="0" max="7" min="7" style="179" width="9.14"/>
    <col collapsed="false" customWidth="true" hidden="false" outlineLevel="0" max="8" min="8" style="179" width="9.85"/>
    <col collapsed="false" customWidth="false" hidden="false" outlineLevel="0" max="257" min="9" style="179" width="9.14"/>
  </cols>
  <sheetData>
    <row r="2" customFormat="false" ht="12.75" hidden="false" customHeight="false" outlineLevel="0" collapsed="false">
      <c r="H2" s="181" t="s">
        <v>73</v>
      </c>
    </row>
    <row r="3" customFormat="false" ht="12.75" hidden="false" customHeight="false" outlineLevel="0" collapsed="false">
      <c r="B3" s="14" t="s">
        <v>74</v>
      </c>
      <c r="C3" s="182" t="s">
        <v>75</v>
      </c>
      <c r="D3" s="182" t="s">
        <v>75</v>
      </c>
      <c r="E3" s="183" t="s">
        <v>76</v>
      </c>
      <c r="F3" s="184" t="s">
        <v>77</v>
      </c>
      <c r="H3" s="185" t="n">
        <f aca="false">'Revenues &amp; Expenses'!S2</f>
        <v>9579</v>
      </c>
    </row>
    <row r="4" customFormat="false" ht="12.75" hidden="false" customHeight="false" outlineLevel="0" collapsed="false">
      <c r="B4" s="22" t="s">
        <v>78</v>
      </c>
      <c r="C4" s="20" t="s">
        <v>79</v>
      </c>
      <c r="D4" s="20" t="s">
        <v>80</v>
      </c>
      <c r="E4" s="186" t="s">
        <v>81</v>
      </c>
      <c r="F4" s="187" t="n">
        <v>5.8</v>
      </c>
      <c r="H4" s="188"/>
    </row>
    <row r="5" customFormat="false" ht="12.75" hidden="false" customHeight="false" outlineLevel="0" collapsed="false">
      <c r="B5" s="189" t="s">
        <v>82</v>
      </c>
      <c r="C5" s="39" t="s">
        <v>83</v>
      </c>
      <c r="D5" s="39"/>
      <c r="E5" s="190" t="s">
        <v>84</v>
      </c>
      <c r="F5" s="191" t="s">
        <v>85</v>
      </c>
      <c r="H5" s="188"/>
    </row>
    <row r="6" customFormat="false" ht="12.75" hidden="false" customHeight="false" outlineLevel="0" collapsed="false">
      <c r="B6" s="192" t="n">
        <v>36525</v>
      </c>
      <c r="E6" s="193"/>
      <c r="F6" s="194"/>
      <c r="H6" s="188"/>
    </row>
    <row r="7" customFormat="false" ht="12.75" hidden="false" customHeight="false" outlineLevel="0" collapsed="false">
      <c r="B7" s="195" t="n">
        <v>36526</v>
      </c>
      <c r="C7" s="196" t="n">
        <v>43.995</v>
      </c>
      <c r="D7" s="197" t="n">
        <v>0.361</v>
      </c>
      <c r="E7" s="198" t="n">
        <f aca="false">C7+(0.03*42)</f>
        <v>45.255</v>
      </c>
      <c r="F7" s="187" t="n">
        <f aca="false">E7/$F$4</f>
        <v>7.80258620689655</v>
      </c>
      <c r="H7" s="199" t="n">
        <f aca="false">(F7*$H$3)/1000</f>
        <v>74.7409732758621</v>
      </c>
    </row>
    <row r="8" customFormat="false" ht="12.75" hidden="false" customHeight="false" outlineLevel="0" collapsed="false">
      <c r="B8" s="195" t="n">
        <v>36557</v>
      </c>
      <c r="C8" s="196" t="n">
        <v>36.901</v>
      </c>
      <c r="D8" s="197" t="n">
        <v>0.361</v>
      </c>
      <c r="E8" s="198" t="n">
        <f aca="false">C8+(0.03*42)</f>
        <v>38.161</v>
      </c>
      <c r="F8" s="187" t="n">
        <f aca="false">E8/$F$4</f>
        <v>6.57948275862069</v>
      </c>
      <c r="H8" s="199" t="n">
        <f aca="false">(F8*$H$3)/1000</f>
        <v>63.0248653448276</v>
      </c>
    </row>
    <row r="9" customFormat="false" ht="12.75" hidden="false" customHeight="false" outlineLevel="0" collapsed="false">
      <c r="B9" s="195" t="n">
        <v>36586</v>
      </c>
      <c r="C9" s="196" t="n">
        <v>34.171</v>
      </c>
      <c r="D9" s="197" t="n">
        <v>0.326</v>
      </c>
      <c r="E9" s="198" t="n">
        <f aca="false">C9+(0.03*42)</f>
        <v>35.431</v>
      </c>
      <c r="F9" s="187" t="n">
        <f aca="false">E9/$F$4</f>
        <v>6.10879310344828</v>
      </c>
      <c r="H9" s="199" t="n">
        <f aca="false">(F9*$H$3)/1000</f>
        <v>58.516129137931</v>
      </c>
    </row>
    <row r="10" customFormat="false" ht="12.75" hidden="false" customHeight="false" outlineLevel="0" collapsed="false">
      <c r="B10" s="195" t="n">
        <v>36617</v>
      </c>
      <c r="C10" s="196" t="n">
        <v>32.365</v>
      </c>
      <c r="D10" s="197" t="n">
        <v>0.321</v>
      </c>
      <c r="E10" s="198" t="n">
        <f aca="false">C10+(0.03*42)</f>
        <v>33.625</v>
      </c>
      <c r="F10" s="187" t="n">
        <f aca="false">E10/$F$4</f>
        <v>5.79741379310345</v>
      </c>
      <c r="H10" s="199" t="n">
        <f aca="false">(F10*$H$3)/1000</f>
        <v>55.5334267241379</v>
      </c>
    </row>
    <row r="11" customFormat="false" ht="12.75" hidden="false" customHeight="false" outlineLevel="0" collapsed="false">
      <c r="B11" s="195" t="n">
        <v>36647</v>
      </c>
      <c r="C11" s="196" t="n">
        <v>31.105</v>
      </c>
      <c r="D11" s="197" t="n">
        <v>0.297</v>
      </c>
      <c r="E11" s="198" t="n">
        <f aca="false">C11+(0.03*42)</f>
        <v>32.365</v>
      </c>
      <c r="F11" s="187" t="n">
        <f aca="false">E11/$F$4</f>
        <v>5.5801724137931</v>
      </c>
      <c r="H11" s="199" t="n">
        <f aca="false">(F11*$H$3)/1000</f>
        <v>53.4524715517241</v>
      </c>
    </row>
    <row r="12" customFormat="false" ht="12.75" hidden="false" customHeight="false" outlineLevel="0" collapsed="false">
      <c r="B12" s="195" t="n">
        <v>36678</v>
      </c>
      <c r="C12" s="196" t="n">
        <v>30.391</v>
      </c>
      <c r="D12" s="197" t="n">
        <v>0.287</v>
      </c>
      <c r="E12" s="198" t="n">
        <f aca="false">C12+(0.03*42)</f>
        <v>31.651</v>
      </c>
      <c r="F12" s="187" t="n">
        <f aca="false">E12/$F$4</f>
        <v>5.45706896551724</v>
      </c>
      <c r="H12" s="199" t="n">
        <f aca="false">(F12*$H$3)/1000</f>
        <v>52.2732636206897</v>
      </c>
    </row>
    <row r="13" customFormat="false" ht="12.75" hidden="false" customHeight="false" outlineLevel="0" collapsed="false">
      <c r="B13" s="195" t="n">
        <v>36708</v>
      </c>
      <c r="C13" s="196" t="n">
        <v>29.971</v>
      </c>
      <c r="D13" s="197" t="n">
        <v>0.288</v>
      </c>
      <c r="E13" s="198" t="n">
        <f aca="false">C13+(0.03*42)</f>
        <v>31.231</v>
      </c>
      <c r="F13" s="187" t="n">
        <f aca="false">E13/$F$4</f>
        <v>5.38465517241379</v>
      </c>
      <c r="H13" s="199" t="n">
        <f aca="false">(F13*$H$3)/1000</f>
        <v>51.5796118965517</v>
      </c>
    </row>
    <row r="14" customFormat="false" ht="12.75" hidden="false" customHeight="false" outlineLevel="0" collapsed="false">
      <c r="B14" s="195" t="n">
        <v>36739</v>
      </c>
      <c r="C14" s="196" t="n">
        <v>30.013</v>
      </c>
      <c r="D14" s="197" t="n">
        <v>0.279</v>
      </c>
      <c r="E14" s="198" t="n">
        <f aca="false">C14+(0.03*42)</f>
        <v>31.273</v>
      </c>
      <c r="F14" s="187" t="n">
        <f aca="false">E14/$F$4</f>
        <v>5.39189655172414</v>
      </c>
      <c r="H14" s="199" t="n">
        <f aca="false">(F14*$H$3)/1000</f>
        <v>51.6489770689655</v>
      </c>
    </row>
    <row r="15" customFormat="false" ht="12.75" hidden="false" customHeight="false" outlineLevel="0" collapsed="false">
      <c r="B15" s="195" t="n">
        <v>36770</v>
      </c>
      <c r="C15" s="196" t="n">
        <v>30.076</v>
      </c>
      <c r="D15" s="197" t="n">
        <v>0.281</v>
      </c>
      <c r="E15" s="198" t="n">
        <f aca="false">C15+(0.03*42)</f>
        <v>31.336</v>
      </c>
      <c r="F15" s="187" t="n">
        <f aca="false">E15/$F$4</f>
        <v>5.40275862068966</v>
      </c>
      <c r="H15" s="199" t="n">
        <f aca="false">(F15*$H$3)/1000</f>
        <v>51.7530248275862</v>
      </c>
    </row>
    <row r="16" customFormat="false" ht="12.75" hidden="false" customHeight="false" outlineLevel="0" collapsed="false">
      <c r="B16" s="195" t="n">
        <v>36800</v>
      </c>
      <c r="C16" s="196" t="n">
        <v>30.16</v>
      </c>
      <c r="D16" s="197" t="n">
        <v>0.28</v>
      </c>
      <c r="E16" s="198" t="n">
        <f aca="false">C16+(0.03*42)</f>
        <v>31.42</v>
      </c>
      <c r="F16" s="187" t="n">
        <f aca="false">E16/$F$4</f>
        <v>5.41724137931035</v>
      </c>
      <c r="H16" s="199" t="n">
        <f aca="false">(F16*$H$3)/1000</f>
        <v>51.8917551724138</v>
      </c>
    </row>
    <row r="17" customFormat="false" ht="12.75" hidden="false" customHeight="false" outlineLevel="0" collapsed="false">
      <c r="B17" s="195" t="n">
        <v>36831</v>
      </c>
      <c r="C17" s="196" t="n">
        <v>30.223</v>
      </c>
      <c r="D17" s="197" t="n">
        <v>0.273</v>
      </c>
      <c r="E17" s="198" t="n">
        <f aca="false">C17+(0.03*42)</f>
        <v>31.483</v>
      </c>
      <c r="F17" s="187" t="n">
        <f aca="false">E17/$F$4</f>
        <v>5.42810344827586</v>
      </c>
      <c r="H17" s="199" t="n">
        <f aca="false">(F17*$H$3)/1000</f>
        <v>51.9958029310345</v>
      </c>
    </row>
    <row r="18" customFormat="false" ht="12.75" hidden="false" customHeight="false" outlineLevel="0" collapsed="false">
      <c r="B18" s="195" t="n">
        <v>36861</v>
      </c>
      <c r="C18" s="196" t="n">
        <v>30.118</v>
      </c>
      <c r="D18" s="197" t="n">
        <v>0.275</v>
      </c>
      <c r="E18" s="198" t="n">
        <f aca="false">C18+(0.03*42)</f>
        <v>31.378</v>
      </c>
      <c r="F18" s="187" t="n">
        <f aca="false">E18/$F$4</f>
        <v>5.41</v>
      </c>
      <c r="H18" s="199" t="n">
        <f aca="false">(F18*$H$3)/1000</f>
        <v>51.82239</v>
      </c>
    </row>
    <row r="19" customFormat="false" ht="12.75" hidden="false" customHeight="false" outlineLevel="0" collapsed="false">
      <c r="B19" s="195" t="n">
        <v>36892</v>
      </c>
      <c r="C19" s="196" t="n">
        <v>29.698</v>
      </c>
      <c r="D19" s="197" t="n">
        <v>0.275</v>
      </c>
      <c r="E19" s="198" t="n">
        <f aca="false">C19+(0.03*42)</f>
        <v>30.958</v>
      </c>
      <c r="F19" s="187" t="n">
        <f aca="false">E19/$F$4</f>
        <v>5.33758620689655</v>
      </c>
      <c r="H19" s="199" t="n">
        <f aca="false">(F19*$H$3)/1000</f>
        <v>51.1287382758621</v>
      </c>
    </row>
    <row r="20" customFormat="false" ht="12.75" hidden="false" customHeight="false" outlineLevel="0" collapsed="false">
      <c r="B20" s="195" t="n">
        <v>36923</v>
      </c>
      <c r="C20" s="196" t="n">
        <v>28.795</v>
      </c>
      <c r="D20" s="197" t="n">
        <v>0.271</v>
      </c>
      <c r="E20" s="198" t="n">
        <f aca="false">C20+(0.03*42)</f>
        <v>30.055</v>
      </c>
      <c r="F20" s="187" t="n">
        <f aca="false">E20/$F$4</f>
        <v>5.18189655172414</v>
      </c>
      <c r="H20" s="199" t="n">
        <f aca="false">(F20*$H$3)/1000</f>
        <v>49.6373870689655</v>
      </c>
    </row>
    <row r="21" customFormat="false" ht="12.75" hidden="false" customHeight="false" outlineLevel="0" collapsed="false">
      <c r="B21" s="195" t="n">
        <v>36951</v>
      </c>
      <c r="C21" s="196" t="n">
        <v>27.892</v>
      </c>
      <c r="D21" s="197" t="n">
        <v>0.27</v>
      </c>
      <c r="E21" s="198" t="n">
        <f aca="false">C21+(0.03*42)</f>
        <v>29.152</v>
      </c>
      <c r="F21" s="187" t="n">
        <f aca="false">E21/$F$4</f>
        <v>5.02620689655173</v>
      </c>
      <c r="H21" s="199" t="n">
        <f aca="false">(F21*$H$3)/1000</f>
        <v>48.146035862069</v>
      </c>
    </row>
    <row r="22" customFormat="false" ht="12.75" hidden="false" customHeight="false" outlineLevel="0" collapsed="false">
      <c r="B22" s="195" t="n">
        <v>36982</v>
      </c>
      <c r="C22" s="196" t="n">
        <v>27.031</v>
      </c>
      <c r="D22" s="197" t="n">
        <v>0.266</v>
      </c>
      <c r="E22" s="198" t="n">
        <f aca="false">C22+(0.03*42)</f>
        <v>28.291</v>
      </c>
      <c r="F22" s="187" t="n">
        <f aca="false">E22/$F$4</f>
        <v>4.87775862068966</v>
      </c>
      <c r="H22" s="199" t="n">
        <f aca="false">(F22*$H$3)/1000</f>
        <v>46.7240498275862</v>
      </c>
    </row>
    <row r="23" customFormat="false" ht="12.75" hidden="false" customHeight="false" outlineLevel="0" collapsed="false">
      <c r="B23" s="195" t="n">
        <v>37012</v>
      </c>
      <c r="C23" s="196" t="n">
        <v>26.38</v>
      </c>
      <c r="D23" s="197" t="n">
        <v>0.261</v>
      </c>
      <c r="E23" s="198" t="n">
        <f aca="false">C23+(0.03*42)</f>
        <v>27.64</v>
      </c>
      <c r="F23" s="187" t="n">
        <f aca="false">E23/$F$4</f>
        <v>4.76551724137931</v>
      </c>
      <c r="H23" s="199" t="n">
        <f aca="false">(F23*$H$3)/1000</f>
        <v>45.6488896551724</v>
      </c>
    </row>
    <row r="24" customFormat="false" ht="12.75" hidden="false" customHeight="false" outlineLevel="0" collapsed="false">
      <c r="B24" s="195" t="n">
        <v>37043</v>
      </c>
      <c r="C24" s="196" t="n">
        <v>26.128</v>
      </c>
      <c r="D24" s="197" t="n">
        <v>0.258</v>
      </c>
      <c r="E24" s="198" t="n">
        <f aca="false">C24+(0.03*42)</f>
        <v>27.388</v>
      </c>
      <c r="F24" s="187" t="n">
        <f aca="false">E24/$F$4</f>
        <v>4.72206896551724</v>
      </c>
      <c r="H24" s="199" t="n">
        <f aca="false">(F24*$H$3)/1000</f>
        <v>45.2326986206897</v>
      </c>
    </row>
    <row r="25" customFormat="false" ht="12.75" hidden="false" customHeight="false" outlineLevel="0" collapsed="false">
      <c r="B25" s="195" t="n">
        <v>37073</v>
      </c>
      <c r="C25" s="196" t="n">
        <v>26.271</v>
      </c>
      <c r="D25" s="197" t="n">
        <v>0.254</v>
      </c>
      <c r="E25" s="198" t="n">
        <f aca="false">C25+(0.03*42)</f>
        <v>27.531</v>
      </c>
      <c r="F25" s="187" t="n">
        <f aca="false">E25/$F$4</f>
        <v>4.74672413793104</v>
      </c>
      <c r="H25" s="199" t="n">
        <f aca="false">(F25*$H$3)/1000</f>
        <v>45.4688705172414</v>
      </c>
    </row>
    <row r="26" customFormat="false" ht="12.75" hidden="false" customHeight="false" outlineLevel="0" collapsed="false">
      <c r="B26" s="195" t="n">
        <v>37104</v>
      </c>
      <c r="C26" s="196" t="n">
        <v>26.624</v>
      </c>
      <c r="D26" s="197" t="n">
        <v>0.25</v>
      </c>
      <c r="E26" s="198" t="n">
        <f aca="false">C26+(0.03*42)</f>
        <v>27.884</v>
      </c>
      <c r="F26" s="187" t="n">
        <f aca="false">E26/$F$4</f>
        <v>4.80758620689655</v>
      </c>
      <c r="H26" s="199" t="n">
        <f aca="false">(F26*$H$3)/1000</f>
        <v>46.0518682758621</v>
      </c>
    </row>
    <row r="27" customFormat="false" ht="12.75" hidden="false" customHeight="false" outlineLevel="0" collapsed="false">
      <c r="B27" s="195" t="n">
        <v>37135</v>
      </c>
      <c r="C27" s="196" t="n">
        <v>27.027</v>
      </c>
      <c r="D27" s="197" t="n">
        <v>0.248</v>
      </c>
      <c r="E27" s="198" t="n">
        <f aca="false">C27+(0.03*42)</f>
        <v>28.287</v>
      </c>
      <c r="F27" s="187" t="n">
        <f aca="false">E27/$F$4</f>
        <v>4.87706896551724</v>
      </c>
      <c r="H27" s="199" t="n">
        <f aca="false">(F27*$H$3)/1000</f>
        <v>46.7174436206897</v>
      </c>
    </row>
    <row r="28" customFormat="false" ht="12.75" hidden="false" customHeight="false" outlineLevel="0" collapsed="false">
      <c r="B28" s="195" t="n">
        <v>37165</v>
      </c>
      <c r="C28" s="196" t="n">
        <v>27.413</v>
      </c>
      <c r="D28" s="197" t="n">
        <v>0.246</v>
      </c>
      <c r="E28" s="198" t="n">
        <f aca="false">C28+(0.03*42)</f>
        <v>28.673</v>
      </c>
      <c r="F28" s="187" t="n">
        <f aca="false">E28/$F$4</f>
        <v>4.94362068965517</v>
      </c>
      <c r="H28" s="199" t="n">
        <f aca="false">(F28*$H$3)/1000</f>
        <v>47.3549425862069</v>
      </c>
    </row>
    <row r="29" customFormat="false" ht="12.75" hidden="false" customHeight="false" outlineLevel="0" collapsed="false">
      <c r="B29" s="195" t="n">
        <v>37196</v>
      </c>
      <c r="C29" s="196" t="n">
        <v>27.775</v>
      </c>
      <c r="D29" s="197" t="n">
        <v>0.242</v>
      </c>
      <c r="E29" s="198" t="n">
        <f aca="false">C29+(0.03*42)</f>
        <v>29.035</v>
      </c>
      <c r="F29" s="187" t="n">
        <f aca="false">E29/$F$4</f>
        <v>5.00603448275862</v>
      </c>
      <c r="H29" s="199" t="n">
        <f aca="false">(F29*$H$3)/1000</f>
        <v>47.9528043103448</v>
      </c>
    </row>
    <row r="30" customFormat="false" ht="12.75" hidden="false" customHeight="false" outlineLevel="0" collapsed="false">
      <c r="B30" s="195" t="n">
        <v>37226</v>
      </c>
      <c r="C30" s="196" t="n">
        <v>27.905</v>
      </c>
      <c r="D30" s="197" t="n">
        <v>0.24</v>
      </c>
      <c r="E30" s="198" t="n">
        <f aca="false">C30+(0.03*42)</f>
        <v>29.165</v>
      </c>
      <c r="F30" s="187" t="n">
        <f aca="false">E30/$F$4</f>
        <v>5.02844827586207</v>
      </c>
      <c r="H30" s="199" t="n">
        <f aca="false">(F30*$H$3)/1000</f>
        <v>48.1675060344828</v>
      </c>
    </row>
    <row r="31" customFormat="false" ht="12.75" hidden="false" customHeight="false" outlineLevel="0" collapsed="false">
      <c r="B31" s="195" t="n">
        <v>37257</v>
      </c>
      <c r="C31" s="196" t="n">
        <v>27.623</v>
      </c>
      <c r="D31" s="197" t="n">
        <v>0.237</v>
      </c>
      <c r="E31" s="198" t="n">
        <f aca="false">C31+(0.03*42)</f>
        <v>28.883</v>
      </c>
      <c r="F31" s="187" t="n">
        <f aca="false">E31/$F$4</f>
        <v>4.9798275862069</v>
      </c>
      <c r="H31" s="199" t="n">
        <f aca="false">(F31*$H$3)/1000</f>
        <v>47.7017684482759</v>
      </c>
    </row>
    <row r="32" customFormat="false" ht="12.75" hidden="false" customHeight="false" outlineLevel="0" collapsed="false">
      <c r="B32" s="195" t="n">
        <v>37288</v>
      </c>
      <c r="C32" s="196" t="n">
        <v>26.943</v>
      </c>
      <c r="D32" s="197" t="n">
        <v>0.234</v>
      </c>
      <c r="E32" s="198" t="n">
        <f aca="false">C32+(0.03*42)</f>
        <v>28.203</v>
      </c>
      <c r="F32" s="187" t="n">
        <f aca="false">E32/$F$4</f>
        <v>4.86258620689655</v>
      </c>
      <c r="H32" s="199" t="n">
        <f aca="false">(F32*$H$3)/1000</f>
        <v>46.5787132758621</v>
      </c>
    </row>
    <row r="33" customFormat="false" ht="12.75" hidden="false" customHeight="false" outlineLevel="0" collapsed="false">
      <c r="B33" s="195" t="n">
        <v>37316</v>
      </c>
      <c r="C33" s="196" t="n">
        <v>26.279</v>
      </c>
      <c r="D33" s="197" t="n">
        <v>0.233</v>
      </c>
      <c r="E33" s="198" t="n">
        <f aca="false">C33+(0.03*42)</f>
        <v>27.539</v>
      </c>
      <c r="F33" s="187" t="n">
        <f aca="false">E33/$F$4</f>
        <v>4.74810344827586</v>
      </c>
      <c r="H33" s="199" t="n">
        <f aca="false">(F33*$H$3)/1000</f>
        <v>45.4820829310345</v>
      </c>
    </row>
    <row r="34" customFormat="false" ht="12.75" hidden="false" customHeight="false" outlineLevel="0" collapsed="false">
      <c r="B34" s="195" t="n">
        <v>37347</v>
      </c>
      <c r="C34" s="196" t="n">
        <v>25.624</v>
      </c>
      <c r="D34" s="197" t="n">
        <v>0.231</v>
      </c>
      <c r="E34" s="198" t="n">
        <f aca="false">C34+(0.03*42)</f>
        <v>26.884</v>
      </c>
      <c r="F34" s="187" t="n">
        <f aca="false">E34/$F$4</f>
        <v>4.6351724137931</v>
      </c>
      <c r="H34" s="199" t="n">
        <f aca="false">(F34*$H$3)/1000</f>
        <v>44.4003165517242</v>
      </c>
    </row>
    <row r="35" customFormat="false" ht="12.75" hidden="false" customHeight="false" outlineLevel="0" collapsed="false">
      <c r="B35" s="195" t="n">
        <v>37377</v>
      </c>
      <c r="C35" s="196" t="n">
        <v>25.145</v>
      </c>
      <c r="D35" s="197" t="n">
        <v>0.23</v>
      </c>
      <c r="E35" s="198" t="n">
        <f aca="false">C35+(0.03*42)</f>
        <v>26.405</v>
      </c>
      <c r="F35" s="187" t="n">
        <f aca="false">E35/$F$4</f>
        <v>4.55258620689655</v>
      </c>
      <c r="H35" s="199" t="n">
        <f aca="false">(F35*$H$3)/1000</f>
        <v>43.6092232758621</v>
      </c>
    </row>
    <row r="36" customFormat="false" ht="12.75" hidden="false" customHeight="false" outlineLevel="0" collapsed="false">
      <c r="B36" s="195" t="n">
        <v>37408</v>
      </c>
      <c r="C36" s="196" t="n">
        <v>25.024</v>
      </c>
      <c r="D36" s="197" t="n">
        <v>0.227</v>
      </c>
      <c r="E36" s="198" t="n">
        <f aca="false">C36+(0.03*42)</f>
        <v>26.284</v>
      </c>
      <c r="F36" s="187" t="n">
        <f aca="false">E36/$F$4</f>
        <v>4.53172413793104</v>
      </c>
      <c r="H36" s="199" t="n">
        <f aca="false">(F36*$H$3)/1000</f>
        <v>43.4093855172414</v>
      </c>
    </row>
    <row r="37" customFormat="false" ht="12.75" hidden="false" customHeight="false" outlineLevel="0" collapsed="false">
      <c r="B37" s="195" t="n">
        <v>37438</v>
      </c>
      <c r="C37" s="196" t="n">
        <v>25.263</v>
      </c>
      <c r="D37" s="197" t="n">
        <v>0.225</v>
      </c>
      <c r="E37" s="198" t="n">
        <f aca="false">C37+(0.03*42)</f>
        <v>26.523</v>
      </c>
      <c r="F37" s="187" t="n">
        <f aca="false">E37/$F$4</f>
        <v>4.57293103448276</v>
      </c>
      <c r="H37" s="199" t="n">
        <f aca="false">(F37*$H$3)/1000</f>
        <v>43.8041063793104</v>
      </c>
    </row>
    <row r="38" customFormat="false" ht="12.75" hidden="false" customHeight="false" outlineLevel="0" collapsed="false">
      <c r="B38" s="195" t="n">
        <v>37469</v>
      </c>
      <c r="C38" s="196" t="n">
        <v>25.691</v>
      </c>
      <c r="D38" s="197" t="n">
        <v>0.222</v>
      </c>
      <c r="E38" s="198" t="n">
        <f aca="false">C38+(0.03*42)</f>
        <v>26.951</v>
      </c>
      <c r="F38" s="187" t="n">
        <f aca="false">E38/$F$4</f>
        <v>4.64672413793103</v>
      </c>
      <c r="H38" s="199" t="n">
        <f aca="false">(F38*$H$3)/1000</f>
        <v>44.5109705172414</v>
      </c>
    </row>
    <row r="39" customFormat="false" ht="12.75" hidden="false" customHeight="false" outlineLevel="0" collapsed="false">
      <c r="B39" s="195" t="n">
        <v>37500</v>
      </c>
      <c r="C39" s="196" t="n">
        <v>26.158</v>
      </c>
      <c r="D39" s="197" t="n">
        <v>0.221</v>
      </c>
      <c r="E39" s="198" t="n">
        <f aca="false">C39+(0.03*42)</f>
        <v>27.418</v>
      </c>
      <c r="F39" s="187" t="n">
        <f aca="false">E39/$F$4</f>
        <v>4.72724137931035</v>
      </c>
      <c r="H39" s="199" t="n">
        <f aca="false">(F39*$H$3)/1000</f>
        <v>45.2822451724138</v>
      </c>
    </row>
    <row r="40" customFormat="false" ht="12.75" hidden="false" customHeight="false" outlineLevel="0" collapsed="false">
      <c r="B40" s="195" t="n">
        <v>37530</v>
      </c>
      <c r="C40" s="196" t="n">
        <v>26.603</v>
      </c>
      <c r="D40" s="197" t="n">
        <v>0.219</v>
      </c>
      <c r="E40" s="198" t="n">
        <f aca="false">C40+(0.03*42)</f>
        <v>27.863</v>
      </c>
      <c r="F40" s="187" t="n">
        <f aca="false">E40/$F$4</f>
        <v>4.80396551724138</v>
      </c>
      <c r="H40" s="199" t="n">
        <f aca="false">(F40*$H$3)/1000</f>
        <v>46.0171856896552</v>
      </c>
    </row>
    <row r="41" customFormat="false" ht="12.75" hidden="false" customHeight="false" outlineLevel="0" collapsed="false">
      <c r="B41" s="195" t="n">
        <v>37561</v>
      </c>
      <c r="C41" s="196" t="n">
        <v>27.035</v>
      </c>
      <c r="D41" s="197" t="n">
        <v>0.218</v>
      </c>
      <c r="E41" s="198" t="n">
        <f aca="false">C41+(0.03*42)</f>
        <v>28.295</v>
      </c>
      <c r="F41" s="187" t="n">
        <f aca="false">E41/$F$4</f>
        <v>4.87844827586207</v>
      </c>
      <c r="H41" s="199" t="n">
        <f aca="false">(F41*$H$3)/1000</f>
        <v>46.7306560344828</v>
      </c>
    </row>
    <row r="42" customFormat="false" ht="12.75" hidden="false" customHeight="false" outlineLevel="0" collapsed="false">
      <c r="B42" s="195" t="n">
        <v>37591</v>
      </c>
      <c r="C42" s="196" t="n">
        <v>27.216</v>
      </c>
      <c r="D42" s="197" t="n">
        <v>0.216</v>
      </c>
      <c r="E42" s="198" t="n">
        <f aca="false">C42+(0.03*42)</f>
        <v>28.476</v>
      </c>
      <c r="F42" s="187" t="n">
        <f aca="false">E42/$F$4</f>
        <v>4.90965517241379</v>
      </c>
      <c r="H42" s="199" t="n">
        <f aca="false">(F42*$H$3)/1000</f>
        <v>47.0295868965517</v>
      </c>
    </row>
    <row r="43" customFormat="false" ht="12.75" hidden="false" customHeight="false" outlineLevel="0" collapsed="false">
      <c r="B43" s="195" t="n">
        <v>37622</v>
      </c>
      <c r="C43" s="196" t="n">
        <v>26.821</v>
      </c>
      <c r="D43" s="197" t="n">
        <v>0.215</v>
      </c>
      <c r="E43" s="198" t="n">
        <f aca="false">C43+(0.03*42)</f>
        <v>28.081</v>
      </c>
      <c r="F43" s="187" t="n">
        <f aca="false">E43/$F$4</f>
        <v>4.84155172413793</v>
      </c>
      <c r="H43" s="199" t="n">
        <f aca="false">(F43*$H$3)/1000</f>
        <v>46.3772239655172</v>
      </c>
    </row>
    <row r="44" customFormat="false" ht="12.75" hidden="false" customHeight="false" outlineLevel="0" collapsed="false">
      <c r="B44" s="195" t="n">
        <v>37653</v>
      </c>
      <c r="C44" s="196" t="n">
        <v>26.183</v>
      </c>
      <c r="D44" s="197" t="n">
        <v>0.213</v>
      </c>
      <c r="E44" s="198" t="n">
        <f aca="false">C44+(0.03*42)</f>
        <v>27.443</v>
      </c>
      <c r="F44" s="187" t="n">
        <f aca="false">E44/$F$4</f>
        <v>4.73155172413793</v>
      </c>
      <c r="H44" s="199" t="n">
        <f aca="false">(F44*$H$3)/1000</f>
        <v>45.3235339655173</v>
      </c>
    </row>
    <row r="45" customFormat="false" ht="12.75" hidden="false" customHeight="false" outlineLevel="0" collapsed="false">
      <c r="B45" s="195" t="n">
        <v>37681</v>
      </c>
      <c r="C45" s="196" t="n">
        <v>25.549</v>
      </c>
      <c r="D45" s="197" t="n">
        <v>0.214</v>
      </c>
      <c r="E45" s="198" t="n">
        <f aca="false">C45+(0.03*42)</f>
        <v>26.809</v>
      </c>
      <c r="F45" s="187" t="n">
        <f aca="false">E45/$F$4</f>
        <v>4.62224137931035</v>
      </c>
      <c r="H45" s="199" t="n">
        <f aca="false">(F45*$H$3)/1000</f>
        <v>44.2764501724138</v>
      </c>
    </row>
    <row r="46" customFormat="false" ht="12.75" hidden="false" customHeight="false" outlineLevel="0" collapsed="false">
      <c r="B46" s="195" t="n">
        <v>37712</v>
      </c>
      <c r="C46" s="196" t="n">
        <v>24.906</v>
      </c>
      <c r="D46" s="197" t="n">
        <v>0.212</v>
      </c>
      <c r="E46" s="198" t="n">
        <f aca="false">C46+(0.03*42)</f>
        <v>26.166</v>
      </c>
      <c r="F46" s="187" t="n">
        <f aca="false">E46/$F$4</f>
        <v>4.51137931034483</v>
      </c>
      <c r="H46" s="199" t="n">
        <f aca="false">(F46*$H$3)/1000</f>
        <v>43.2145024137931</v>
      </c>
    </row>
    <row r="47" customFormat="false" ht="12.75" hidden="false" customHeight="false" outlineLevel="0" collapsed="false">
      <c r="B47" s="195" t="n">
        <v>37742</v>
      </c>
      <c r="C47" s="196" t="n">
        <v>24.444</v>
      </c>
      <c r="D47" s="197" t="n">
        <v>0.211</v>
      </c>
      <c r="E47" s="198" t="n">
        <f aca="false">C47+(0.03*42)</f>
        <v>25.704</v>
      </c>
      <c r="F47" s="187" t="n">
        <f aca="false">E47/$F$4</f>
        <v>4.43172413793104</v>
      </c>
      <c r="H47" s="199" t="n">
        <f aca="false">(F47*$H$3)/1000</f>
        <v>42.4514855172414</v>
      </c>
    </row>
    <row r="48" customFormat="false" ht="12.75" hidden="false" customHeight="false" outlineLevel="0" collapsed="false">
      <c r="B48" s="195" t="n">
        <v>37773</v>
      </c>
      <c r="C48" s="196" t="n">
        <v>24.347</v>
      </c>
      <c r="D48" s="197" t="n">
        <v>0.21</v>
      </c>
      <c r="E48" s="198" t="n">
        <f aca="false">C48+(0.03*42)</f>
        <v>25.607</v>
      </c>
      <c r="F48" s="187" t="n">
        <f aca="false">E48/$F$4</f>
        <v>4.415</v>
      </c>
      <c r="H48" s="199" t="n">
        <f aca="false">(F48*$H$3)/1000</f>
        <v>42.291285</v>
      </c>
    </row>
    <row r="49" customFormat="false" ht="12.75" hidden="false" customHeight="false" outlineLevel="0" collapsed="false">
      <c r="B49" s="195" t="n">
        <v>37803</v>
      </c>
      <c r="C49" s="196" t="n">
        <v>24.612</v>
      </c>
      <c r="D49" s="197" t="n">
        <v>0.209</v>
      </c>
      <c r="E49" s="198" t="n">
        <f aca="false">C49+(0.03*42)</f>
        <v>25.872</v>
      </c>
      <c r="F49" s="187" t="n">
        <f aca="false">E49/$F$4</f>
        <v>4.46068965517241</v>
      </c>
      <c r="H49" s="199" t="n">
        <f aca="false">(F49*$H$3)/1000</f>
        <v>42.7289462068966</v>
      </c>
    </row>
    <row r="50" customFormat="false" ht="12.75" hidden="false" customHeight="false" outlineLevel="0" collapsed="false">
      <c r="B50" s="195" t="n">
        <v>37834</v>
      </c>
      <c r="C50" s="196" t="n">
        <v>25.066</v>
      </c>
      <c r="D50" s="197" t="n">
        <v>0.209</v>
      </c>
      <c r="E50" s="198" t="n">
        <f aca="false">C50+(0.03*42)</f>
        <v>26.326</v>
      </c>
      <c r="F50" s="187" t="n">
        <f aca="false">E50/$F$4</f>
        <v>4.53896551724138</v>
      </c>
      <c r="H50" s="199" t="n">
        <f aca="false">(F50*$H$3)/1000</f>
        <v>43.4787506896552</v>
      </c>
    </row>
    <row r="51" customFormat="false" ht="12.75" hidden="false" customHeight="false" outlineLevel="0" collapsed="false">
      <c r="B51" s="195" t="n">
        <v>37865</v>
      </c>
      <c r="C51" s="196" t="n">
        <v>25.557</v>
      </c>
      <c r="D51" s="197" t="n">
        <v>0.208</v>
      </c>
      <c r="E51" s="198" t="n">
        <f aca="false">C51+(0.03*42)</f>
        <v>26.817</v>
      </c>
      <c r="F51" s="187" t="n">
        <f aca="false">E51/$F$4</f>
        <v>4.62362068965517</v>
      </c>
      <c r="H51" s="199" t="n">
        <f aca="false">(F51*$H$3)/1000</f>
        <v>44.2896625862069</v>
      </c>
    </row>
    <row r="52" customFormat="false" ht="12.75" hidden="false" customHeight="false" outlineLevel="0" collapsed="false">
      <c r="B52" s="195" t="n">
        <v>37895</v>
      </c>
      <c r="C52" s="196" t="n">
        <v>26.023</v>
      </c>
      <c r="D52" s="197" t="n">
        <v>0.207</v>
      </c>
      <c r="E52" s="198" t="n">
        <f aca="false">C52+(0.03*42)</f>
        <v>27.283</v>
      </c>
      <c r="F52" s="187" t="n">
        <f aca="false">E52/$F$4</f>
        <v>4.70396551724138</v>
      </c>
      <c r="H52" s="199" t="n">
        <f aca="false">(F52*$H$3)/1000</f>
        <v>45.0592856896552</v>
      </c>
    </row>
    <row r="53" customFormat="false" ht="12.75" hidden="false" customHeight="false" outlineLevel="0" collapsed="false">
      <c r="B53" s="195" t="n">
        <v>37926</v>
      </c>
      <c r="C53" s="196" t="n">
        <v>26.485</v>
      </c>
      <c r="D53" s="197" t="n">
        <v>0.207</v>
      </c>
      <c r="E53" s="198" t="n">
        <f aca="false">C53+(0.03*42)</f>
        <v>27.745</v>
      </c>
      <c r="F53" s="187" t="n">
        <f aca="false">E53/$F$4</f>
        <v>4.78362068965517</v>
      </c>
      <c r="H53" s="199" t="n">
        <f aca="false">(F53*$H$3)/1000</f>
        <v>45.8223025862069</v>
      </c>
    </row>
    <row r="54" customFormat="false" ht="12.75" hidden="false" customHeight="false" outlineLevel="0" collapsed="false">
      <c r="B54" s="195" t="n">
        <v>37956</v>
      </c>
      <c r="C54" s="196" t="n">
        <v>26.699</v>
      </c>
      <c r="D54" s="197" t="n">
        <v>0.205</v>
      </c>
      <c r="E54" s="198" t="n">
        <f aca="false">C54+(0.03*42)</f>
        <v>27.959</v>
      </c>
      <c r="F54" s="187" t="n">
        <f aca="false">E54/$F$4</f>
        <v>4.82051724137931</v>
      </c>
      <c r="H54" s="199" t="n">
        <f aca="false">(F54*$H$3)/1000</f>
        <v>46.1757346551724</v>
      </c>
    </row>
    <row r="55" customFormat="false" ht="12.75" hidden="false" customHeight="false" outlineLevel="0" collapsed="false">
      <c r="B55" s="195" t="n">
        <v>37987</v>
      </c>
      <c r="C55" s="196" t="n">
        <v>26.338</v>
      </c>
      <c r="D55" s="197" t="n">
        <v>0.205</v>
      </c>
      <c r="E55" s="198" t="n">
        <f aca="false">C55+(0.03*42)</f>
        <v>27.598</v>
      </c>
      <c r="F55" s="187" t="n">
        <f aca="false">E55/$F$4</f>
        <v>4.75827586206897</v>
      </c>
      <c r="H55" s="199" t="n">
        <f aca="false">(F55*$H$3)/1000</f>
        <v>45.5795244827586</v>
      </c>
    </row>
    <row r="56" customFormat="false" ht="12.75" hidden="false" customHeight="false" outlineLevel="0" collapsed="false">
      <c r="B56" s="195" t="n">
        <v>38018</v>
      </c>
      <c r="C56" s="196" t="n">
        <v>25.733</v>
      </c>
      <c r="D56" s="197" t="n">
        <v>0.204</v>
      </c>
      <c r="E56" s="198" t="n">
        <f aca="false">C56+(0.03*42)</f>
        <v>26.993</v>
      </c>
      <c r="F56" s="187" t="n">
        <f aca="false">E56/$F$4</f>
        <v>4.65396551724138</v>
      </c>
      <c r="H56" s="199" t="n">
        <f aca="false">(F56*$H$3)/1000</f>
        <v>44.5803356896552</v>
      </c>
    </row>
    <row r="57" customFormat="false" ht="12.75" hidden="false" customHeight="false" outlineLevel="0" collapsed="false">
      <c r="B57" s="195" t="n">
        <v>38047</v>
      </c>
      <c r="C57" s="196" t="n">
        <v>25.133</v>
      </c>
      <c r="D57" s="197" t="n">
        <v>0.203</v>
      </c>
      <c r="E57" s="198" t="n">
        <f aca="false">C57+(0.03*42)</f>
        <v>26.393</v>
      </c>
      <c r="F57" s="187" t="n">
        <f aca="false">E57/$F$4</f>
        <v>4.55051724137931</v>
      </c>
      <c r="H57" s="199" t="n">
        <f aca="false">(F57*$H$3)/1000</f>
        <v>43.5894046551724</v>
      </c>
    </row>
    <row r="58" customFormat="false" ht="12.75" hidden="false" customHeight="false" outlineLevel="0" collapsed="false">
      <c r="B58" s="195" t="n">
        <v>38078</v>
      </c>
      <c r="C58" s="196" t="n">
        <v>24.52</v>
      </c>
      <c r="D58" s="197" t="n">
        <v>0.202</v>
      </c>
      <c r="E58" s="198" t="n">
        <f aca="false">C58+(0.03*42)</f>
        <v>25.78</v>
      </c>
      <c r="F58" s="187" t="n">
        <f aca="false">E58/$F$4</f>
        <v>4.4448275862069</v>
      </c>
      <c r="H58" s="199" t="n">
        <f aca="false">(F58*$H$3)/1000</f>
        <v>42.5770034482759</v>
      </c>
    </row>
    <row r="59" customFormat="false" ht="12.75" hidden="false" customHeight="false" outlineLevel="0" collapsed="false">
      <c r="B59" s="195" t="n">
        <v>38108</v>
      </c>
      <c r="C59" s="196" t="n">
        <v>24.095</v>
      </c>
      <c r="D59" s="197" t="n">
        <v>0.202</v>
      </c>
      <c r="E59" s="198" t="n">
        <f aca="false">C59+(0.03*42)</f>
        <v>25.355</v>
      </c>
      <c r="F59" s="187" t="n">
        <f aca="false">E59/$F$4</f>
        <v>4.37155172413793</v>
      </c>
      <c r="H59" s="199" t="n">
        <f aca="false">(F59*$H$3)/1000</f>
        <v>41.8750939655172</v>
      </c>
    </row>
    <row r="60" customFormat="false" ht="12.75" hidden="false" customHeight="false" outlineLevel="0" collapsed="false">
      <c r="B60" s="195" t="n">
        <v>38139</v>
      </c>
      <c r="C60" s="196" t="n">
        <v>24.032</v>
      </c>
      <c r="D60" s="197" t="n">
        <v>0.2</v>
      </c>
      <c r="E60" s="198" t="n">
        <f aca="false">C60+(0.03*42)</f>
        <v>25.292</v>
      </c>
      <c r="F60" s="187" t="n">
        <f aca="false">E60/$F$4</f>
        <v>4.36068965517242</v>
      </c>
      <c r="H60" s="199" t="n">
        <f aca="false">(F60*$H$3)/1000</f>
        <v>41.7710462068966</v>
      </c>
    </row>
    <row r="61" customFormat="false" ht="12.75" hidden="false" customHeight="false" outlineLevel="0" collapsed="false">
      <c r="B61" s="195" t="n">
        <v>38169</v>
      </c>
      <c r="C61" s="196" t="n">
        <v>24.326</v>
      </c>
      <c r="D61" s="197" t="n">
        <v>0.199</v>
      </c>
      <c r="E61" s="198" t="n">
        <f aca="false">C61+(0.03*42)</f>
        <v>25.586</v>
      </c>
      <c r="F61" s="187" t="n">
        <f aca="false">E61/$F$4</f>
        <v>4.41137931034483</v>
      </c>
      <c r="H61" s="199" t="n">
        <f aca="false">(F61*$H$3)/1000</f>
        <v>42.2566024137931</v>
      </c>
    </row>
    <row r="62" customFormat="false" ht="12.75" hidden="false" customHeight="false" outlineLevel="0" collapsed="false">
      <c r="B62" s="195" t="n">
        <v>38200</v>
      </c>
      <c r="C62" s="196" t="n">
        <v>24.818</v>
      </c>
      <c r="D62" s="197" t="n">
        <v>0.199</v>
      </c>
      <c r="E62" s="198" t="n">
        <f aca="false">C62+(0.03*42)</f>
        <v>26.078</v>
      </c>
      <c r="F62" s="187" t="n">
        <f aca="false">E62/$F$4</f>
        <v>4.49620689655172</v>
      </c>
      <c r="H62" s="199" t="n">
        <f aca="false">(F62*$H$3)/1000</f>
        <v>43.069165862069</v>
      </c>
    </row>
    <row r="63" customFormat="false" ht="12.75" hidden="false" customHeight="false" outlineLevel="0" collapsed="false">
      <c r="B63" s="195" t="n">
        <v>38231</v>
      </c>
      <c r="C63" s="196" t="n">
        <v>25.339</v>
      </c>
      <c r="D63" s="197" t="n">
        <v>0.198</v>
      </c>
      <c r="E63" s="198" t="n">
        <f aca="false">C63+(0.03*42)</f>
        <v>26.599</v>
      </c>
      <c r="F63" s="187" t="n">
        <f aca="false">E63/$F$4</f>
        <v>4.58603448275862</v>
      </c>
      <c r="H63" s="199" t="n">
        <f aca="false">(F63*$H$3)/1000</f>
        <v>43.9296243103448</v>
      </c>
    </row>
    <row r="64" customFormat="false" ht="12.75" hidden="false" customHeight="false" outlineLevel="0" collapsed="false">
      <c r="B64" s="195" t="n">
        <v>38261</v>
      </c>
      <c r="C64" s="196" t="n">
        <v>25.843</v>
      </c>
      <c r="D64" s="197" t="n">
        <v>0.197</v>
      </c>
      <c r="E64" s="198" t="n">
        <f aca="false">C64+(0.03*42)</f>
        <v>27.103</v>
      </c>
      <c r="F64" s="187" t="n">
        <f aca="false">E64/$F$4</f>
        <v>4.67293103448276</v>
      </c>
      <c r="H64" s="199" t="n">
        <f aca="false">(F64*$H$3)/1000</f>
        <v>44.7620063793104</v>
      </c>
    </row>
    <row r="65" customFormat="false" ht="12.75" hidden="false" customHeight="false" outlineLevel="0" collapsed="false">
      <c r="B65" s="195" t="n">
        <v>38292</v>
      </c>
      <c r="C65" s="196" t="n">
        <v>26.33</v>
      </c>
      <c r="D65" s="197" t="n">
        <v>0.197</v>
      </c>
      <c r="E65" s="198" t="n">
        <f aca="false">C65+(0.03*42)</f>
        <v>27.59</v>
      </c>
      <c r="F65" s="187" t="n">
        <f aca="false">E65/$F$4</f>
        <v>4.75689655172414</v>
      </c>
      <c r="H65" s="199" t="n">
        <f aca="false">(F65*$H$3)/1000</f>
        <v>45.5663120689655</v>
      </c>
    </row>
    <row r="66" customFormat="false" ht="12.75" hidden="false" customHeight="false" outlineLevel="0" collapsed="false">
      <c r="B66" s="195" t="n">
        <v>38322</v>
      </c>
      <c r="C66" s="196" t="n">
        <v>26.552</v>
      </c>
      <c r="D66" s="197" t="n">
        <v>0.197</v>
      </c>
      <c r="E66" s="198" t="n">
        <f aca="false">C66+(0.03*42)</f>
        <v>27.812</v>
      </c>
      <c r="F66" s="187" t="n">
        <f aca="false">E66/$F$4</f>
        <v>4.79517241379311</v>
      </c>
      <c r="H66" s="199" t="n">
        <f aca="false">(F66*$H$3)/1000</f>
        <v>45.9329565517242</v>
      </c>
    </row>
    <row r="67" customFormat="false" ht="12.75" hidden="false" customHeight="false" outlineLevel="0" collapsed="false">
      <c r="B67" s="195" t="n">
        <v>38353</v>
      </c>
      <c r="C67" s="196" t="n">
        <v>26.2</v>
      </c>
      <c r="D67" s="197" t="n">
        <v>0.197</v>
      </c>
      <c r="E67" s="198" t="n">
        <f aca="false">C67+(0.03*42)</f>
        <v>27.46</v>
      </c>
      <c r="F67" s="187" t="n">
        <f aca="false">E67/$F$4</f>
        <v>4.73448275862069</v>
      </c>
      <c r="H67" s="199" t="n">
        <f aca="false">(F67*$H$3)/1000</f>
        <v>45.3516103448276</v>
      </c>
    </row>
    <row r="68" customFormat="false" ht="12.75" hidden="false" customHeight="false" outlineLevel="0" collapsed="false">
      <c r="B68" s="195" t="n">
        <v>38384</v>
      </c>
      <c r="C68" s="196" t="n">
        <v>25.603</v>
      </c>
      <c r="D68" s="197" t="n">
        <v>0.197</v>
      </c>
      <c r="E68" s="198" t="n">
        <f aca="false">C68+(0.03*42)</f>
        <v>26.863</v>
      </c>
      <c r="F68" s="187" t="n">
        <f aca="false">E68/$F$4</f>
        <v>4.63155172413793</v>
      </c>
      <c r="H68" s="199" t="n">
        <f aca="false">(F68*$H$3)/1000</f>
        <v>44.3656339655173</v>
      </c>
    </row>
    <row r="69" customFormat="false" ht="12.75" hidden="false" customHeight="false" outlineLevel="0" collapsed="false">
      <c r="B69" s="195" t="n">
        <v>38412</v>
      </c>
      <c r="C69" s="196" t="n">
        <v>25.015</v>
      </c>
      <c r="D69" s="197" t="n">
        <v>0.197</v>
      </c>
      <c r="E69" s="198" t="n">
        <f aca="false">C69+(0.03*42)</f>
        <v>26.275</v>
      </c>
      <c r="F69" s="187" t="n">
        <f aca="false">E69/$F$4</f>
        <v>4.5301724137931</v>
      </c>
      <c r="H69" s="199" t="n">
        <f aca="false">(F69*$H$3)/1000</f>
        <v>43.3945215517242</v>
      </c>
    </row>
    <row r="70" customFormat="false" ht="12.75" hidden="false" customHeight="false" outlineLevel="0" collapsed="false">
      <c r="B70" s="195" t="n">
        <v>38443</v>
      </c>
      <c r="C70" s="196" t="n">
        <v>24.41</v>
      </c>
      <c r="D70" s="197" t="n">
        <v>0.196</v>
      </c>
      <c r="E70" s="198" t="n">
        <f aca="false">C70+(0.03*42)</f>
        <v>25.67</v>
      </c>
      <c r="F70" s="187" t="n">
        <f aca="false">E70/$F$4</f>
        <v>4.42586206896552</v>
      </c>
      <c r="H70" s="199" t="n">
        <f aca="false">(F70*$H$3)/1000</f>
        <v>42.3953327586207</v>
      </c>
    </row>
    <row r="71" customFormat="false" ht="12.75" hidden="false" customHeight="false" outlineLevel="0" collapsed="false">
      <c r="B71" s="195" t="n">
        <v>38473</v>
      </c>
      <c r="C71" s="196" t="n">
        <v>23.995</v>
      </c>
      <c r="D71" s="197" t="n">
        <v>0.196</v>
      </c>
      <c r="E71" s="198" t="n">
        <f aca="false">C71+(0.03*42)</f>
        <v>25.255</v>
      </c>
      <c r="F71" s="187" t="n">
        <f aca="false">E71/$F$4</f>
        <v>4.35431034482759</v>
      </c>
      <c r="H71" s="199" t="n">
        <f aca="false">(F71*$H$3)/1000</f>
        <v>41.7099387931035</v>
      </c>
    </row>
    <row r="72" customFormat="false" ht="12.75" hidden="false" customHeight="false" outlineLevel="0" collapsed="false">
      <c r="B72" s="195" t="n">
        <v>38504</v>
      </c>
      <c r="C72" s="196" t="n">
        <v>23.936</v>
      </c>
      <c r="D72" s="197" t="n">
        <v>0.195</v>
      </c>
      <c r="E72" s="198" t="n">
        <f aca="false">C72+(0.03*42)</f>
        <v>25.196</v>
      </c>
      <c r="F72" s="187" t="n">
        <f aca="false">E72/$F$4</f>
        <v>4.34413793103448</v>
      </c>
      <c r="H72" s="199" t="n">
        <f aca="false">(F72*$H$3)/1000</f>
        <v>41.6124972413793</v>
      </c>
    </row>
    <row r="73" customFormat="false" ht="12.75" hidden="false" customHeight="false" outlineLevel="0" collapsed="false">
      <c r="B73" s="195" t="n">
        <v>38534</v>
      </c>
      <c r="C73" s="196" t="n">
        <v>24.242</v>
      </c>
      <c r="D73" s="197" t="n">
        <v>0.195</v>
      </c>
      <c r="E73" s="198" t="n">
        <f aca="false">C73+(0.03*42)</f>
        <v>25.502</v>
      </c>
      <c r="F73" s="187" t="n">
        <f aca="false">E73/$F$4</f>
        <v>4.39689655172414</v>
      </c>
      <c r="H73" s="199" t="n">
        <f aca="false">(F73*$H$3)/1000</f>
        <v>42.1178720689655</v>
      </c>
    </row>
    <row r="74" customFormat="false" ht="12.75" hidden="false" customHeight="false" outlineLevel="0" collapsed="false">
      <c r="B74" s="195" t="n">
        <v>38565</v>
      </c>
      <c r="C74" s="196" t="n">
        <v>24.746</v>
      </c>
      <c r="D74" s="197" t="n">
        <v>0.195</v>
      </c>
      <c r="E74" s="198" t="n">
        <f aca="false">C74+(0.03*42)</f>
        <v>26.006</v>
      </c>
      <c r="F74" s="187" t="n">
        <f aca="false">E74/$F$4</f>
        <v>4.48379310344828</v>
      </c>
      <c r="H74" s="199" t="n">
        <f aca="false">(F74*$H$3)/1000</f>
        <v>42.950254137931</v>
      </c>
    </row>
    <row r="75" customFormat="false" ht="12.75" hidden="false" customHeight="false" outlineLevel="0" collapsed="false">
      <c r="B75" s="195" t="n">
        <v>38596</v>
      </c>
      <c r="C75" s="196" t="n">
        <v>25.271</v>
      </c>
      <c r="D75" s="197" t="n">
        <v>0.194</v>
      </c>
      <c r="E75" s="198" t="n">
        <f aca="false">C75+(0.03*42)</f>
        <v>26.531</v>
      </c>
      <c r="F75" s="187" t="n">
        <f aca="false">E75/$F$4</f>
        <v>4.57431034482759</v>
      </c>
      <c r="H75" s="199" t="n">
        <f aca="false">(F75*$H$3)/1000</f>
        <v>43.8173187931035</v>
      </c>
    </row>
    <row r="76" customFormat="false" ht="12.75" hidden="false" customHeight="false" outlineLevel="0" collapsed="false">
      <c r="B76" s="195" t="n">
        <v>38626</v>
      </c>
      <c r="C76" s="196" t="n">
        <v>25.788</v>
      </c>
      <c r="D76" s="197" t="n">
        <v>0.194</v>
      </c>
      <c r="E76" s="198" t="n">
        <f aca="false">C76+(0.03*42)</f>
        <v>27.048</v>
      </c>
      <c r="F76" s="187" t="n">
        <f aca="false">E76/$F$4</f>
        <v>4.66344827586207</v>
      </c>
      <c r="H76" s="199" t="n">
        <f aca="false">(F76*$H$3)/1000</f>
        <v>44.6711710344828</v>
      </c>
    </row>
    <row r="77" customFormat="false" ht="12.75" hidden="false" customHeight="false" outlineLevel="0" collapsed="false">
      <c r="B77" s="195" t="n">
        <v>38657</v>
      </c>
      <c r="C77" s="196" t="n">
        <v>26.284</v>
      </c>
      <c r="D77" s="197" t="n">
        <v>0.193</v>
      </c>
      <c r="E77" s="198" t="n">
        <f aca="false">C77+(0.03*42)</f>
        <v>27.544</v>
      </c>
      <c r="F77" s="187" t="n">
        <f aca="false">E77/$F$4</f>
        <v>4.74896551724138</v>
      </c>
      <c r="H77" s="199" t="n">
        <f aca="false">(F77*$H$3)/1000</f>
        <v>45.4903406896552</v>
      </c>
    </row>
    <row r="78" customFormat="false" ht="12.75" hidden="false" customHeight="false" outlineLevel="0" collapsed="false">
      <c r="B78" s="195" t="n">
        <v>38687</v>
      </c>
      <c r="C78" s="196" t="n">
        <v>26.519</v>
      </c>
      <c r="D78" s="197" t="n">
        <v>0.193</v>
      </c>
      <c r="E78" s="198" t="n">
        <f aca="false">C78+(0.03*42)</f>
        <v>27.779</v>
      </c>
      <c r="F78" s="187" t="n">
        <f aca="false">E78/$F$4</f>
        <v>4.78948275862069</v>
      </c>
      <c r="H78" s="199" t="n">
        <f aca="false">(F78*$H$3)/1000</f>
        <v>45.8784553448276</v>
      </c>
    </row>
    <row r="79" customFormat="false" ht="12.75" hidden="false" customHeight="false" outlineLevel="0" collapsed="false">
      <c r="B79" s="195" t="n">
        <v>38718</v>
      </c>
      <c r="C79" s="196" t="n">
        <v>26.179</v>
      </c>
      <c r="D79" s="197" t="n">
        <v>0.19</v>
      </c>
      <c r="E79" s="198" t="n">
        <f aca="false">C79+(0.03*42)</f>
        <v>27.439</v>
      </c>
      <c r="F79" s="187" t="n">
        <f aca="false">E79/$F$4</f>
        <v>4.73086206896552</v>
      </c>
      <c r="H79" s="199" t="n">
        <f aca="false">(F79*$H$3)/1000</f>
        <v>45.3169277586207</v>
      </c>
    </row>
    <row r="80" customFormat="false" ht="12.75" hidden="false" customHeight="false" outlineLevel="0" collapsed="false">
      <c r="B80" s="195" t="n">
        <v>38749</v>
      </c>
      <c r="C80" s="196" t="n">
        <v>25.591</v>
      </c>
      <c r="D80" s="197" t="n">
        <v>0.19</v>
      </c>
      <c r="E80" s="198" t="n">
        <f aca="false">C80+(0.03*42)</f>
        <v>26.851</v>
      </c>
      <c r="F80" s="187" t="n">
        <f aca="false">E80/$F$4</f>
        <v>4.62948275862069</v>
      </c>
      <c r="H80" s="199" t="n">
        <f aca="false">(F80*$H$3)/1000</f>
        <v>44.3458153448276</v>
      </c>
    </row>
    <row r="81" customFormat="false" ht="12.75" hidden="false" customHeight="false" outlineLevel="0" collapsed="false">
      <c r="B81" s="195" t="n">
        <v>38777</v>
      </c>
      <c r="C81" s="196" t="n">
        <v>25.019</v>
      </c>
      <c r="D81" s="197" t="n">
        <v>0.188</v>
      </c>
      <c r="E81" s="198" t="n">
        <f aca="false">C81+(0.03*42)</f>
        <v>26.279</v>
      </c>
      <c r="F81" s="187" t="n">
        <f aca="false">E81/$F$4</f>
        <v>4.53086206896552</v>
      </c>
      <c r="H81" s="199" t="n">
        <f aca="false">(F81*$H$3)/1000</f>
        <v>43.4011277586207</v>
      </c>
    </row>
    <row r="82" customFormat="false" ht="12.75" hidden="false" customHeight="false" outlineLevel="0" collapsed="false">
      <c r="B82" s="195" t="n">
        <v>38808</v>
      </c>
      <c r="C82" s="196" t="n">
        <v>24.427</v>
      </c>
      <c r="D82" s="197" t="n">
        <v>0.187</v>
      </c>
      <c r="E82" s="198" t="n">
        <f aca="false">C82+(0.03*42)</f>
        <v>25.687</v>
      </c>
      <c r="F82" s="187" t="n">
        <f aca="false">E82/$F$4</f>
        <v>4.42879310344828</v>
      </c>
      <c r="H82" s="199" t="n">
        <f aca="false">(F82*$H$3)/1000</f>
        <v>42.423409137931</v>
      </c>
    </row>
    <row r="83" customFormat="false" ht="12.75" hidden="false" customHeight="false" outlineLevel="0" collapsed="false">
      <c r="B83" s="195" t="n">
        <v>38838</v>
      </c>
      <c r="C83" s="196" t="n">
        <v>24.024</v>
      </c>
      <c r="D83" s="197" t="n">
        <v>0.187</v>
      </c>
      <c r="E83" s="198" t="n">
        <f aca="false">C83+(0.03*42)</f>
        <v>25.284</v>
      </c>
      <c r="F83" s="187" t="n">
        <f aca="false">E83/$F$4</f>
        <v>4.35931034482759</v>
      </c>
      <c r="H83" s="199" t="n">
        <f aca="false">(F83*$H$3)/1000</f>
        <v>41.7578337931035</v>
      </c>
    </row>
    <row r="84" customFormat="false" ht="12.75" hidden="false" customHeight="false" outlineLevel="0" collapsed="false">
      <c r="B84" s="195" t="n">
        <v>38869</v>
      </c>
      <c r="C84" s="196" t="n">
        <v>23.978</v>
      </c>
      <c r="D84" s="197" t="n">
        <v>0.186</v>
      </c>
      <c r="E84" s="198" t="n">
        <f aca="false">C84+(0.03*42)</f>
        <v>25.238</v>
      </c>
      <c r="F84" s="187" t="n">
        <f aca="false">E84/$F$4</f>
        <v>4.35137931034483</v>
      </c>
      <c r="H84" s="199" t="n">
        <f aca="false">(F84*$H$3)/1000</f>
        <v>41.6818624137931</v>
      </c>
    </row>
    <row r="85" customFormat="false" ht="12.75" hidden="false" customHeight="false" outlineLevel="0" collapsed="false">
      <c r="B85" s="195" t="n">
        <v>38899</v>
      </c>
      <c r="C85" s="196" t="n">
        <v>24.297</v>
      </c>
      <c r="D85" s="197" t="n">
        <v>0.186</v>
      </c>
      <c r="E85" s="198" t="n">
        <f aca="false">C85+(0.03*42)</f>
        <v>25.557</v>
      </c>
      <c r="F85" s="187" t="n">
        <f aca="false">E85/$F$4</f>
        <v>4.40637931034483</v>
      </c>
      <c r="H85" s="199" t="n">
        <f aca="false">(F85*$H$3)/1000</f>
        <v>42.2087074137931</v>
      </c>
    </row>
    <row r="86" customFormat="false" ht="12.75" hidden="false" customHeight="false" outlineLevel="0" collapsed="false">
      <c r="B86" s="195" t="n">
        <v>38930</v>
      </c>
      <c r="C86" s="196" t="n">
        <v>24.809</v>
      </c>
      <c r="D86" s="197" t="n">
        <v>0.185</v>
      </c>
      <c r="E86" s="198" t="n">
        <f aca="false">C86+(0.03*42)</f>
        <v>26.069</v>
      </c>
      <c r="F86" s="187" t="n">
        <f aca="false">E86/$F$4</f>
        <v>4.49465517241379</v>
      </c>
      <c r="H86" s="199" t="n">
        <f aca="false">(F86*$H$3)/1000</f>
        <v>43.0543018965517</v>
      </c>
    </row>
    <row r="87" customFormat="false" ht="12.75" hidden="false" customHeight="false" outlineLevel="0" collapsed="false">
      <c r="B87" s="195" t="n">
        <v>38961</v>
      </c>
      <c r="C87" s="196" t="n">
        <v>25.351</v>
      </c>
      <c r="D87" s="197" t="n">
        <v>0.185</v>
      </c>
      <c r="E87" s="198" t="n">
        <f aca="false">C87+(0.03*42)</f>
        <v>26.611</v>
      </c>
      <c r="F87" s="187" t="n">
        <f aca="false">E87/$F$4</f>
        <v>4.58810344827586</v>
      </c>
      <c r="H87" s="199" t="n">
        <f aca="false">(F87*$H$3)/1000</f>
        <v>43.9494429310345</v>
      </c>
    </row>
    <row r="88" customFormat="false" ht="12.75" hidden="false" customHeight="false" outlineLevel="0" collapsed="false">
      <c r="B88" s="195" t="n">
        <v>38991</v>
      </c>
      <c r="C88" s="196" t="n">
        <v>25.876</v>
      </c>
      <c r="D88" s="197" t="n">
        <v>0.184</v>
      </c>
      <c r="E88" s="198" t="n">
        <f aca="false">C88+(0.03*42)</f>
        <v>27.136</v>
      </c>
      <c r="F88" s="187" t="n">
        <f aca="false">E88/$F$4</f>
        <v>4.67862068965517</v>
      </c>
      <c r="H88" s="199" t="n">
        <f aca="false">(F88*$H$3)/1000</f>
        <v>44.8165075862069</v>
      </c>
    </row>
    <row r="89" customFormat="false" ht="12.75" hidden="false" customHeight="false" outlineLevel="0" collapsed="false">
      <c r="B89" s="195" t="n">
        <v>39022</v>
      </c>
      <c r="C89" s="196" t="n">
        <v>26.389</v>
      </c>
      <c r="D89" s="197" t="n">
        <v>0.184</v>
      </c>
      <c r="E89" s="198" t="n">
        <f aca="false">C89+(0.03*42)</f>
        <v>27.649</v>
      </c>
      <c r="F89" s="187" t="n">
        <f aca="false">E89/$F$4</f>
        <v>4.76706896551724</v>
      </c>
      <c r="H89" s="199" t="n">
        <f aca="false">(F89*$H$3)/1000</f>
        <v>45.6637536206897</v>
      </c>
    </row>
    <row r="90" customFormat="false" ht="12.75" hidden="false" customHeight="false" outlineLevel="0" collapsed="false">
      <c r="B90" s="195" t="n">
        <v>39052</v>
      </c>
      <c r="C90" s="196" t="n">
        <v>26.632</v>
      </c>
      <c r="D90" s="197" t="n">
        <v>0.183</v>
      </c>
      <c r="E90" s="198" t="n">
        <f aca="false">C90+(0.03*42)</f>
        <v>27.892</v>
      </c>
      <c r="F90" s="187" t="n">
        <f aca="false">E90/$F$4</f>
        <v>4.80896551724138</v>
      </c>
      <c r="H90" s="199" t="n">
        <f aca="false">(F90*$H$3)/1000</f>
        <v>46.0650806896552</v>
      </c>
    </row>
    <row r="91" customFormat="false" ht="12.75" hidden="false" customHeight="false" outlineLevel="0" collapsed="false">
      <c r="B91" s="195" t="n">
        <v>39083</v>
      </c>
      <c r="C91" s="196" t="n">
        <v>26.305</v>
      </c>
      <c r="D91" s="197" t="n">
        <v>0.183</v>
      </c>
      <c r="E91" s="198" t="n">
        <f aca="false">C91+(0.03*42)</f>
        <v>27.565</v>
      </c>
      <c r="F91" s="187" t="n">
        <f aca="false">E91/$F$4</f>
        <v>4.75258620689655</v>
      </c>
      <c r="H91" s="199" t="n">
        <f aca="false">(F91*$H$3)/1000</f>
        <v>45.5250232758621</v>
      </c>
    </row>
    <row r="92" customFormat="false" ht="12.75" hidden="false" customHeight="false" outlineLevel="0" collapsed="false">
      <c r="B92" s="195" t="n">
        <v>39114</v>
      </c>
      <c r="C92" s="196" t="n">
        <v>25.725</v>
      </c>
      <c r="D92" s="197" t="n">
        <v>0.182</v>
      </c>
      <c r="E92" s="198" t="n">
        <f aca="false">C92+(0.03*42)</f>
        <v>26.985</v>
      </c>
      <c r="F92" s="187" t="n">
        <f aca="false">E92/$F$4</f>
        <v>4.65258620689655</v>
      </c>
      <c r="H92" s="199" t="n">
        <f aca="false">(F92*$H$3)/1000</f>
        <v>44.5671232758621</v>
      </c>
    </row>
    <row r="93" customFormat="false" ht="12.75" hidden="false" customHeight="false" outlineLevel="0" collapsed="false">
      <c r="B93" s="195" t="n">
        <v>39142</v>
      </c>
      <c r="C93" s="196" t="n">
        <v>25.162</v>
      </c>
      <c r="D93" s="197" t="n">
        <v>0.182</v>
      </c>
      <c r="E93" s="198" t="n">
        <f aca="false">C93+(0.03*42)</f>
        <v>26.422</v>
      </c>
      <c r="F93" s="187" t="n">
        <f aca="false">E93/$F$4</f>
        <v>4.55551724137931</v>
      </c>
      <c r="H93" s="199" t="n">
        <f aca="false">(F93*$H$3)/1000</f>
        <v>43.6372996551724</v>
      </c>
    </row>
    <row r="94" customFormat="false" ht="12.75" hidden="false" customHeight="false" outlineLevel="0" collapsed="false">
      <c r="B94" s="195" t="n">
        <v>39173</v>
      </c>
      <c r="C94" s="196" t="n">
        <v>24.578</v>
      </c>
      <c r="D94" s="197" t="n">
        <v>0.181</v>
      </c>
      <c r="E94" s="198" t="n">
        <f aca="false">C94+(0.03*42)</f>
        <v>25.838</v>
      </c>
      <c r="F94" s="187" t="n">
        <f aca="false">E94/$F$4</f>
        <v>4.4548275862069</v>
      </c>
      <c r="H94" s="199" t="n">
        <f aca="false">(F94*$H$3)/1000</f>
        <v>42.6727934482759</v>
      </c>
    </row>
    <row r="95" customFormat="false" ht="12.75" hidden="false" customHeight="false" outlineLevel="0" collapsed="false">
      <c r="B95" s="195" t="n">
        <v>39203</v>
      </c>
      <c r="C95" s="196" t="n">
        <v>24.188</v>
      </c>
      <c r="D95" s="197" t="n">
        <v>0.181</v>
      </c>
      <c r="E95" s="198" t="n">
        <f aca="false">C95+(0.03*42)</f>
        <v>25.448</v>
      </c>
      <c r="F95" s="187" t="n">
        <f aca="false">E95/$F$4</f>
        <v>4.38758620689655</v>
      </c>
      <c r="H95" s="199" t="n">
        <f aca="false">(F95*$H$3)/1000</f>
        <v>42.0286882758621</v>
      </c>
    </row>
    <row r="96" customFormat="false" ht="12.75" hidden="false" customHeight="false" outlineLevel="0" collapsed="false">
      <c r="B96" s="195" t="n">
        <v>39234</v>
      </c>
      <c r="C96" s="196" t="n">
        <v>24.154</v>
      </c>
      <c r="D96" s="197" t="n">
        <v>0.181</v>
      </c>
      <c r="E96" s="198" t="n">
        <f aca="false">C96+(0.03*42)</f>
        <v>25.414</v>
      </c>
      <c r="F96" s="187" t="n">
        <f aca="false">E96/$F$4</f>
        <v>4.38172413793104</v>
      </c>
      <c r="H96" s="199" t="n">
        <f aca="false">(F96*$H$3)/1000</f>
        <v>41.9725355172414</v>
      </c>
    </row>
    <row r="97" customFormat="false" ht="12.75" hidden="false" customHeight="false" outlineLevel="0" collapsed="false">
      <c r="B97" s="195" t="n">
        <v>39264</v>
      </c>
      <c r="C97" s="196" t="n">
        <v>24.482</v>
      </c>
      <c r="D97" s="197" t="n">
        <v>0.18</v>
      </c>
      <c r="E97" s="198" t="n">
        <f aca="false">C97+(0.03*42)</f>
        <v>25.742</v>
      </c>
      <c r="F97" s="187" t="n">
        <f aca="false">E97/$F$4</f>
        <v>4.43827586206897</v>
      </c>
      <c r="H97" s="199" t="n">
        <f aca="false">(F97*$H$3)/1000</f>
        <v>42.5142444827586</v>
      </c>
    </row>
    <row r="98" customFormat="false" ht="12.75" hidden="false" customHeight="false" outlineLevel="0" collapsed="false">
      <c r="B98" s="195" t="n">
        <v>39295</v>
      </c>
      <c r="C98" s="196" t="n">
        <v>25.003</v>
      </c>
      <c r="D98" s="197" t="n">
        <v>0.18</v>
      </c>
      <c r="E98" s="198" t="n">
        <f aca="false">C98+(0.03*42)</f>
        <v>26.263</v>
      </c>
      <c r="F98" s="187" t="n">
        <f aca="false">E98/$F$4</f>
        <v>4.52810344827586</v>
      </c>
      <c r="H98" s="199" t="n">
        <f aca="false">(F98*$H$3)/1000</f>
        <v>43.3747029310345</v>
      </c>
    </row>
    <row r="99" customFormat="false" ht="12.75" hidden="false" customHeight="false" outlineLevel="0" collapsed="false">
      <c r="B99" s="195" t="n">
        <v>39326</v>
      </c>
      <c r="C99" s="196" t="n">
        <v>25.557</v>
      </c>
      <c r="D99" s="197" t="n">
        <v>0.18</v>
      </c>
      <c r="E99" s="198" t="n">
        <f aca="false">C99+(0.03*42)</f>
        <v>26.817</v>
      </c>
      <c r="F99" s="187" t="n">
        <f aca="false">E99/$F$4</f>
        <v>4.62362068965517</v>
      </c>
      <c r="H99" s="199" t="n">
        <f aca="false">(F99*$H$3)/1000</f>
        <v>44.2896625862069</v>
      </c>
    </row>
    <row r="100" customFormat="false" ht="12.75" hidden="false" customHeight="false" outlineLevel="0" collapsed="false">
      <c r="B100" s="195" t="n">
        <v>39356</v>
      </c>
      <c r="C100" s="196" t="n">
        <v>26.09</v>
      </c>
      <c r="D100" s="197" t="n">
        <v>0.179</v>
      </c>
      <c r="E100" s="198" t="n">
        <f aca="false">C100+(0.03*42)</f>
        <v>27.35</v>
      </c>
      <c r="F100" s="187" t="n">
        <f aca="false">E100/$F$4</f>
        <v>4.71551724137931</v>
      </c>
      <c r="H100" s="199" t="n">
        <f aca="false">(F100*$H$3)/1000</f>
        <v>45.1699396551724</v>
      </c>
    </row>
    <row r="101" customFormat="false" ht="12.75" hidden="false" customHeight="false" outlineLevel="0" collapsed="false">
      <c r="B101" s="195" t="n">
        <v>39387</v>
      </c>
      <c r="C101" s="196" t="n">
        <v>26.607</v>
      </c>
      <c r="D101" s="197" t="n">
        <v>0.179</v>
      </c>
      <c r="E101" s="198" t="n">
        <f aca="false">C101+(0.03*42)</f>
        <v>27.867</v>
      </c>
      <c r="F101" s="187" t="n">
        <f aca="false">E101/$F$4</f>
        <v>4.80465517241379</v>
      </c>
      <c r="H101" s="199" t="n">
        <f aca="false">(F101*$H$3)/1000</f>
        <v>46.0237918965517</v>
      </c>
    </row>
    <row r="102" customFormat="false" ht="12.75" hidden="false" customHeight="false" outlineLevel="0" collapsed="false">
      <c r="B102" s="195" t="n">
        <v>39417</v>
      </c>
      <c r="C102" s="196" t="n">
        <v>26.855</v>
      </c>
      <c r="D102" s="197" t="n">
        <v>0.179</v>
      </c>
      <c r="E102" s="198" t="n">
        <f aca="false">C102+(0.03*42)</f>
        <v>28.115</v>
      </c>
      <c r="F102" s="187" t="n">
        <f aca="false">E102/$F$4</f>
        <v>4.84741379310345</v>
      </c>
      <c r="H102" s="199" t="n">
        <f aca="false">(F102*$H$3)/1000</f>
        <v>46.4333767241379</v>
      </c>
    </row>
    <row r="103" customFormat="false" ht="12.75" hidden="false" customHeight="false" outlineLevel="0" collapsed="false">
      <c r="B103" s="195" t="n">
        <v>39448</v>
      </c>
      <c r="C103" s="196" t="n">
        <v>26.523</v>
      </c>
      <c r="D103" s="197" t="n">
        <v>0.176</v>
      </c>
      <c r="E103" s="198" t="n">
        <f aca="false">C103+(0.03*42)</f>
        <v>27.783</v>
      </c>
      <c r="F103" s="187" t="n">
        <f aca="false">E103/$F$4</f>
        <v>4.79017241379311</v>
      </c>
      <c r="H103" s="199" t="n">
        <f aca="false">(F103*$H$3)/1000</f>
        <v>45.8850615517242</v>
      </c>
    </row>
    <row r="104" customFormat="false" ht="12.75" hidden="false" customHeight="false" outlineLevel="0" collapsed="false">
      <c r="B104" s="195" t="n">
        <v>39479</v>
      </c>
      <c r="C104" s="196" t="n">
        <v>25.948</v>
      </c>
      <c r="D104" s="197" t="n">
        <v>0.176</v>
      </c>
      <c r="E104" s="198" t="n">
        <f aca="false">C104+(0.03*42)</f>
        <v>27.208</v>
      </c>
      <c r="F104" s="187" t="n">
        <f aca="false">E104/$F$4</f>
        <v>4.69103448275862</v>
      </c>
      <c r="H104" s="199" t="n">
        <f aca="false">(F104*$H$3)/1000</f>
        <v>44.9354193103448</v>
      </c>
    </row>
    <row r="105" customFormat="false" ht="12.75" hidden="false" customHeight="false" outlineLevel="0" collapsed="false">
      <c r="B105" s="195" t="n">
        <v>39508</v>
      </c>
      <c r="C105" s="196" t="n">
        <v>25.385</v>
      </c>
      <c r="D105" s="197" t="n">
        <v>0.176</v>
      </c>
      <c r="E105" s="198" t="n">
        <f aca="false">C105+(0.03*42)</f>
        <v>26.645</v>
      </c>
      <c r="F105" s="187" t="n">
        <f aca="false">E105/$F$4</f>
        <v>4.59396551724138</v>
      </c>
      <c r="H105" s="199" t="n">
        <f aca="false">(F105*$H$3)/1000</f>
        <v>44.0055956896552</v>
      </c>
    </row>
    <row r="106" customFormat="false" ht="12.75" hidden="false" customHeight="false" outlineLevel="0" collapsed="false">
      <c r="B106" s="195" t="n">
        <v>39539</v>
      </c>
      <c r="C106" s="196" t="n">
        <v>24.805</v>
      </c>
      <c r="D106" s="197" t="n">
        <v>0.176</v>
      </c>
      <c r="E106" s="198" t="n">
        <f aca="false">C106+(0.03*42)</f>
        <v>26.065</v>
      </c>
      <c r="F106" s="187" t="n">
        <f aca="false">E106/$F$4</f>
        <v>4.49396551724138</v>
      </c>
      <c r="H106" s="199" t="n">
        <f aca="false">(F106*$H$3)/1000</f>
        <v>43.0476956896552</v>
      </c>
    </row>
    <row r="107" customFormat="false" ht="12.75" hidden="false" customHeight="false" outlineLevel="0" collapsed="false">
      <c r="B107" s="195" t="n">
        <v>39569</v>
      </c>
      <c r="C107" s="196" t="n">
        <v>24.415</v>
      </c>
      <c r="D107" s="197" t="n">
        <v>0.176</v>
      </c>
      <c r="E107" s="198" t="n">
        <f aca="false">C107+(0.03*42)</f>
        <v>25.675</v>
      </c>
      <c r="F107" s="187" t="n">
        <f aca="false">E107/$F$4</f>
        <v>4.42672413793104</v>
      </c>
      <c r="H107" s="199" t="n">
        <f aca="false">(F107*$H$3)/1000</f>
        <v>42.4035905172414</v>
      </c>
    </row>
    <row r="108" customFormat="false" ht="12.75" hidden="false" customHeight="false" outlineLevel="0" collapsed="false">
      <c r="B108" s="195" t="n">
        <v>39600</v>
      </c>
      <c r="C108" s="196" t="n">
        <v>24.377</v>
      </c>
      <c r="D108" s="197" t="n">
        <v>0.176</v>
      </c>
      <c r="E108" s="198" t="n">
        <f aca="false">C108+(0.03*42)</f>
        <v>25.637</v>
      </c>
      <c r="F108" s="187" t="n">
        <f aca="false">E108/$F$4</f>
        <v>4.42017241379311</v>
      </c>
      <c r="H108" s="199" t="n">
        <f aca="false">(F108*$H$3)/1000</f>
        <v>42.3408315517242</v>
      </c>
    </row>
    <row r="109" customFormat="false" ht="12.75" hidden="false" customHeight="false" outlineLevel="0" collapsed="false">
      <c r="B109" s="195" t="n">
        <v>39630</v>
      </c>
      <c r="C109" s="196" t="n">
        <v>24.709</v>
      </c>
      <c r="D109" s="197" t="n">
        <v>0.176</v>
      </c>
      <c r="E109" s="198" t="n">
        <f aca="false">C109+(0.03*42)</f>
        <v>25.969</v>
      </c>
      <c r="F109" s="187" t="n">
        <f aca="false">E109/$F$4</f>
        <v>4.47741379310345</v>
      </c>
      <c r="H109" s="199" t="n">
        <f aca="false">(F109*$H$3)/1000</f>
        <v>42.8891467241379</v>
      </c>
    </row>
    <row r="110" customFormat="false" ht="12.75" hidden="false" customHeight="false" outlineLevel="0" collapsed="false">
      <c r="B110" s="195" t="n">
        <v>39661</v>
      </c>
      <c r="C110" s="196" t="n">
        <v>25.234</v>
      </c>
      <c r="D110" s="197" t="n">
        <v>0.176</v>
      </c>
      <c r="E110" s="198" t="n">
        <f aca="false">C110+(0.03*42)</f>
        <v>26.494</v>
      </c>
      <c r="F110" s="187" t="n">
        <f aca="false">E110/$F$4</f>
        <v>4.56793103448276</v>
      </c>
      <c r="H110" s="199" t="n">
        <f aca="false">(F110*$H$3)/1000</f>
        <v>43.7562113793104</v>
      </c>
    </row>
    <row r="111" customFormat="false" ht="12.75" hidden="false" customHeight="false" outlineLevel="0" collapsed="false">
      <c r="B111" s="195" t="n">
        <v>39692</v>
      </c>
      <c r="C111" s="196" t="n">
        <v>25.784</v>
      </c>
      <c r="D111" s="197" t="n">
        <v>0.176</v>
      </c>
      <c r="E111" s="198" t="n">
        <f aca="false">C111+(0.03*42)</f>
        <v>27.044</v>
      </c>
      <c r="F111" s="187" t="n">
        <f aca="false">E111/$F$4</f>
        <v>4.66275862068966</v>
      </c>
      <c r="H111" s="199" t="n">
        <f aca="false">(F111*$H$3)/1000</f>
        <v>44.6645648275862</v>
      </c>
    </row>
    <row r="112" customFormat="false" ht="12.75" hidden="false" customHeight="false" outlineLevel="0" collapsed="false">
      <c r="B112" s="195" t="n">
        <v>39722</v>
      </c>
      <c r="C112" s="196" t="n">
        <v>26.321</v>
      </c>
      <c r="D112" s="197" t="n">
        <v>0.176</v>
      </c>
      <c r="E112" s="198" t="n">
        <f aca="false">C112+(0.03*42)</f>
        <v>27.581</v>
      </c>
      <c r="F112" s="187" t="n">
        <f aca="false">E112/$F$4</f>
        <v>4.75534482758621</v>
      </c>
      <c r="H112" s="199" t="n">
        <f aca="false">(F112*$H$3)/1000</f>
        <v>45.5514481034483</v>
      </c>
    </row>
    <row r="113" customFormat="false" ht="12.75" hidden="false" customHeight="false" outlineLevel="0" collapsed="false">
      <c r="B113" s="195" t="n">
        <v>39753</v>
      </c>
      <c r="C113" s="196" t="n">
        <v>26.607</v>
      </c>
      <c r="D113" s="197" t="n">
        <v>0.176</v>
      </c>
      <c r="E113" s="198" t="n">
        <f aca="false">C113+(0.03*42)</f>
        <v>27.867</v>
      </c>
      <c r="F113" s="187" t="n">
        <f aca="false">E113/$F$4</f>
        <v>4.80465517241379</v>
      </c>
      <c r="H113" s="199" t="n">
        <f aca="false">(F113*$H$3)/1000</f>
        <v>46.0237918965517</v>
      </c>
    </row>
    <row r="114" customFormat="false" ht="12.75" hidden="false" customHeight="false" outlineLevel="0" collapsed="false">
      <c r="B114" s="195" t="n">
        <v>39783</v>
      </c>
      <c r="C114" s="196" t="n">
        <v>26.855</v>
      </c>
      <c r="D114" s="197" t="n">
        <v>0.176</v>
      </c>
      <c r="E114" s="198" t="n">
        <f aca="false">C114+(0.03*42)</f>
        <v>28.115</v>
      </c>
      <c r="F114" s="187" t="n">
        <f aca="false">E114/$F$4</f>
        <v>4.84741379310345</v>
      </c>
      <c r="H114" s="199" t="n">
        <f aca="false">(F114*$H$3)/1000</f>
        <v>46.4333767241379</v>
      </c>
    </row>
    <row r="115" customFormat="false" ht="12.75" hidden="false" customHeight="false" outlineLevel="0" collapsed="false">
      <c r="B115" s="195" t="n">
        <v>39814</v>
      </c>
      <c r="C115" s="196" t="n">
        <v>26.523</v>
      </c>
      <c r="D115" s="197" t="n">
        <v>0.176</v>
      </c>
      <c r="E115" s="198" t="n">
        <f aca="false">C115+(0.03*42)</f>
        <v>27.783</v>
      </c>
      <c r="F115" s="187" t="n">
        <f aca="false">E115/$F$4</f>
        <v>4.79017241379311</v>
      </c>
      <c r="H115" s="199" t="n">
        <f aca="false">(F115*$H$3)/1000</f>
        <v>45.8850615517242</v>
      </c>
    </row>
    <row r="116" customFormat="false" ht="12.75" hidden="false" customHeight="false" outlineLevel="0" collapsed="false">
      <c r="B116" s="195" t="n">
        <v>39845</v>
      </c>
      <c r="C116" s="196" t="n">
        <v>25.948</v>
      </c>
      <c r="D116" s="197" t="n">
        <v>0.176</v>
      </c>
      <c r="E116" s="198" t="n">
        <f aca="false">C116+(0.03*42)</f>
        <v>27.208</v>
      </c>
      <c r="F116" s="187" t="n">
        <f aca="false">E116/$F$4</f>
        <v>4.69103448275862</v>
      </c>
      <c r="H116" s="199" t="n">
        <f aca="false">(F116*$H$3)/1000</f>
        <v>44.9354193103448</v>
      </c>
    </row>
    <row r="117" customFormat="false" ht="12.75" hidden="false" customHeight="false" outlineLevel="0" collapsed="false">
      <c r="B117" s="195" t="n">
        <v>39873</v>
      </c>
      <c r="C117" s="196" t="n">
        <v>25.385</v>
      </c>
      <c r="D117" s="197" t="n">
        <v>0.176</v>
      </c>
      <c r="E117" s="198" t="n">
        <f aca="false">C117+(0.03*42)</f>
        <v>26.645</v>
      </c>
      <c r="F117" s="187" t="n">
        <f aca="false">E117/$F$4</f>
        <v>4.59396551724138</v>
      </c>
      <c r="H117" s="199" t="n">
        <f aca="false">(F117*$H$3)/1000</f>
        <v>44.0055956896552</v>
      </c>
    </row>
    <row r="118" customFormat="false" ht="12.75" hidden="false" customHeight="false" outlineLevel="0" collapsed="false">
      <c r="B118" s="195" t="n">
        <v>39904</v>
      </c>
      <c r="C118" s="196" t="n">
        <v>24.805</v>
      </c>
      <c r="D118" s="197" t="n">
        <v>0.176</v>
      </c>
      <c r="E118" s="198" t="n">
        <f aca="false">C118+(0.03*42)</f>
        <v>26.065</v>
      </c>
      <c r="F118" s="187" t="n">
        <f aca="false">E118/$F$4</f>
        <v>4.49396551724138</v>
      </c>
      <c r="H118" s="199" t="n">
        <f aca="false">(F118*$H$3)/1000</f>
        <v>43.0476956896552</v>
      </c>
    </row>
    <row r="119" customFormat="false" ht="12.75" hidden="false" customHeight="false" outlineLevel="0" collapsed="false">
      <c r="B119" s="195" t="n">
        <v>39934</v>
      </c>
      <c r="C119" s="196" t="n">
        <v>24.415</v>
      </c>
      <c r="D119" s="197" t="n">
        <v>0.176</v>
      </c>
      <c r="E119" s="198" t="n">
        <f aca="false">C119+(0.03*42)</f>
        <v>25.675</v>
      </c>
      <c r="F119" s="187" t="n">
        <f aca="false">E119/$F$4</f>
        <v>4.42672413793104</v>
      </c>
      <c r="H119" s="199" t="n">
        <f aca="false">(F119*$H$3)/1000</f>
        <v>42.4035905172414</v>
      </c>
    </row>
    <row r="120" customFormat="false" ht="12.75" hidden="false" customHeight="false" outlineLevel="0" collapsed="false">
      <c r="B120" s="195" t="n">
        <v>39965</v>
      </c>
      <c r="C120" s="196" t="n">
        <v>24.377</v>
      </c>
      <c r="D120" s="197" t="n">
        <v>0.176</v>
      </c>
      <c r="E120" s="198" t="n">
        <f aca="false">C120+(0.03*42)</f>
        <v>25.637</v>
      </c>
      <c r="F120" s="187" t="n">
        <f aca="false">E120/$F$4</f>
        <v>4.42017241379311</v>
      </c>
      <c r="H120" s="199" t="n">
        <f aca="false">(F120*$H$3)/1000</f>
        <v>42.3408315517242</v>
      </c>
    </row>
    <row r="121" customFormat="false" ht="12.75" hidden="false" customHeight="false" outlineLevel="0" collapsed="false">
      <c r="B121" s="195" t="n">
        <v>39995</v>
      </c>
      <c r="C121" s="196" t="n">
        <v>24.709</v>
      </c>
      <c r="D121" s="197" t="n">
        <v>0.176</v>
      </c>
      <c r="E121" s="198" t="n">
        <f aca="false">C121+(0.03*42)</f>
        <v>25.969</v>
      </c>
      <c r="F121" s="187" t="n">
        <f aca="false">E121/$F$4</f>
        <v>4.47741379310345</v>
      </c>
      <c r="H121" s="199" t="n">
        <f aca="false">(F121*$H$3)/1000</f>
        <v>42.8891467241379</v>
      </c>
    </row>
    <row r="122" customFormat="false" ht="12.75" hidden="false" customHeight="false" outlineLevel="0" collapsed="false">
      <c r="B122" s="195" t="n">
        <v>40026</v>
      </c>
      <c r="C122" s="196" t="n">
        <v>25.234</v>
      </c>
      <c r="D122" s="197" t="n">
        <v>0.176</v>
      </c>
      <c r="E122" s="198" t="n">
        <f aca="false">C122+(0.03*42)</f>
        <v>26.494</v>
      </c>
      <c r="F122" s="187" t="n">
        <f aca="false">E122/$F$4</f>
        <v>4.56793103448276</v>
      </c>
      <c r="H122" s="199" t="n">
        <f aca="false">(F122*$H$3)/1000</f>
        <v>43.7562113793104</v>
      </c>
    </row>
    <row r="123" customFormat="false" ht="12.75" hidden="false" customHeight="false" outlineLevel="0" collapsed="false">
      <c r="B123" s="195" t="n">
        <v>40057</v>
      </c>
      <c r="C123" s="196" t="n">
        <v>25.784</v>
      </c>
      <c r="D123" s="197" t="n">
        <v>0.176</v>
      </c>
      <c r="E123" s="198" t="n">
        <f aca="false">C123+(0.03*42)</f>
        <v>27.044</v>
      </c>
      <c r="F123" s="187" t="n">
        <f aca="false">E123/$F$4</f>
        <v>4.66275862068966</v>
      </c>
      <c r="H123" s="199" t="n">
        <f aca="false">(F123*$H$3)/1000</f>
        <v>44.6645648275862</v>
      </c>
    </row>
    <row r="124" customFormat="false" ht="12.75" hidden="false" customHeight="false" outlineLevel="0" collapsed="false">
      <c r="B124" s="195" t="n">
        <v>40087</v>
      </c>
      <c r="C124" s="196" t="n">
        <v>26.321</v>
      </c>
      <c r="D124" s="197" t="n">
        <v>0.176</v>
      </c>
      <c r="E124" s="198" t="n">
        <f aca="false">C124+(0.03*42)</f>
        <v>27.581</v>
      </c>
      <c r="F124" s="187" t="n">
        <f aca="false">E124/$F$4</f>
        <v>4.75534482758621</v>
      </c>
      <c r="H124" s="199" t="n">
        <f aca="false">(F124*$H$3)/1000</f>
        <v>45.5514481034483</v>
      </c>
    </row>
    <row r="125" customFormat="false" ht="12.75" hidden="false" customHeight="false" outlineLevel="0" collapsed="false">
      <c r="B125" s="195" t="n">
        <v>40118</v>
      </c>
      <c r="C125" s="196" t="n">
        <v>26.607</v>
      </c>
      <c r="D125" s="197" t="n">
        <v>0.176</v>
      </c>
      <c r="E125" s="198" t="n">
        <f aca="false">C125+(0.03*42)</f>
        <v>27.867</v>
      </c>
      <c r="F125" s="187" t="n">
        <f aca="false">E125/$F$4</f>
        <v>4.80465517241379</v>
      </c>
      <c r="H125" s="199" t="n">
        <f aca="false">(F125*$H$3)/1000</f>
        <v>46.0237918965517</v>
      </c>
    </row>
    <row r="126" customFormat="false" ht="12.75" hidden="false" customHeight="false" outlineLevel="0" collapsed="false">
      <c r="B126" s="195" t="n">
        <v>40148</v>
      </c>
      <c r="C126" s="196" t="n">
        <v>26.855</v>
      </c>
      <c r="D126" s="197" t="n">
        <v>0.176</v>
      </c>
      <c r="E126" s="198" t="n">
        <f aca="false">C126+(0.03*42)</f>
        <v>28.115</v>
      </c>
      <c r="F126" s="187" t="n">
        <f aca="false">E126/$F$4</f>
        <v>4.84741379310345</v>
      </c>
      <c r="H126" s="199" t="n">
        <f aca="false">(F126*$H$3)/1000</f>
        <v>46.4333767241379</v>
      </c>
    </row>
    <row r="127" customFormat="false" ht="12.75" hidden="false" customHeight="false" outlineLevel="0" collapsed="false">
      <c r="B127" s="195" t="n">
        <v>40179</v>
      </c>
      <c r="C127" s="196" t="n">
        <v>26.523</v>
      </c>
      <c r="D127" s="197" t="n">
        <v>0.176</v>
      </c>
      <c r="E127" s="198" t="n">
        <f aca="false">C127+(0.03*42)</f>
        <v>27.783</v>
      </c>
      <c r="F127" s="187" t="n">
        <f aca="false">E127/$F$4</f>
        <v>4.79017241379311</v>
      </c>
      <c r="H127" s="199" t="n">
        <f aca="false">(F127*$H$3)/1000</f>
        <v>45.8850615517242</v>
      </c>
    </row>
    <row r="128" customFormat="false" ht="12.75" hidden="false" customHeight="false" outlineLevel="0" collapsed="false">
      <c r="B128" s="195" t="n">
        <v>40210</v>
      </c>
      <c r="C128" s="196" t="n">
        <v>25.948</v>
      </c>
      <c r="D128" s="197" t="n">
        <v>0.176</v>
      </c>
      <c r="E128" s="198" t="n">
        <f aca="false">C128+(0.03*42)</f>
        <v>27.208</v>
      </c>
      <c r="F128" s="187" t="n">
        <f aca="false">E128/$F$4</f>
        <v>4.69103448275862</v>
      </c>
      <c r="H128" s="199" t="n">
        <f aca="false">(F128*$H$3)/1000</f>
        <v>44.9354193103448</v>
      </c>
    </row>
    <row r="129" customFormat="false" ht="12.75" hidden="false" customHeight="false" outlineLevel="0" collapsed="false">
      <c r="B129" s="195" t="n">
        <v>40238</v>
      </c>
      <c r="C129" s="196" t="n">
        <v>25.385</v>
      </c>
      <c r="D129" s="197" t="n">
        <v>0.176</v>
      </c>
      <c r="E129" s="198" t="n">
        <f aca="false">C129+(0.03*42)</f>
        <v>26.645</v>
      </c>
      <c r="F129" s="187" t="n">
        <f aca="false">E129/$F$4</f>
        <v>4.59396551724138</v>
      </c>
      <c r="H129" s="199" t="n">
        <f aca="false">(F129*$H$3)/1000</f>
        <v>44.0055956896552</v>
      </c>
    </row>
    <row r="130" customFormat="false" ht="12.75" hidden="false" customHeight="false" outlineLevel="0" collapsed="false">
      <c r="B130" s="195" t="n">
        <v>40269</v>
      </c>
      <c r="C130" s="196" t="n">
        <v>24.805</v>
      </c>
      <c r="D130" s="197" t="n">
        <v>0.176</v>
      </c>
      <c r="E130" s="198" t="n">
        <f aca="false">C130+(0.03*42)</f>
        <v>26.065</v>
      </c>
      <c r="F130" s="187" t="n">
        <f aca="false">E130/$F$4</f>
        <v>4.49396551724138</v>
      </c>
      <c r="H130" s="199" t="n">
        <f aca="false">(F130*$H$3)/1000</f>
        <v>43.0476956896552</v>
      </c>
    </row>
    <row r="131" customFormat="false" ht="12.75" hidden="false" customHeight="false" outlineLevel="0" collapsed="false">
      <c r="B131" s="195" t="n">
        <v>40299</v>
      </c>
      <c r="C131" s="196" t="n">
        <v>24.415</v>
      </c>
      <c r="D131" s="197" t="n">
        <v>0.176</v>
      </c>
      <c r="E131" s="198" t="n">
        <f aca="false">C131+(0.03*42)</f>
        <v>25.675</v>
      </c>
      <c r="F131" s="187" t="n">
        <f aca="false">E131/$F$4</f>
        <v>4.42672413793104</v>
      </c>
      <c r="H131" s="199" t="n">
        <f aca="false">(F131*$H$3)/1000</f>
        <v>42.4035905172414</v>
      </c>
    </row>
    <row r="132" customFormat="false" ht="12.75" hidden="false" customHeight="false" outlineLevel="0" collapsed="false">
      <c r="B132" s="195" t="n">
        <v>40330</v>
      </c>
      <c r="C132" s="196" t="n">
        <v>24.377</v>
      </c>
      <c r="D132" s="197" t="n">
        <v>0.176</v>
      </c>
      <c r="E132" s="198" t="n">
        <f aca="false">C132+(0.03*42)</f>
        <v>25.637</v>
      </c>
      <c r="F132" s="187" t="n">
        <f aca="false">E132/$F$4</f>
        <v>4.42017241379311</v>
      </c>
      <c r="H132" s="199" t="n">
        <f aca="false">(F132*$H$3)/1000</f>
        <v>42.3408315517242</v>
      </c>
    </row>
    <row r="133" customFormat="false" ht="12.75" hidden="false" customHeight="false" outlineLevel="0" collapsed="false">
      <c r="B133" s="195" t="n">
        <v>40360</v>
      </c>
      <c r="C133" s="196" t="n">
        <v>24.709</v>
      </c>
      <c r="D133" s="197" t="n">
        <v>0.176</v>
      </c>
      <c r="E133" s="198" t="n">
        <f aca="false">C133+(0.03*42)</f>
        <v>25.969</v>
      </c>
      <c r="F133" s="187" t="n">
        <f aca="false">E133/$F$4</f>
        <v>4.47741379310345</v>
      </c>
      <c r="H133" s="199" t="n">
        <f aca="false">(F133*$H$3)/1000</f>
        <v>42.8891467241379</v>
      </c>
    </row>
    <row r="134" customFormat="false" ht="12.75" hidden="false" customHeight="false" outlineLevel="0" collapsed="false">
      <c r="B134" s="195" t="n">
        <v>40391</v>
      </c>
      <c r="C134" s="196" t="n">
        <v>25.234</v>
      </c>
      <c r="D134" s="197" t="n">
        <v>0.176</v>
      </c>
      <c r="E134" s="198" t="n">
        <f aca="false">C134+(0.03*42)</f>
        <v>26.494</v>
      </c>
      <c r="F134" s="187" t="n">
        <f aca="false">E134/$F$4</f>
        <v>4.56793103448276</v>
      </c>
      <c r="H134" s="199" t="n">
        <f aca="false">(F134*$H$3)/1000</f>
        <v>43.7562113793104</v>
      </c>
    </row>
    <row r="135" customFormat="false" ht="12.75" hidden="false" customHeight="false" outlineLevel="0" collapsed="false">
      <c r="B135" s="195" t="n">
        <v>40422</v>
      </c>
      <c r="C135" s="196" t="n">
        <v>25.784</v>
      </c>
      <c r="D135" s="197" t="n">
        <v>0.176</v>
      </c>
      <c r="E135" s="198" t="n">
        <f aca="false">C135+(0.03*42)</f>
        <v>27.044</v>
      </c>
      <c r="F135" s="187" t="n">
        <f aca="false">E135/$F$4</f>
        <v>4.66275862068966</v>
      </c>
      <c r="H135" s="199" t="n">
        <f aca="false">(F135*$H$3)/1000</f>
        <v>44.6645648275862</v>
      </c>
    </row>
    <row r="136" customFormat="false" ht="12.75" hidden="false" customHeight="false" outlineLevel="0" collapsed="false">
      <c r="B136" s="195" t="n">
        <v>40452</v>
      </c>
      <c r="C136" s="196" t="n">
        <v>26.321</v>
      </c>
      <c r="D136" s="197" t="n">
        <v>0.176</v>
      </c>
      <c r="E136" s="198" t="n">
        <f aca="false">C136+(0.03*42)</f>
        <v>27.581</v>
      </c>
      <c r="F136" s="187" t="n">
        <f aca="false">E136/$F$4</f>
        <v>4.75534482758621</v>
      </c>
      <c r="H136" s="199" t="n">
        <f aca="false">(F136*$H$3)/1000</f>
        <v>45.5514481034483</v>
      </c>
    </row>
    <row r="137" customFormat="false" ht="12.75" hidden="false" customHeight="false" outlineLevel="0" collapsed="false">
      <c r="B137" s="195" t="n">
        <v>40483</v>
      </c>
      <c r="C137" s="196" t="n">
        <v>26.607</v>
      </c>
      <c r="D137" s="197" t="n">
        <v>0.176</v>
      </c>
      <c r="E137" s="198" t="n">
        <f aca="false">C137+(0.03*42)</f>
        <v>27.867</v>
      </c>
      <c r="F137" s="187" t="n">
        <f aca="false">E137/$F$4</f>
        <v>4.80465517241379</v>
      </c>
      <c r="H137" s="199" t="n">
        <f aca="false">(F137*$H$3)/1000</f>
        <v>46.0237918965517</v>
      </c>
    </row>
    <row r="138" customFormat="false" ht="12.75" hidden="false" customHeight="false" outlineLevel="0" collapsed="false">
      <c r="B138" s="195" t="n">
        <v>40513</v>
      </c>
      <c r="C138" s="196" t="n">
        <v>26.855</v>
      </c>
      <c r="D138" s="197" t="n">
        <v>0.176</v>
      </c>
      <c r="E138" s="198" t="n">
        <f aca="false">C138+(0.03*42)</f>
        <v>28.115</v>
      </c>
      <c r="F138" s="187" t="n">
        <f aca="false">E138/$F$4</f>
        <v>4.84741379310345</v>
      </c>
      <c r="H138" s="199" t="n">
        <f aca="false">(F138*$H$3)/1000</f>
        <v>46.4333767241379</v>
      </c>
    </row>
    <row r="139" customFormat="false" ht="12.75" hidden="false" customHeight="false" outlineLevel="0" collapsed="false">
      <c r="B139" s="195" t="n">
        <v>40544</v>
      </c>
      <c r="C139" s="196" t="n">
        <v>26.523</v>
      </c>
      <c r="D139" s="197" t="n">
        <v>0.176</v>
      </c>
      <c r="E139" s="198" t="n">
        <f aca="false">C139+(0.03*42)</f>
        <v>27.783</v>
      </c>
      <c r="F139" s="187" t="n">
        <f aca="false">E139/$F$4</f>
        <v>4.79017241379311</v>
      </c>
      <c r="H139" s="199" t="n">
        <f aca="false">(F139*$H$3)/1000</f>
        <v>45.8850615517242</v>
      </c>
    </row>
    <row r="140" customFormat="false" ht="12.75" hidden="false" customHeight="false" outlineLevel="0" collapsed="false">
      <c r="B140" s="195" t="n">
        <v>40575</v>
      </c>
      <c r="C140" s="196" t="n">
        <v>25.948</v>
      </c>
      <c r="D140" s="197" t="n">
        <v>0.176</v>
      </c>
      <c r="E140" s="198" t="n">
        <f aca="false">C140+(0.03*42)</f>
        <v>27.208</v>
      </c>
      <c r="F140" s="187" t="n">
        <f aca="false">E140/$F$4</f>
        <v>4.69103448275862</v>
      </c>
      <c r="H140" s="199" t="n">
        <f aca="false">(F140*$H$3)/1000</f>
        <v>44.9354193103448</v>
      </c>
    </row>
    <row r="141" customFormat="false" ht="12.75" hidden="false" customHeight="false" outlineLevel="0" collapsed="false">
      <c r="B141" s="195" t="n">
        <v>40603</v>
      </c>
      <c r="C141" s="196" t="n">
        <v>25.385</v>
      </c>
      <c r="D141" s="197" t="n">
        <v>0.176</v>
      </c>
      <c r="E141" s="198" t="n">
        <f aca="false">C141+(0.03*42)</f>
        <v>26.645</v>
      </c>
      <c r="F141" s="187" t="n">
        <f aca="false">E141/$F$4</f>
        <v>4.59396551724138</v>
      </c>
      <c r="H141" s="199" t="n">
        <f aca="false">(F141*$H$3)/1000</f>
        <v>44.0055956896552</v>
      </c>
    </row>
    <row r="142" customFormat="false" ht="12.75" hidden="false" customHeight="false" outlineLevel="0" collapsed="false">
      <c r="B142" s="195" t="n">
        <v>40634</v>
      </c>
      <c r="C142" s="196" t="n">
        <v>24.805</v>
      </c>
      <c r="D142" s="197" t="n">
        <v>0.176</v>
      </c>
      <c r="E142" s="198" t="n">
        <f aca="false">C142+(0.03*42)</f>
        <v>26.065</v>
      </c>
      <c r="F142" s="187" t="n">
        <f aca="false">E142/$F$4</f>
        <v>4.49396551724138</v>
      </c>
      <c r="H142" s="199" t="n">
        <f aca="false">(F142*$H$3)/1000</f>
        <v>43.0476956896552</v>
      </c>
    </row>
    <row r="143" customFormat="false" ht="12.75" hidden="false" customHeight="false" outlineLevel="0" collapsed="false">
      <c r="B143" s="195" t="n">
        <v>40664</v>
      </c>
      <c r="C143" s="196" t="n">
        <v>24.415</v>
      </c>
      <c r="D143" s="197" t="n">
        <v>0.176</v>
      </c>
      <c r="E143" s="198" t="n">
        <f aca="false">C143+(0.03*42)</f>
        <v>25.675</v>
      </c>
      <c r="F143" s="187" t="n">
        <f aca="false">E143/$F$4</f>
        <v>4.42672413793104</v>
      </c>
      <c r="H143" s="199" t="n">
        <f aca="false">(F143*$H$3)/1000</f>
        <v>42.4035905172414</v>
      </c>
    </row>
    <row r="144" customFormat="false" ht="12.75" hidden="false" customHeight="false" outlineLevel="0" collapsed="false">
      <c r="B144" s="195" t="n">
        <v>40695</v>
      </c>
      <c r="C144" s="196" t="n">
        <v>24.377</v>
      </c>
      <c r="D144" s="197" t="n">
        <v>0.176</v>
      </c>
      <c r="E144" s="198" t="n">
        <f aca="false">C144+(0.03*42)</f>
        <v>25.637</v>
      </c>
      <c r="F144" s="187" t="n">
        <f aca="false">E144/$F$4</f>
        <v>4.42017241379311</v>
      </c>
      <c r="H144" s="199" t="n">
        <f aca="false">(F144*$H$3)/1000</f>
        <v>42.3408315517242</v>
      </c>
    </row>
    <row r="145" customFormat="false" ht="12.75" hidden="false" customHeight="false" outlineLevel="0" collapsed="false">
      <c r="B145" s="195" t="n">
        <v>40725</v>
      </c>
      <c r="C145" s="196" t="n">
        <v>24.709</v>
      </c>
      <c r="D145" s="197" t="n">
        <v>0.176</v>
      </c>
      <c r="E145" s="198" t="n">
        <f aca="false">C145+(0.03*42)</f>
        <v>25.969</v>
      </c>
      <c r="F145" s="187" t="n">
        <f aca="false">E145/$F$4</f>
        <v>4.47741379310345</v>
      </c>
      <c r="H145" s="199" t="n">
        <f aca="false">(F145*$H$3)/1000</f>
        <v>42.8891467241379</v>
      </c>
    </row>
    <row r="146" customFormat="false" ht="12.75" hidden="false" customHeight="false" outlineLevel="0" collapsed="false">
      <c r="B146" s="195" t="n">
        <v>40756</v>
      </c>
      <c r="C146" s="196" t="n">
        <v>25.234</v>
      </c>
      <c r="D146" s="197" t="n">
        <v>0.176</v>
      </c>
      <c r="E146" s="198" t="n">
        <f aca="false">C146+(0.03*42)</f>
        <v>26.494</v>
      </c>
      <c r="F146" s="187" t="n">
        <f aca="false">E146/$F$4</f>
        <v>4.56793103448276</v>
      </c>
      <c r="H146" s="199" t="n">
        <f aca="false">(F146*$H$3)/1000</f>
        <v>43.7562113793104</v>
      </c>
    </row>
    <row r="147" customFormat="false" ht="12.75" hidden="false" customHeight="false" outlineLevel="0" collapsed="false">
      <c r="B147" s="195" t="n">
        <v>40787</v>
      </c>
      <c r="C147" s="196" t="n">
        <v>25.784</v>
      </c>
      <c r="D147" s="197" t="n">
        <v>0.176</v>
      </c>
      <c r="E147" s="198" t="n">
        <f aca="false">C147+(0.03*42)</f>
        <v>27.044</v>
      </c>
      <c r="F147" s="187" t="n">
        <f aca="false">E147/$F$4</f>
        <v>4.66275862068966</v>
      </c>
      <c r="H147" s="199" t="n">
        <f aca="false">(F147*$H$3)/1000</f>
        <v>44.6645648275862</v>
      </c>
    </row>
    <row r="148" customFormat="false" ht="12.75" hidden="false" customHeight="false" outlineLevel="0" collapsed="false">
      <c r="B148" s="195" t="n">
        <v>40817</v>
      </c>
      <c r="C148" s="196" t="n">
        <v>26.321</v>
      </c>
      <c r="D148" s="197" t="n">
        <v>0.176</v>
      </c>
      <c r="E148" s="198" t="n">
        <f aca="false">C148+(0.03*42)</f>
        <v>27.581</v>
      </c>
      <c r="F148" s="187" t="n">
        <f aca="false">E148/$F$4</f>
        <v>4.75534482758621</v>
      </c>
      <c r="H148" s="199" t="n">
        <f aca="false">(F148*$H$3)/1000</f>
        <v>45.5514481034483</v>
      </c>
    </row>
    <row r="149" customFormat="false" ht="12.75" hidden="false" customHeight="false" outlineLevel="0" collapsed="false">
      <c r="B149" s="195" t="n">
        <v>40848</v>
      </c>
      <c r="C149" s="196" t="n">
        <v>26.607</v>
      </c>
      <c r="D149" s="197" t="n">
        <v>0.176</v>
      </c>
      <c r="E149" s="198" t="n">
        <f aca="false">C149+(0.03*42)</f>
        <v>27.867</v>
      </c>
      <c r="F149" s="187" t="n">
        <f aca="false">E149/$F$4</f>
        <v>4.80465517241379</v>
      </c>
      <c r="H149" s="199" t="n">
        <f aca="false">(F149*$H$3)/1000</f>
        <v>46.0237918965517</v>
      </c>
    </row>
    <row r="150" customFormat="false" ht="12.75" hidden="false" customHeight="false" outlineLevel="0" collapsed="false">
      <c r="B150" s="195" t="n">
        <v>40878</v>
      </c>
      <c r="C150" s="196" t="n">
        <v>26.855</v>
      </c>
      <c r="D150" s="197" t="n">
        <v>0.176</v>
      </c>
      <c r="E150" s="198" t="n">
        <f aca="false">C150+(0.03*42)</f>
        <v>28.115</v>
      </c>
      <c r="F150" s="187" t="n">
        <f aca="false">E150/$F$4</f>
        <v>4.84741379310345</v>
      </c>
      <c r="H150" s="199" t="n">
        <f aca="false">(F150*$H$3)/1000</f>
        <v>46.4333767241379</v>
      </c>
    </row>
    <row r="151" customFormat="false" ht="12.75" hidden="false" customHeight="false" outlineLevel="0" collapsed="false">
      <c r="B151" s="195" t="n">
        <v>40909</v>
      </c>
      <c r="C151" s="196" t="n">
        <v>26.523</v>
      </c>
      <c r="D151" s="197" t="n">
        <v>0.176</v>
      </c>
      <c r="E151" s="198" t="n">
        <f aca="false">C151+(0.03*42)</f>
        <v>27.783</v>
      </c>
      <c r="F151" s="187" t="n">
        <f aca="false">E151/$F$4</f>
        <v>4.79017241379311</v>
      </c>
      <c r="H151" s="199" t="n">
        <f aca="false">(F151*$H$3)/1000</f>
        <v>45.8850615517242</v>
      </c>
    </row>
    <row r="152" customFormat="false" ht="12.75" hidden="false" customHeight="false" outlineLevel="0" collapsed="false">
      <c r="B152" s="195" t="n">
        <v>40940</v>
      </c>
      <c r="C152" s="196" t="n">
        <v>25.948</v>
      </c>
      <c r="D152" s="197" t="n">
        <v>0.176</v>
      </c>
      <c r="E152" s="198" t="n">
        <f aca="false">C152+(0.03*42)</f>
        <v>27.208</v>
      </c>
      <c r="F152" s="187" t="n">
        <f aca="false">E152/$F$4</f>
        <v>4.69103448275862</v>
      </c>
      <c r="H152" s="199" t="n">
        <f aca="false">(F152*$H$3)/1000</f>
        <v>44.9354193103448</v>
      </c>
    </row>
    <row r="153" customFormat="false" ht="12.75" hidden="false" customHeight="false" outlineLevel="0" collapsed="false">
      <c r="B153" s="195" t="n">
        <v>40969</v>
      </c>
      <c r="C153" s="196" t="n">
        <v>25.385</v>
      </c>
      <c r="D153" s="197" t="n">
        <v>0.176</v>
      </c>
      <c r="E153" s="198" t="n">
        <f aca="false">C153+(0.03*42)</f>
        <v>26.645</v>
      </c>
      <c r="F153" s="187" t="n">
        <f aca="false">E153/$F$4</f>
        <v>4.59396551724138</v>
      </c>
      <c r="H153" s="199" t="n">
        <f aca="false">(F153*$H$3)/1000</f>
        <v>44.0055956896552</v>
      </c>
    </row>
    <row r="154" customFormat="false" ht="12.75" hidden="false" customHeight="false" outlineLevel="0" collapsed="false">
      <c r="B154" s="195" t="n">
        <v>41000</v>
      </c>
      <c r="C154" s="196" t="n">
        <v>24.805</v>
      </c>
      <c r="D154" s="197" t="n">
        <v>0.176</v>
      </c>
      <c r="E154" s="198" t="n">
        <f aca="false">C154+(0.03*42)</f>
        <v>26.065</v>
      </c>
      <c r="F154" s="187" t="n">
        <f aca="false">E154/$F$4</f>
        <v>4.49396551724138</v>
      </c>
      <c r="H154" s="199" t="n">
        <f aca="false">(F154*$H$3)/1000</f>
        <v>43.0476956896552</v>
      </c>
    </row>
    <row r="155" customFormat="false" ht="12.75" hidden="false" customHeight="false" outlineLevel="0" collapsed="false">
      <c r="B155" s="195" t="n">
        <v>41030</v>
      </c>
      <c r="C155" s="196" t="n">
        <v>24.415</v>
      </c>
      <c r="D155" s="197" t="n">
        <v>0.176</v>
      </c>
      <c r="E155" s="198" t="n">
        <f aca="false">C155+(0.03*42)</f>
        <v>25.675</v>
      </c>
      <c r="F155" s="187" t="n">
        <f aca="false">E155/$F$4</f>
        <v>4.42672413793104</v>
      </c>
      <c r="H155" s="199" t="n">
        <f aca="false">(F155*$H$3)/1000</f>
        <v>42.4035905172414</v>
      </c>
    </row>
    <row r="156" customFormat="false" ht="12.75" hidden="false" customHeight="false" outlineLevel="0" collapsed="false">
      <c r="B156" s="195" t="n">
        <v>41061</v>
      </c>
      <c r="C156" s="196" t="n">
        <v>24.377</v>
      </c>
      <c r="D156" s="197" t="n">
        <v>0.176</v>
      </c>
      <c r="E156" s="198" t="n">
        <f aca="false">C156+(0.03*42)</f>
        <v>25.637</v>
      </c>
      <c r="F156" s="187" t="n">
        <f aca="false">E156/$F$4</f>
        <v>4.42017241379311</v>
      </c>
      <c r="H156" s="199" t="n">
        <f aca="false">(F156*$H$3)/1000</f>
        <v>42.3408315517242</v>
      </c>
    </row>
    <row r="157" customFormat="false" ht="12.75" hidden="false" customHeight="false" outlineLevel="0" collapsed="false">
      <c r="B157" s="195" t="n">
        <v>41091</v>
      </c>
      <c r="C157" s="196" t="n">
        <v>24.709</v>
      </c>
      <c r="D157" s="197" t="n">
        <v>0.176</v>
      </c>
      <c r="E157" s="198" t="n">
        <f aca="false">C157+(0.03*42)</f>
        <v>25.969</v>
      </c>
      <c r="F157" s="187" t="n">
        <f aca="false">E157/$F$4</f>
        <v>4.47741379310345</v>
      </c>
      <c r="H157" s="199" t="n">
        <f aca="false">(F157*$H$3)/1000</f>
        <v>42.8891467241379</v>
      </c>
    </row>
    <row r="158" customFormat="false" ht="12.75" hidden="false" customHeight="false" outlineLevel="0" collapsed="false">
      <c r="B158" s="195" t="n">
        <v>41122</v>
      </c>
      <c r="C158" s="196" t="n">
        <v>25.234</v>
      </c>
      <c r="D158" s="197" t="n">
        <v>0.176</v>
      </c>
      <c r="E158" s="198" t="n">
        <f aca="false">C158+(0.03*42)</f>
        <v>26.494</v>
      </c>
      <c r="F158" s="187" t="n">
        <f aca="false">E158/$F$4</f>
        <v>4.56793103448276</v>
      </c>
      <c r="H158" s="199" t="n">
        <f aca="false">(F158*$H$3)/1000</f>
        <v>43.7562113793104</v>
      </c>
    </row>
    <row r="159" customFormat="false" ht="12.75" hidden="false" customHeight="false" outlineLevel="0" collapsed="false">
      <c r="B159" s="195" t="n">
        <v>41153</v>
      </c>
      <c r="C159" s="196" t="n">
        <v>25.784</v>
      </c>
      <c r="D159" s="197" t="n">
        <v>0.176</v>
      </c>
      <c r="E159" s="198" t="n">
        <f aca="false">C159+(0.03*42)</f>
        <v>27.044</v>
      </c>
      <c r="F159" s="187" t="n">
        <f aca="false">E159/$F$4</f>
        <v>4.66275862068966</v>
      </c>
      <c r="H159" s="199" t="n">
        <f aca="false">(F159*$H$3)/1000</f>
        <v>44.6645648275862</v>
      </c>
    </row>
    <row r="160" customFormat="false" ht="12.75" hidden="false" customHeight="false" outlineLevel="0" collapsed="false">
      <c r="B160" s="195" t="n">
        <v>41183</v>
      </c>
      <c r="C160" s="196" t="n">
        <v>26.321</v>
      </c>
      <c r="D160" s="197" t="n">
        <v>0.176</v>
      </c>
      <c r="E160" s="198" t="n">
        <f aca="false">C160+(0.03*42)</f>
        <v>27.581</v>
      </c>
      <c r="F160" s="187" t="n">
        <f aca="false">E160/$F$4</f>
        <v>4.75534482758621</v>
      </c>
      <c r="H160" s="199" t="n">
        <f aca="false">(F160*$H$3)/1000</f>
        <v>45.5514481034483</v>
      </c>
    </row>
    <row r="161" customFormat="false" ht="12.75" hidden="false" customHeight="false" outlineLevel="0" collapsed="false">
      <c r="B161" s="195" t="n">
        <v>41214</v>
      </c>
      <c r="C161" s="196" t="n">
        <v>26.607</v>
      </c>
      <c r="D161" s="197" t="n">
        <v>0.176</v>
      </c>
      <c r="E161" s="198" t="n">
        <f aca="false">C161+(0.03*42)</f>
        <v>27.867</v>
      </c>
      <c r="F161" s="187" t="n">
        <f aca="false">E161/$F$4</f>
        <v>4.80465517241379</v>
      </c>
      <c r="H161" s="199" t="n">
        <f aca="false">(F161*$H$3)/1000</f>
        <v>46.0237918965517</v>
      </c>
    </row>
    <row r="162" customFormat="false" ht="12.75" hidden="false" customHeight="false" outlineLevel="0" collapsed="false">
      <c r="B162" s="195" t="n">
        <v>41244</v>
      </c>
      <c r="C162" s="196" t="n">
        <v>26.855</v>
      </c>
      <c r="D162" s="197" t="n">
        <v>0.176</v>
      </c>
      <c r="E162" s="198" t="n">
        <f aca="false">C162+(0.03*42)</f>
        <v>28.115</v>
      </c>
      <c r="F162" s="187" t="n">
        <f aca="false">E162/$F$4</f>
        <v>4.84741379310345</v>
      </c>
      <c r="H162" s="199" t="n">
        <f aca="false">(F162*$H$3)/1000</f>
        <v>46.4333767241379</v>
      </c>
    </row>
    <row r="163" customFormat="false" ht="12.75" hidden="false" customHeight="false" outlineLevel="0" collapsed="false">
      <c r="B163" s="195" t="n">
        <v>41275</v>
      </c>
      <c r="C163" s="196" t="n">
        <v>26.523</v>
      </c>
      <c r="D163" s="197" t="n">
        <v>0.176</v>
      </c>
      <c r="E163" s="198" t="n">
        <f aca="false">C163+(0.03*42)</f>
        <v>27.783</v>
      </c>
      <c r="F163" s="187" t="n">
        <f aca="false">E163/$F$4</f>
        <v>4.79017241379311</v>
      </c>
      <c r="H163" s="199" t="n">
        <f aca="false">(F163*$H$3)/1000</f>
        <v>45.8850615517242</v>
      </c>
    </row>
    <row r="164" customFormat="false" ht="12.75" hidden="false" customHeight="false" outlineLevel="0" collapsed="false">
      <c r="B164" s="195" t="n">
        <v>41306</v>
      </c>
      <c r="C164" s="196" t="n">
        <v>25.948</v>
      </c>
      <c r="D164" s="197" t="n">
        <v>0.176</v>
      </c>
      <c r="E164" s="198" t="n">
        <f aca="false">C164+(0.03*42)</f>
        <v>27.208</v>
      </c>
      <c r="F164" s="187" t="n">
        <f aca="false">E164/$F$4</f>
        <v>4.69103448275862</v>
      </c>
      <c r="H164" s="199" t="n">
        <f aca="false">(F164*$H$3)/1000</f>
        <v>44.9354193103448</v>
      </c>
    </row>
    <row r="165" customFormat="false" ht="12.75" hidden="false" customHeight="false" outlineLevel="0" collapsed="false">
      <c r="B165" s="195" t="n">
        <v>41334</v>
      </c>
      <c r="C165" s="196" t="n">
        <v>25.385</v>
      </c>
      <c r="D165" s="197" t="n">
        <v>0.176</v>
      </c>
      <c r="E165" s="198" t="n">
        <f aca="false">C165+(0.03*42)</f>
        <v>26.645</v>
      </c>
      <c r="F165" s="187" t="n">
        <f aca="false">E165/$F$4</f>
        <v>4.59396551724138</v>
      </c>
      <c r="H165" s="199" t="n">
        <f aca="false">(F165*$H$3)/1000</f>
        <v>44.0055956896552</v>
      </c>
    </row>
    <row r="166" customFormat="false" ht="12.75" hidden="false" customHeight="false" outlineLevel="0" collapsed="false">
      <c r="B166" s="195" t="n">
        <v>41365</v>
      </c>
      <c r="C166" s="196" t="n">
        <v>24.805</v>
      </c>
      <c r="D166" s="197" t="n">
        <v>0.176</v>
      </c>
      <c r="E166" s="198" t="n">
        <f aca="false">C166+(0.03*42)</f>
        <v>26.065</v>
      </c>
      <c r="F166" s="187" t="n">
        <f aca="false">E166/$F$4</f>
        <v>4.49396551724138</v>
      </c>
      <c r="H166" s="199" t="n">
        <f aca="false">(F166*$H$3)/1000</f>
        <v>43.0476956896552</v>
      </c>
    </row>
    <row r="167" customFormat="false" ht="12.75" hidden="false" customHeight="false" outlineLevel="0" collapsed="false">
      <c r="B167" s="195" t="n">
        <v>41395</v>
      </c>
      <c r="C167" s="196" t="n">
        <v>24.415</v>
      </c>
      <c r="D167" s="197" t="n">
        <v>0.176</v>
      </c>
      <c r="E167" s="198" t="n">
        <f aca="false">C167+(0.03*42)</f>
        <v>25.675</v>
      </c>
      <c r="F167" s="187" t="n">
        <f aca="false">E167/$F$4</f>
        <v>4.42672413793104</v>
      </c>
      <c r="H167" s="199" t="n">
        <f aca="false">(F167*$H$3)/1000</f>
        <v>42.4035905172414</v>
      </c>
    </row>
    <row r="168" customFormat="false" ht="12.75" hidden="false" customHeight="false" outlineLevel="0" collapsed="false">
      <c r="B168" s="195" t="n">
        <v>41426</v>
      </c>
      <c r="C168" s="196" t="n">
        <v>24.377</v>
      </c>
      <c r="D168" s="197" t="n">
        <v>0.176</v>
      </c>
      <c r="E168" s="198" t="n">
        <f aca="false">C168+(0.03*42)</f>
        <v>25.637</v>
      </c>
      <c r="F168" s="187" t="n">
        <f aca="false">E168/$F$4</f>
        <v>4.42017241379311</v>
      </c>
      <c r="H168" s="199" t="n">
        <f aca="false">(F168*$H$3)/1000</f>
        <v>42.3408315517242</v>
      </c>
    </row>
    <row r="169" customFormat="false" ht="12.75" hidden="false" customHeight="false" outlineLevel="0" collapsed="false">
      <c r="B169" s="195" t="n">
        <v>41456</v>
      </c>
      <c r="C169" s="196" t="n">
        <v>24.709</v>
      </c>
      <c r="D169" s="197" t="n">
        <v>0.176</v>
      </c>
      <c r="E169" s="198" t="n">
        <f aca="false">C169+(0.03*42)</f>
        <v>25.969</v>
      </c>
      <c r="F169" s="187" t="n">
        <f aca="false">E169/$F$4</f>
        <v>4.47741379310345</v>
      </c>
      <c r="H169" s="199" t="n">
        <f aca="false">(F169*$H$3)/1000</f>
        <v>42.8891467241379</v>
      </c>
    </row>
    <row r="170" customFormat="false" ht="12.75" hidden="false" customHeight="false" outlineLevel="0" collapsed="false">
      <c r="B170" s="195" t="n">
        <v>41487</v>
      </c>
      <c r="C170" s="196" t="n">
        <v>25.234</v>
      </c>
      <c r="D170" s="197" t="n">
        <v>0.176</v>
      </c>
      <c r="E170" s="198" t="n">
        <f aca="false">C170+(0.03*42)</f>
        <v>26.494</v>
      </c>
      <c r="F170" s="187" t="n">
        <f aca="false">E170/$F$4</f>
        <v>4.56793103448276</v>
      </c>
      <c r="H170" s="199" t="n">
        <f aca="false">(F170*$H$3)/1000</f>
        <v>43.7562113793104</v>
      </c>
    </row>
    <row r="171" customFormat="false" ht="12.75" hidden="false" customHeight="false" outlineLevel="0" collapsed="false">
      <c r="B171" s="195" t="n">
        <v>41518</v>
      </c>
      <c r="C171" s="196" t="n">
        <v>25.784</v>
      </c>
      <c r="D171" s="197" t="n">
        <v>0.176</v>
      </c>
      <c r="E171" s="198" t="n">
        <f aca="false">C171+(0.03*42)</f>
        <v>27.044</v>
      </c>
      <c r="F171" s="187" t="n">
        <f aca="false">E171/$F$4</f>
        <v>4.66275862068966</v>
      </c>
      <c r="H171" s="199" t="n">
        <f aca="false">(F171*$H$3)/1000</f>
        <v>44.6645648275862</v>
      </c>
    </row>
    <row r="172" customFormat="false" ht="12.75" hidden="false" customHeight="false" outlineLevel="0" collapsed="false">
      <c r="B172" s="195" t="n">
        <v>41548</v>
      </c>
      <c r="C172" s="196" t="n">
        <v>26.321</v>
      </c>
      <c r="D172" s="197" t="n">
        <v>0.176</v>
      </c>
      <c r="E172" s="198" t="n">
        <f aca="false">C172+(0.03*42)</f>
        <v>27.581</v>
      </c>
      <c r="F172" s="187" t="n">
        <f aca="false">E172/$F$4</f>
        <v>4.75534482758621</v>
      </c>
      <c r="H172" s="199" t="n">
        <f aca="false">(F172*$H$3)/1000</f>
        <v>45.5514481034483</v>
      </c>
    </row>
    <row r="173" customFormat="false" ht="12.75" hidden="false" customHeight="false" outlineLevel="0" collapsed="false">
      <c r="B173" s="195" t="n">
        <v>41579</v>
      </c>
      <c r="C173" s="196" t="n">
        <v>26.607</v>
      </c>
      <c r="D173" s="197" t="n">
        <v>0.176</v>
      </c>
      <c r="E173" s="198" t="n">
        <f aca="false">C173+(0.03*42)</f>
        <v>27.867</v>
      </c>
      <c r="F173" s="187" t="n">
        <f aca="false">E173/$F$4</f>
        <v>4.80465517241379</v>
      </c>
      <c r="H173" s="199" t="n">
        <f aca="false">(F173*$H$3)/1000</f>
        <v>46.0237918965517</v>
      </c>
    </row>
    <row r="174" customFormat="false" ht="12.75" hidden="false" customHeight="false" outlineLevel="0" collapsed="false">
      <c r="B174" s="195" t="n">
        <v>41609</v>
      </c>
      <c r="C174" s="196" t="n">
        <v>26.855</v>
      </c>
      <c r="D174" s="197" t="n">
        <v>0.176</v>
      </c>
      <c r="E174" s="198" t="n">
        <f aca="false">C174+(0.03*42)</f>
        <v>28.115</v>
      </c>
      <c r="F174" s="187" t="n">
        <f aca="false">E174/$F$4</f>
        <v>4.84741379310345</v>
      </c>
      <c r="H174" s="199" t="n">
        <f aca="false">(F174*$H$3)/1000</f>
        <v>46.4333767241379</v>
      </c>
    </row>
    <row r="175" customFormat="false" ht="12.75" hidden="false" customHeight="false" outlineLevel="0" collapsed="false">
      <c r="B175" s="195" t="n">
        <v>41640</v>
      </c>
      <c r="C175" s="196" t="n">
        <v>26.523</v>
      </c>
      <c r="D175" s="197" t="n">
        <v>0.176</v>
      </c>
      <c r="E175" s="198" t="n">
        <f aca="false">C175+(0.03*42)</f>
        <v>27.783</v>
      </c>
      <c r="F175" s="187" t="n">
        <f aca="false">E175/$F$4</f>
        <v>4.79017241379311</v>
      </c>
      <c r="H175" s="199" t="n">
        <f aca="false">(F175*$H$3)/1000</f>
        <v>45.8850615517242</v>
      </c>
    </row>
    <row r="176" customFormat="false" ht="12.75" hidden="false" customHeight="false" outlineLevel="0" collapsed="false">
      <c r="B176" s="195" t="n">
        <v>41671</v>
      </c>
      <c r="C176" s="196" t="n">
        <v>25.948</v>
      </c>
      <c r="D176" s="197" t="n">
        <v>0.176</v>
      </c>
      <c r="E176" s="198" t="n">
        <f aca="false">C176+(0.03*42)</f>
        <v>27.208</v>
      </c>
      <c r="F176" s="187" t="n">
        <f aca="false">E176/$F$4</f>
        <v>4.69103448275862</v>
      </c>
      <c r="H176" s="199" t="n">
        <f aca="false">(F176*$H$3)/1000</f>
        <v>44.9354193103448</v>
      </c>
    </row>
    <row r="177" customFormat="false" ht="12.75" hidden="false" customHeight="false" outlineLevel="0" collapsed="false">
      <c r="B177" s="195" t="n">
        <v>41699</v>
      </c>
      <c r="C177" s="196" t="n">
        <v>25.385</v>
      </c>
      <c r="D177" s="197" t="n">
        <v>0.176</v>
      </c>
      <c r="E177" s="198" t="n">
        <f aca="false">C177+(0.03*42)</f>
        <v>26.645</v>
      </c>
      <c r="F177" s="187" t="n">
        <f aca="false">E177/$F$4</f>
        <v>4.59396551724138</v>
      </c>
      <c r="H177" s="199" t="n">
        <f aca="false">(F177*$H$3)/1000</f>
        <v>44.0055956896552</v>
      </c>
    </row>
    <row r="178" customFormat="false" ht="12.75" hidden="false" customHeight="false" outlineLevel="0" collapsed="false">
      <c r="B178" s="195" t="n">
        <v>41730</v>
      </c>
      <c r="C178" s="196" t="n">
        <v>24.805</v>
      </c>
      <c r="D178" s="197" t="n">
        <v>0.176</v>
      </c>
      <c r="E178" s="198" t="n">
        <f aca="false">C178+(0.03*42)</f>
        <v>26.065</v>
      </c>
      <c r="F178" s="187" t="n">
        <f aca="false">E178/$F$4</f>
        <v>4.49396551724138</v>
      </c>
      <c r="H178" s="199" t="n">
        <f aca="false">(F178*$H$3)/1000</f>
        <v>43.0476956896552</v>
      </c>
    </row>
    <row r="179" customFormat="false" ht="12.75" hidden="false" customHeight="false" outlineLevel="0" collapsed="false">
      <c r="B179" s="195" t="n">
        <v>41760</v>
      </c>
      <c r="C179" s="196" t="n">
        <v>24.415</v>
      </c>
      <c r="D179" s="197" t="n">
        <v>0.176</v>
      </c>
      <c r="E179" s="198" t="n">
        <f aca="false">C179+(0.03*42)</f>
        <v>25.675</v>
      </c>
      <c r="F179" s="187" t="n">
        <f aca="false">E179/$F$4</f>
        <v>4.42672413793104</v>
      </c>
      <c r="H179" s="199" t="n">
        <f aca="false">(F179*$H$3)/1000</f>
        <v>42.4035905172414</v>
      </c>
    </row>
    <row r="180" customFormat="false" ht="12.75" hidden="false" customHeight="false" outlineLevel="0" collapsed="false">
      <c r="B180" s="195" t="n">
        <v>41791</v>
      </c>
      <c r="C180" s="196" t="n">
        <v>24.377</v>
      </c>
      <c r="D180" s="197" t="n">
        <v>0.176</v>
      </c>
      <c r="E180" s="198" t="n">
        <f aca="false">C180+(0.03*42)</f>
        <v>25.637</v>
      </c>
      <c r="F180" s="187" t="n">
        <f aca="false">E180/$F$4</f>
        <v>4.42017241379311</v>
      </c>
      <c r="H180" s="199" t="n">
        <f aca="false">(F180*$H$3)/1000</f>
        <v>42.3408315517242</v>
      </c>
    </row>
    <row r="181" customFormat="false" ht="12.75" hidden="false" customHeight="false" outlineLevel="0" collapsed="false">
      <c r="B181" s="195" t="n">
        <v>41821</v>
      </c>
      <c r="C181" s="196" t="n">
        <v>24.709</v>
      </c>
      <c r="D181" s="197" t="n">
        <v>0.176</v>
      </c>
      <c r="E181" s="198" t="n">
        <f aca="false">C181+(0.03*42)</f>
        <v>25.969</v>
      </c>
      <c r="F181" s="187" t="n">
        <f aca="false">E181/$F$4</f>
        <v>4.47741379310345</v>
      </c>
      <c r="H181" s="199" t="n">
        <f aca="false">(F181*$H$3)/1000</f>
        <v>42.8891467241379</v>
      </c>
    </row>
    <row r="182" customFormat="false" ht="12.75" hidden="false" customHeight="false" outlineLevel="0" collapsed="false">
      <c r="B182" s="195" t="n">
        <v>41852</v>
      </c>
      <c r="C182" s="196" t="n">
        <v>25.234</v>
      </c>
      <c r="D182" s="197" t="n">
        <v>0.176</v>
      </c>
      <c r="E182" s="198" t="n">
        <f aca="false">C182+(0.03*42)</f>
        <v>26.494</v>
      </c>
      <c r="F182" s="187" t="n">
        <f aca="false">E182/$F$4</f>
        <v>4.56793103448276</v>
      </c>
      <c r="H182" s="199" t="n">
        <f aca="false">(F182*$H$3)/1000</f>
        <v>43.7562113793104</v>
      </c>
    </row>
    <row r="183" customFormat="false" ht="12.75" hidden="false" customHeight="false" outlineLevel="0" collapsed="false">
      <c r="B183" s="195" t="n">
        <v>41883</v>
      </c>
      <c r="C183" s="196" t="n">
        <v>25.784</v>
      </c>
      <c r="D183" s="197" t="n">
        <v>0.176</v>
      </c>
      <c r="E183" s="198" t="n">
        <f aca="false">C183+(0.03*42)</f>
        <v>27.044</v>
      </c>
      <c r="F183" s="187" t="n">
        <f aca="false">E183/$F$4</f>
        <v>4.66275862068966</v>
      </c>
      <c r="H183" s="199" t="n">
        <f aca="false">(F183*$H$3)/1000</f>
        <v>44.6645648275862</v>
      </c>
    </row>
    <row r="184" customFormat="false" ht="12.75" hidden="false" customHeight="false" outlineLevel="0" collapsed="false">
      <c r="B184" s="195" t="n">
        <v>41913</v>
      </c>
      <c r="C184" s="196" t="n">
        <v>26.321</v>
      </c>
      <c r="D184" s="197" t="n">
        <v>0.176</v>
      </c>
      <c r="E184" s="198" t="n">
        <f aca="false">C184+(0.03*42)</f>
        <v>27.581</v>
      </c>
      <c r="F184" s="187" t="n">
        <f aca="false">E184/$F$4</f>
        <v>4.75534482758621</v>
      </c>
      <c r="H184" s="199" t="n">
        <f aca="false">(F184*$H$3)/1000</f>
        <v>45.5514481034483</v>
      </c>
    </row>
    <row r="185" customFormat="false" ht="12.75" hidden="false" customHeight="false" outlineLevel="0" collapsed="false">
      <c r="B185" s="195" t="n">
        <v>41944</v>
      </c>
      <c r="C185" s="196" t="n">
        <v>26.607</v>
      </c>
      <c r="D185" s="197" t="n">
        <v>0.176</v>
      </c>
      <c r="E185" s="198" t="n">
        <f aca="false">C185+(0.03*42)</f>
        <v>27.867</v>
      </c>
      <c r="F185" s="187" t="n">
        <f aca="false">E185/$F$4</f>
        <v>4.80465517241379</v>
      </c>
      <c r="H185" s="199" t="n">
        <f aca="false">(F185*$H$3)/1000</f>
        <v>46.0237918965517</v>
      </c>
    </row>
    <row r="186" customFormat="false" ht="12.75" hidden="false" customHeight="false" outlineLevel="0" collapsed="false">
      <c r="B186" s="195" t="n">
        <v>41974</v>
      </c>
      <c r="C186" s="196" t="n">
        <v>26.855</v>
      </c>
      <c r="D186" s="197" t="n">
        <v>0.176</v>
      </c>
      <c r="E186" s="198" t="n">
        <f aca="false">C186+(0.03*42)</f>
        <v>28.115</v>
      </c>
      <c r="F186" s="187" t="n">
        <f aca="false">E186/$F$4</f>
        <v>4.84741379310345</v>
      </c>
      <c r="H186" s="199" t="n">
        <f aca="false">(F186*$H$3)/1000</f>
        <v>46.4333767241379</v>
      </c>
    </row>
    <row r="187" customFormat="false" ht="12.75" hidden="false" customHeight="false" outlineLevel="0" collapsed="false">
      <c r="B187" s="195" t="n">
        <v>42005</v>
      </c>
      <c r="C187" s="196" t="n">
        <v>26.523</v>
      </c>
      <c r="D187" s="197" t="n">
        <v>0.176</v>
      </c>
      <c r="E187" s="198" t="n">
        <f aca="false">C187+(0.03*42)</f>
        <v>27.783</v>
      </c>
      <c r="F187" s="187" t="n">
        <f aca="false">E187/$F$4</f>
        <v>4.79017241379311</v>
      </c>
      <c r="H187" s="199" t="n">
        <f aca="false">(F187*$H$3)/1000</f>
        <v>45.8850615517242</v>
      </c>
    </row>
    <row r="188" customFormat="false" ht="12.75" hidden="false" customHeight="false" outlineLevel="0" collapsed="false">
      <c r="B188" s="195" t="n">
        <v>42036</v>
      </c>
      <c r="C188" s="196" t="n">
        <v>25.948</v>
      </c>
      <c r="D188" s="197" t="n">
        <v>0.176</v>
      </c>
      <c r="E188" s="198" t="n">
        <f aca="false">C188+(0.03*42)</f>
        <v>27.208</v>
      </c>
      <c r="F188" s="187" t="n">
        <f aca="false">E188/$F$4</f>
        <v>4.69103448275862</v>
      </c>
      <c r="H188" s="199" t="n">
        <f aca="false">(F188*$H$3)/1000</f>
        <v>44.9354193103448</v>
      </c>
    </row>
    <row r="189" customFormat="false" ht="12.75" hidden="false" customHeight="false" outlineLevel="0" collapsed="false">
      <c r="B189" s="195" t="n">
        <v>42064</v>
      </c>
      <c r="C189" s="196" t="n">
        <v>25.385</v>
      </c>
      <c r="D189" s="197" t="n">
        <v>0.176</v>
      </c>
      <c r="E189" s="198" t="n">
        <f aca="false">C189+(0.03*42)</f>
        <v>26.645</v>
      </c>
      <c r="F189" s="187" t="n">
        <f aca="false">E189/$F$4</f>
        <v>4.59396551724138</v>
      </c>
      <c r="H189" s="199" t="n">
        <f aca="false">(F189*$H$3)/1000</f>
        <v>44.0055956896552</v>
      </c>
    </row>
    <row r="190" customFormat="false" ht="12.75" hidden="false" customHeight="false" outlineLevel="0" collapsed="false">
      <c r="B190" s="195" t="n">
        <v>42095</v>
      </c>
      <c r="C190" s="196" t="n">
        <v>24.805</v>
      </c>
      <c r="D190" s="197" t="n">
        <v>0.176</v>
      </c>
      <c r="E190" s="198" t="n">
        <f aca="false">C190+(0.03*42)</f>
        <v>26.065</v>
      </c>
      <c r="F190" s="187" t="n">
        <f aca="false">E190/$F$4</f>
        <v>4.49396551724138</v>
      </c>
      <c r="H190" s="199" t="n">
        <f aca="false">(F190*$H$3)/1000</f>
        <v>43.0476956896552</v>
      </c>
    </row>
    <row r="191" customFormat="false" ht="12.75" hidden="false" customHeight="false" outlineLevel="0" collapsed="false">
      <c r="B191" s="195" t="n">
        <v>42125</v>
      </c>
      <c r="C191" s="196" t="n">
        <v>24.415</v>
      </c>
      <c r="D191" s="197" t="n">
        <v>0.176</v>
      </c>
      <c r="E191" s="198" t="n">
        <f aca="false">C191+(0.03*42)</f>
        <v>25.675</v>
      </c>
      <c r="F191" s="187" t="n">
        <f aca="false">E191/$F$4</f>
        <v>4.42672413793104</v>
      </c>
      <c r="H191" s="199" t="n">
        <f aca="false">(F191*$H$3)/1000</f>
        <v>42.4035905172414</v>
      </c>
    </row>
    <row r="192" customFormat="false" ht="12.75" hidden="false" customHeight="false" outlineLevel="0" collapsed="false">
      <c r="B192" s="195" t="n">
        <v>42156</v>
      </c>
      <c r="C192" s="196" t="n">
        <v>24.377</v>
      </c>
      <c r="D192" s="197" t="n">
        <v>0.176</v>
      </c>
      <c r="E192" s="198" t="n">
        <f aca="false">C192+(0.03*42)</f>
        <v>25.637</v>
      </c>
      <c r="F192" s="187" t="n">
        <f aca="false">E192/$F$4</f>
        <v>4.42017241379311</v>
      </c>
      <c r="H192" s="199" t="n">
        <f aca="false">(F192*$H$3)/1000</f>
        <v>42.3408315517242</v>
      </c>
    </row>
    <row r="193" customFormat="false" ht="12.75" hidden="false" customHeight="false" outlineLevel="0" collapsed="false">
      <c r="B193" s="195" t="n">
        <v>42186</v>
      </c>
      <c r="C193" s="196" t="n">
        <v>24.709</v>
      </c>
      <c r="D193" s="197" t="n">
        <v>0.176</v>
      </c>
      <c r="E193" s="198" t="n">
        <f aca="false">C193+(0.03*42)</f>
        <v>25.969</v>
      </c>
      <c r="F193" s="187" t="n">
        <f aca="false">E193/$F$4</f>
        <v>4.47741379310345</v>
      </c>
      <c r="H193" s="199" t="n">
        <f aca="false">(F193*$H$3)/1000</f>
        <v>42.8891467241379</v>
      </c>
    </row>
    <row r="194" customFormat="false" ht="12.75" hidden="false" customHeight="false" outlineLevel="0" collapsed="false">
      <c r="B194" s="195" t="n">
        <v>42217</v>
      </c>
      <c r="C194" s="196" t="n">
        <v>25.234</v>
      </c>
      <c r="D194" s="197" t="n">
        <v>0.176</v>
      </c>
      <c r="E194" s="198" t="n">
        <f aca="false">C194+(0.03*42)</f>
        <v>26.494</v>
      </c>
      <c r="F194" s="187" t="n">
        <f aca="false">E194/$F$4</f>
        <v>4.56793103448276</v>
      </c>
      <c r="H194" s="199" t="n">
        <f aca="false">(F194*$H$3)/1000</f>
        <v>43.7562113793104</v>
      </c>
    </row>
    <row r="195" customFormat="false" ht="12.75" hidden="false" customHeight="false" outlineLevel="0" collapsed="false">
      <c r="B195" s="195" t="n">
        <v>42248</v>
      </c>
      <c r="C195" s="196" t="n">
        <v>25.784</v>
      </c>
      <c r="D195" s="197" t="n">
        <v>0.176</v>
      </c>
      <c r="E195" s="198" t="n">
        <f aca="false">C195+(0.03*42)</f>
        <v>27.044</v>
      </c>
      <c r="F195" s="187" t="n">
        <f aca="false">E195/$F$4</f>
        <v>4.66275862068966</v>
      </c>
      <c r="H195" s="199" t="n">
        <f aca="false">(F195*$H$3)/1000</f>
        <v>44.6645648275862</v>
      </c>
    </row>
    <row r="196" customFormat="false" ht="12.75" hidden="false" customHeight="false" outlineLevel="0" collapsed="false">
      <c r="B196" s="195" t="n">
        <v>42278</v>
      </c>
      <c r="C196" s="196" t="n">
        <v>26.321</v>
      </c>
      <c r="D196" s="197" t="n">
        <v>0.176</v>
      </c>
      <c r="E196" s="198" t="n">
        <f aca="false">C196+(0.03*42)</f>
        <v>27.581</v>
      </c>
      <c r="F196" s="187" t="n">
        <f aca="false">E196/$F$4</f>
        <v>4.75534482758621</v>
      </c>
      <c r="H196" s="199" t="n">
        <f aca="false">(F196*$H$3)/1000</f>
        <v>45.5514481034483</v>
      </c>
    </row>
    <row r="197" customFormat="false" ht="12.75" hidden="false" customHeight="false" outlineLevel="0" collapsed="false">
      <c r="B197" s="195" t="n">
        <v>42309</v>
      </c>
      <c r="C197" s="196" t="n">
        <v>26.607</v>
      </c>
      <c r="D197" s="197" t="n">
        <v>0.176</v>
      </c>
      <c r="E197" s="198" t="n">
        <f aca="false">C197+(0.03*42)</f>
        <v>27.867</v>
      </c>
      <c r="F197" s="187" t="n">
        <f aca="false">E197/$F$4</f>
        <v>4.80465517241379</v>
      </c>
      <c r="H197" s="199" t="n">
        <f aca="false">(F197*$H$3)/1000</f>
        <v>46.0237918965517</v>
      </c>
    </row>
    <row r="198" customFormat="false" ht="12.75" hidden="false" customHeight="false" outlineLevel="0" collapsed="false">
      <c r="B198" s="195" t="n">
        <v>42339</v>
      </c>
      <c r="C198" s="196" t="n">
        <v>26.855</v>
      </c>
      <c r="D198" s="197" t="n">
        <v>0.176</v>
      </c>
      <c r="E198" s="198" t="n">
        <f aca="false">C198+(0.03*42)</f>
        <v>28.115</v>
      </c>
      <c r="F198" s="187" t="n">
        <f aca="false">E198/$F$4</f>
        <v>4.84741379310345</v>
      </c>
      <c r="H198" s="199" t="n">
        <f aca="false">(F198*$H$3)/1000</f>
        <v>46.4333767241379</v>
      </c>
    </row>
    <row r="199" customFormat="false" ht="12.75" hidden="false" customHeight="false" outlineLevel="0" collapsed="false">
      <c r="B199" s="195" t="n">
        <v>42370</v>
      </c>
      <c r="C199" s="196" t="n">
        <v>26.523</v>
      </c>
      <c r="D199" s="197" t="n">
        <v>0.176</v>
      </c>
      <c r="E199" s="198" t="n">
        <f aca="false">C199+(0.03*42)</f>
        <v>27.783</v>
      </c>
      <c r="F199" s="187" t="n">
        <f aca="false">E199/$F$4</f>
        <v>4.79017241379311</v>
      </c>
      <c r="H199" s="199" t="n">
        <f aca="false">(F199*$H$3)/1000</f>
        <v>45.8850615517242</v>
      </c>
    </row>
    <row r="200" customFormat="false" ht="12.75" hidden="false" customHeight="false" outlineLevel="0" collapsed="false">
      <c r="B200" s="195" t="n">
        <v>42401</v>
      </c>
      <c r="C200" s="196" t="n">
        <v>25.948</v>
      </c>
      <c r="D200" s="197" t="n">
        <v>0.176</v>
      </c>
      <c r="E200" s="198" t="n">
        <f aca="false">C200+(0.03*42)</f>
        <v>27.208</v>
      </c>
      <c r="F200" s="187" t="n">
        <f aca="false">E200/$F$4</f>
        <v>4.69103448275862</v>
      </c>
      <c r="H200" s="199" t="n">
        <f aca="false">(F200*$H$3)/1000</f>
        <v>44.9354193103448</v>
      </c>
    </row>
    <row r="201" customFormat="false" ht="12.75" hidden="false" customHeight="false" outlineLevel="0" collapsed="false">
      <c r="B201" s="195" t="n">
        <v>42430</v>
      </c>
      <c r="C201" s="196" t="n">
        <v>25.385</v>
      </c>
      <c r="D201" s="197" t="n">
        <v>0.176</v>
      </c>
      <c r="E201" s="198" t="n">
        <f aca="false">C201+(0.03*42)</f>
        <v>26.645</v>
      </c>
      <c r="F201" s="187" t="n">
        <f aca="false">E201/$F$4</f>
        <v>4.59396551724138</v>
      </c>
      <c r="H201" s="199" t="n">
        <f aca="false">(F201*$H$3)/1000</f>
        <v>44.0055956896552</v>
      </c>
    </row>
    <row r="202" customFormat="false" ht="12.75" hidden="false" customHeight="false" outlineLevel="0" collapsed="false">
      <c r="B202" s="195" t="n">
        <v>42461</v>
      </c>
      <c r="C202" s="196" t="n">
        <v>24.805</v>
      </c>
      <c r="D202" s="197" t="n">
        <v>0.176</v>
      </c>
      <c r="E202" s="198" t="n">
        <f aca="false">C202+(0.03*42)</f>
        <v>26.065</v>
      </c>
      <c r="F202" s="187" t="n">
        <f aca="false">E202/$F$4</f>
        <v>4.49396551724138</v>
      </c>
      <c r="H202" s="199" t="n">
        <f aca="false">(F202*$H$3)/1000</f>
        <v>43.0476956896552</v>
      </c>
    </row>
    <row r="203" customFormat="false" ht="12.75" hidden="false" customHeight="false" outlineLevel="0" collapsed="false">
      <c r="B203" s="195" t="n">
        <v>42491</v>
      </c>
      <c r="C203" s="196" t="n">
        <v>24.415</v>
      </c>
      <c r="D203" s="197" t="n">
        <v>0.176</v>
      </c>
      <c r="E203" s="198" t="n">
        <f aca="false">C203+(0.03*42)</f>
        <v>25.675</v>
      </c>
      <c r="F203" s="187" t="n">
        <f aca="false">E203/$F$4</f>
        <v>4.42672413793104</v>
      </c>
      <c r="H203" s="199" t="n">
        <f aca="false">(F203*$H$3)/1000</f>
        <v>42.4035905172414</v>
      </c>
    </row>
    <row r="204" customFormat="false" ht="12.75" hidden="false" customHeight="false" outlineLevel="0" collapsed="false">
      <c r="B204" s="195" t="n">
        <v>42522</v>
      </c>
      <c r="C204" s="196" t="n">
        <v>24.377</v>
      </c>
      <c r="D204" s="197" t="n">
        <v>0.176</v>
      </c>
      <c r="E204" s="198" t="n">
        <f aca="false">C204+(0.03*42)</f>
        <v>25.637</v>
      </c>
      <c r="F204" s="187" t="n">
        <f aca="false">E204/$F$4</f>
        <v>4.42017241379311</v>
      </c>
      <c r="H204" s="199" t="n">
        <f aca="false">(F204*$H$3)/1000</f>
        <v>42.3408315517242</v>
      </c>
    </row>
    <row r="205" customFormat="false" ht="12.75" hidden="false" customHeight="false" outlineLevel="0" collapsed="false">
      <c r="B205" s="195" t="n">
        <v>42552</v>
      </c>
      <c r="C205" s="196" t="n">
        <v>24.709</v>
      </c>
      <c r="D205" s="197" t="n">
        <v>0.176</v>
      </c>
      <c r="E205" s="198" t="n">
        <f aca="false">C205+(0.03*42)</f>
        <v>25.969</v>
      </c>
      <c r="F205" s="187" t="n">
        <f aca="false">E205/$F$4</f>
        <v>4.47741379310345</v>
      </c>
      <c r="H205" s="199" t="n">
        <f aca="false">(F205*$H$3)/1000</f>
        <v>42.8891467241379</v>
      </c>
    </row>
    <row r="206" customFormat="false" ht="12.75" hidden="false" customHeight="false" outlineLevel="0" collapsed="false">
      <c r="B206" s="195" t="n">
        <v>42583</v>
      </c>
      <c r="C206" s="196" t="n">
        <v>25.234</v>
      </c>
      <c r="D206" s="197" t="n">
        <v>0.176</v>
      </c>
      <c r="E206" s="198" t="n">
        <f aca="false">C206+(0.03*42)</f>
        <v>26.494</v>
      </c>
      <c r="F206" s="187" t="n">
        <f aca="false">E206/$F$4</f>
        <v>4.56793103448276</v>
      </c>
      <c r="H206" s="199" t="n">
        <f aca="false">(F206*$H$3)/1000</f>
        <v>43.7562113793104</v>
      </c>
    </row>
    <row r="207" customFormat="false" ht="12.75" hidden="false" customHeight="false" outlineLevel="0" collapsed="false">
      <c r="B207" s="195" t="n">
        <v>42614</v>
      </c>
      <c r="C207" s="196" t="n">
        <v>25.784</v>
      </c>
      <c r="D207" s="197" t="n">
        <v>0.176</v>
      </c>
      <c r="E207" s="198" t="n">
        <f aca="false">C207+(0.03*42)</f>
        <v>27.044</v>
      </c>
      <c r="F207" s="187" t="n">
        <f aca="false">E207/$F$4</f>
        <v>4.66275862068966</v>
      </c>
      <c r="H207" s="199" t="n">
        <f aca="false">(F207*$H$3)/1000</f>
        <v>44.6645648275862</v>
      </c>
    </row>
    <row r="208" customFormat="false" ht="12.75" hidden="false" customHeight="false" outlineLevel="0" collapsed="false">
      <c r="B208" s="195" t="n">
        <v>42644</v>
      </c>
      <c r="C208" s="196" t="n">
        <v>26.321</v>
      </c>
      <c r="D208" s="197" t="n">
        <v>0.176</v>
      </c>
      <c r="E208" s="198" t="n">
        <f aca="false">C208+(0.03*42)</f>
        <v>27.581</v>
      </c>
      <c r="F208" s="187" t="n">
        <f aca="false">E208/$F$4</f>
        <v>4.75534482758621</v>
      </c>
      <c r="H208" s="199" t="n">
        <f aca="false">(F208*$H$3)/1000</f>
        <v>45.5514481034483</v>
      </c>
    </row>
    <row r="209" customFormat="false" ht="12.75" hidden="false" customHeight="false" outlineLevel="0" collapsed="false">
      <c r="B209" s="195" t="n">
        <v>42675</v>
      </c>
      <c r="C209" s="196" t="n">
        <v>26.607</v>
      </c>
      <c r="D209" s="197" t="n">
        <v>0.176</v>
      </c>
      <c r="E209" s="198" t="n">
        <f aca="false">C209+(0.03*42)</f>
        <v>27.867</v>
      </c>
      <c r="F209" s="187" t="n">
        <f aca="false">E209/$F$4</f>
        <v>4.80465517241379</v>
      </c>
      <c r="H209" s="199" t="n">
        <f aca="false">(F209*$H$3)/1000</f>
        <v>46.0237918965517</v>
      </c>
    </row>
    <row r="210" customFormat="false" ht="12.75" hidden="false" customHeight="false" outlineLevel="0" collapsed="false">
      <c r="B210" s="195" t="n">
        <v>42705</v>
      </c>
      <c r="C210" s="196" t="n">
        <v>26.855</v>
      </c>
      <c r="D210" s="197" t="n">
        <v>0.176</v>
      </c>
      <c r="E210" s="198" t="n">
        <f aca="false">C210+(0.03*42)</f>
        <v>28.115</v>
      </c>
      <c r="F210" s="187" t="n">
        <f aca="false">E210/$F$4</f>
        <v>4.84741379310345</v>
      </c>
      <c r="H210" s="199" t="n">
        <f aca="false">(F210*$H$3)/1000</f>
        <v>46.4333767241379</v>
      </c>
    </row>
    <row r="211" customFormat="false" ht="12.75" hidden="false" customHeight="false" outlineLevel="0" collapsed="false">
      <c r="B211" s="195" t="n">
        <v>42736</v>
      </c>
      <c r="C211" s="196" t="n">
        <v>26.523</v>
      </c>
      <c r="D211" s="197" t="n">
        <v>0.176</v>
      </c>
      <c r="E211" s="198" t="n">
        <f aca="false">C211+(0.03*42)</f>
        <v>27.783</v>
      </c>
      <c r="F211" s="187" t="n">
        <f aca="false">E211/$F$4</f>
        <v>4.79017241379311</v>
      </c>
      <c r="H211" s="199" t="n">
        <f aca="false">(F211*$H$3)/1000</f>
        <v>45.8850615517242</v>
      </c>
    </row>
    <row r="212" customFormat="false" ht="12.75" hidden="false" customHeight="false" outlineLevel="0" collapsed="false">
      <c r="B212" s="195" t="n">
        <v>42767</v>
      </c>
      <c r="C212" s="196" t="n">
        <v>25.948</v>
      </c>
      <c r="D212" s="197" t="n">
        <v>0.176</v>
      </c>
      <c r="E212" s="198" t="n">
        <f aca="false">C212+(0.03*42)</f>
        <v>27.208</v>
      </c>
      <c r="F212" s="187" t="n">
        <f aca="false">E212/$F$4</f>
        <v>4.69103448275862</v>
      </c>
      <c r="H212" s="199" t="n">
        <f aca="false">(F212*$H$3)/1000</f>
        <v>44.9354193103448</v>
      </c>
    </row>
    <row r="213" customFormat="false" ht="12.75" hidden="false" customHeight="false" outlineLevel="0" collapsed="false">
      <c r="B213" s="195" t="n">
        <v>42795</v>
      </c>
      <c r="C213" s="196" t="n">
        <v>25.385</v>
      </c>
      <c r="D213" s="197" t="n">
        <v>0.176</v>
      </c>
      <c r="E213" s="198" t="n">
        <f aca="false">C213+(0.03*42)</f>
        <v>26.645</v>
      </c>
      <c r="F213" s="187" t="n">
        <f aca="false">E213/$F$4</f>
        <v>4.59396551724138</v>
      </c>
      <c r="H213" s="199" t="n">
        <f aca="false">(F213*$H$3)/1000</f>
        <v>44.0055956896552</v>
      </c>
    </row>
    <row r="214" customFormat="false" ht="12.75" hidden="false" customHeight="false" outlineLevel="0" collapsed="false">
      <c r="B214" s="195" t="n">
        <v>42826</v>
      </c>
      <c r="C214" s="196" t="n">
        <v>24.805</v>
      </c>
      <c r="D214" s="197" t="n">
        <v>0.176</v>
      </c>
      <c r="E214" s="198" t="n">
        <f aca="false">C214+(0.03*42)</f>
        <v>26.065</v>
      </c>
      <c r="F214" s="187" t="n">
        <f aca="false">E214/$F$4</f>
        <v>4.49396551724138</v>
      </c>
      <c r="H214" s="199" t="n">
        <f aca="false">(F214*$H$3)/1000</f>
        <v>43.0476956896552</v>
      </c>
    </row>
    <row r="215" customFormat="false" ht="12.75" hidden="false" customHeight="false" outlineLevel="0" collapsed="false">
      <c r="B215" s="195" t="n">
        <v>42856</v>
      </c>
      <c r="C215" s="196" t="n">
        <v>24.415</v>
      </c>
      <c r="D215" s="197" t="n">
        <v>0.176</v>
      </c>
      <c r="E215" s="198" t="n">
        <f aca="false">C215+(0.03*42)</f>
        <v>25.675</v>
      </c>
      <c r="F215" s="187" t="n">
        <f aca="false">E215/$F$4</f>
        <v>4.42672413793104</v>
      </c>
      <c r="H215" s="199" t="n">
        <f aca="false">(F215*$H$3)/1000</f>
        <v>42.4035905172414</v>
      </c>
    </row>
    <row r="216" customFormat="false" ht="12.75" hidden="false" customHeight="false" outlineLevel="0" collapsed="false">
      <c r="B216" s="195" t="n">
        <v>42887</v>
      </c>
      <c r="C216" s="196" t="n">
        <v>24.377</v>
      </c>
      <c r="D216" s="197" t="n">
        <v>0.176</v>
      </c>
      <c r="E216" s="198" t="n">
        <f aca="false">C216+(0.03*42)</f>
        <v>25.637</v>
      </c>
      <c r="F216" s="187" t="n">
        <f aca="false">E216/$F$4</f>
        <v>4.42017241379311</v>
      </c>
      <c r="H216" s="199" t="n">
        <f aca="false">(F216*$H$3)/1000</f>
        <v>42.3408315517242</v>
      </c>
    </row>
    <row r="217" customFormat="false" ht="12.75" hidden="false" customHeight="false" outlineLevel="0" collapsed="false">
      <c r="B217" s="195" t="n">
        <v>42917</v>
      </c>
      <c r="C217" s="196" t="n">
        <v>24.709</v>
      </c>
      <c r="D217" s="197" t="n">
        <v>0.176</v>
      </c>
      <c r="E217" s="198" t="n">
        <f aca="false">C217+(0.03*42)</f>
        <v>25.969</v>
      </c>
      <c r="F217" s="187" t="n">
        <f aca="false">E217/$F$4</f>
        <v>4.47741379310345</v>
      </c>
      <c r="H217" s="199" t="n">
        <f aca="false">(F217*$H$3)/1000</f>
        <v>42.8891467241379</v>
      </c>
    </row>
    <row r="218" customFormat="false" ht="12.75" hidden="false" customHeight="false" outlineLevel="0" collapsed="false">
      <c r="B218" s="195" t="n">
        <v>42948</v>
      </c>
      <c r="C218" s="196" t="n">
        <v>25.234</v>
      </c>
      <c r="D218" s="197" t="n">
        <v>0.176</v>
      </c>
      <c r="E218" s="198" t="n">
        <f aca="false">C218+(0.03*42)</f>
        <v>26.494</v>
      </c>
      <c r="F218" s="187" t="n">
        <f aca="false">E218/$F$4</f>
        <v>4.56793103448276</v>
      </c>
      <c r="H218" s="199" t="n">
        <f aca="false">(F218*$H$3)/1000</f>
        <v>43.7562113793104</v>
      </c>
    </row>
    <row r="219" customFormat="false" ht="12.75" hidden="false" customHeight="false" outlineLevel="0" collapsed="false">
      <c r="B219" s="195" t="n">
        <v>42979</v>
      </c>
      <c r="C219" s="196" t="n">
        <v>25.784</v>
      </c>
      <c r="D219" s="197" t="n">
        <v>0.176</v>
      </c>
      <c r="E219" s="198" t="n">
        <f aca="false">C219+(0.03*42)</f>
        <v>27.044</v>
      </c>
      <c r="F219" s="187" t="n">
        <f aca="false">E219/$F$4</f>
        <v>4.66275862068966</v>
      </c>
      <c r="H219" s="199" t="n">
        <f aca="false">(F219*$H$3)/1000</f>
        <v>44.6645648275862</v>
      </c>
    </row>
    <row r="220" customFormat="false" ht="12.75" hidden="false" customHeight="false" outlineLevel="0" collapsed="false">
      <c r="B220" s="195" t="n">
        <v>43009</v>
      </c>
      <c r="C220" s="196" t="n">
        <v>26.321</v>
      </c>
      <c r="D220" s="197" t="n">
        <v>0.176</v>
      </c>
      <c r="E220" s="198" t="n">
        <f aca="false">C220+(0.03*42)</f>
        <v>27.581</v>
      </c>
      <c r="F220" s="187" t="n">
        <f aca="false">E220/$F$4</f>
        <v>4.75534482758621</v>
      </c>
      <c r="H220" s="199" t="n">
        <f aca="false">(F220*$H$3)/1000</f>
        <v>45.5514481034483</v>
      </c>
    </row>
    <row r="221" customFormat="false" ht="12.75" hidden="false" customHeight="false" outlineLevel="0" collapsed="false">
      <c r="B221" s="195" t="n">
        <v>43040</v>
      </c>
      <c r="C221" s="196" t="n">
        <v>26.607</v>
      </c>
      <c r="D221" s="197" t="n">
        <v>0.176</v>
      </c>
      <c r="E221" s="198" t="n">
        <f aca="false">C221+(0.03*42)</f>
        <v>27.867</v>
      </c>
      <c r="F221" s="187" t="n">
        <f aca="false">E221/$F$4</f>
        <v>4.80465517241379</v>
      </c>
      <c r="H221" s="199" t="n">
        <f aca="false">(F221*$H$3)/1000</f>
        <v>46.0237918965517</v>
      </c>
    </row>
    <row r="222" customFormat="false" ht="12.75" hidden="false" customHeight="false" outlineLevel="0" collapsed="false">
      <c r="B222" s="195" t="n">
        <v>43070</v>
      </c>
      <c r="C222" s="196" t="n">
        <v>26.855</v>
      </c>
      <c r="D222" s="197" t="n">
        <v>0.176</v>
      </c>
      <c r="E222" s="198" t="n">
        <f aca="false">C222+(0.03*42)</f>
        <v>28.115</v>
      </c>
      <c r="F222" s="187" t="n">
        <f aca="false">E222/$F$4</f>
        <v>4.84741379310345</v>
      </c>
      <c r="H222" s="199" t="n">
        <f aca="false">(F222*$H$3)/1000</f>
        <v>46.4333767241379</v>
      </c>
    </row>
    <row r="223" customFormat="false" ht="12.75" hidden="false" customHeight="false" outlineLevel="0" collapsed="false">
      <c r="B223" s="195" t="n">
        <v>43101</v>
      </c>
      <c r="C223" s="196" t="n">
        <v>26.523</v>
      </c>
      <c r="D223" s="197" t="n">
        <v>0.176</v>
      </c>
      <c r="E223" s="198" t="n">
        <f aca="false">C223+(0.03*42)</f>
        <v>27.783</v>
      </c>
      <c r="F223" s="187" t="n">
        <f aca="false">E223/$F$4</f>
        <v>4.79017241379311</v>
      </c>
      <c r="H223" s="199" t="n">
        <f aca="false">(F223*$H$3)/1000</f>
        <v>45.8850615517242</v>
      </c>
    </row>
    <row r="224" customFormat="false" ht="12.75" hidden="false" customHeight="false" outlineLevel="0" collapsed="false">
      <c r="B224" s="195" t="n">
        <v>43132</v>
      </c>
      <c r="C224" s="196" t="n">
        <v>25.948</v>
      </c>
      <c r="D224" s="197" t="n">
        <v>0.176</v>
      </c>
      <c r="E224" s="198" t="n">
        <f aca="false">C224+(0.03*42)</f>
        <v>27.208</v>
      </c>
      <c r="F224" s="187" t="n">
        <f aca="false">E224/$F$4</f>
        <v>4.69103448275862</v>
      </c>
      <c r="H224" s="199" t="n">
        <f aca="false">(F224*$H$3)/1000</f>
        <v>44.9354193103448</v>
      </c>
    </row>
    <row r="225" customFormat="false" ht="12.75" hidden="false" customHeight="false" outlineLevel="0" collapsed="false">
      <c r="B225" s="195" t="n">
        <v>43160</v>
      </c>
      <c r="C225" s="196" t="n">
        <v>25.385</v>
      </c>
      <c r="D225" s="197" t="n">
        <v>0.176</v>
      </c>
      <c r="E225" s="198" t="n">
        <f aca="false">C225+(0.03*42)</f>
        <v>26.645</v>
      </c>
      <c r="F225" s="187" t="n">
        <f aca="false">E225/$F$4</f>
        <v>4.59396551724138</v>
      </c>
      <c r="H225" s="199" t="n">
        <f aca="false">(F225*$H$3)/1000</f>
        <v>44.0055956896552</v>
      </c>
    </row>
    <row r="226" customFormat="false" ht="12.75" hidden="false" customHeight="false" outlineLevel="0" collapsed="false">
      <c r="B226" s="195" t="n">
        <v>43191</v>
      </c>
      <c r="C226" s="196" t="n">
        <v>24.805</v>
      </c>
      <c r="D226" s="197" t="n">
        <v>0.176</v>
      </c>
      <c r="E226" s="198" t="n">
        <f aca="false">C226+(0.03*42)</f>
        <v>26.065</v>
      </c>
      <c r="F226" s="187" t="n">
        <f aca="false">E226/$F$4</f>
        <v>4.49396551724138</v>
      </c>
      <c r="H226" s="199" t="n">
        <f aca="false">(F226*$H$3)/1000</f>
        <v>43.0476956896552</v>
      </c>
    </row>
    <row r="227" customFormat="false" ht="12.75" hidden="false" customHeight="false" outlineLevel="0" collapsed="false">
      <c r="B227" s="195" t="n">
        <v>43221</v>
      </c>
      <c r="C227" s="196" t="n">
        <v>24.415</v>
      </c>
      <c r="D227" s="197" t="n">
        <v>0.176</v>
      </c>
      <c r="E227" s="198" t="n">
        <f aca="false">C227+(0.03*42)</f>
        <v>25.675</v>
      </c>
      <c r="F227" s="187" t="n">
        <f aca="false">E227/$F$4</f>
        <v>4.42672413793104</v>
      </c>
      <c r="H227" s="199" t="n">
        <f aca="false">(F227*$H$3)/1000</f>
        <v>42.4035905172414</v>
      </c>
    </row>
    <row r="228" customFormat="false" ht="12.75" hidden="false" customHeight="false" outlineLevel="0" collapsed="false">
      <c r="B228" s="195" t="n">
        <v>43252</v>
      </c>
      <c r="C228" s="196" t="n">
        <v>24.377</v>
      </c>
      <c r="D228" s="197" t="n">
        <v>0.176</v>
      </c>
      <c r="E228" s="198" t="n">
        <f aca="false">C228+(0.03*42)</f>
        <v>25.637</v>
      </c>
      <c r="F228" s="187" t="n">
        <f aca="false">E228/$F$4</f>
        <v>4.42017241379311</v>
      </c>
      <c r="H228" s="199" t="n">
        <f aca="false">(F228*$H$3)/1000</f>
        <v>42.3408315517242</v>
      </c>
    </row>
    <row r="229" customFormat="false" ht="12.75" hidden="false" customHeight="false" outlineLevel="0" collapsed="false">
      <c r="B229" s="195" t="n">
        <v>43282</v>
      </c>
      <c r="C229" s="196" t="n">
        <v>24.709</v>
      </c>
      <c r="D229" s="197" t="n">
        <v>0.176</v>
      </c>
      <c r="E229" s="198" t="n">
        <f aca="false">C229+(0.03*42)</f>
        <v>25.969</v>
      </c>
      <c r="F229" s="187" t="n">
        <f aca="false">E229/$F$4</f>
        <v>4.47741379310345</v>
      </c>
      <c r="H229" s="199" t="n">
        <f aca="false">(F229*$H$3)/1000</f>
        <v>42.8891467241379</v>
      </c>
    </row>
    <row r="230" customFormat="false" ht="12.75" hidden="false" customHeight="false" outlineLevel="0" collapsed="false">
      <c r="B230" s="195" t="n">
        <v>43313</v>
      </c>
      <c r="C230" s="196" t="n">
        <v>25.234</v>
      </c>
      <c r="D230" s="197" t="n">
        <v>0.176</v>
      </c>
      <c r="E230" s="198" t="n">
        <f aca="false">C230+(0.03*42)</f>
        <v>26.494</v>
      </c>
      <c r="F230" s="187" t="n">
        <f aca="false">E230/$F$4</f>
        <v>4.56793103448276</v>
      </c>
      <c r="H230" s="199" t="n">
        <f aca="false">(F230*$H$3)/1000</f>
        <v>43.7562113793104</v>
      </c>
    </row>
    <row r="231" customFormat="false" ht="12.75" hidden="false" customHeight="false" outlineLevel="0" collapsed="false">
      <c r="B231" s="195" t="n">
        <v>43344</v>
      </c>
      <c r="C231" s="196" t="n">
        <v>25.784</v>
      </c>
      <c r="D231" s="197" t="n">
        <v>0.176</v>
      </c>
      <c r="E231" s="198" t="n">
        <f aca="false">C231+(0.03*42)</f>
        <v>27.044</v>
      </c>
      <c r="F231" s="187" t="n">
        <f aca="false">E231/$F$4</f>
        <v>4.66275862068966</v>
      </c>
      <c r="H231" s="199" t="n">
        <f aca="false">(F231*$H$3)/1000</f>
        <v>44.6645648275862</v>
      </c>
    </row>
    <row r="232" customFormat="false" ht="12.75" hidden="false" customHeight="false" outlineLevel="0" collapsed="false">
      <c r="B232" s="195" t="n">
        <v>43374</v>
      </c>
      <c r="C232" s="196" t="n">
        <v>26.321</v>
      </c>
      <c r="D232" s="197" t="n">
        <v>0.176</v>
      </c>
      <c r="E232" s="198" t="n">
        <f aca="false">C232+(0.03*42)</f>
        <v>27.581</v>
      </c>
      <c r="F232" s="187" t="n">
        <f aca="false">E232/$F$4</f>
        <v>4.75534482758621</v>
      </c>
      <c r="H232" s="199" t="n">
        <f aca="false">(F232*$H$3)/1000</f>
        <v>45.5514481034483</v>
      </c>
    </row>
    <row r="233" customFormat="false" ht="12.75" hidden="false" customHeight="false" outlineLevel="0" collapsed="false">
      <c r="B233" s="195" t="n">
        <v>43405</v>
      </c>
      <c r="C233" s="196" t="n">
        <v>26.607</v>
      </c>
      <c r="D233" s="197" t="n">
        <v>0.176</v>
      </c>
      <c r="E233" s="198" t="n">
        <f aca="false">C233+(0.03*42)</f>
        <v>27.867</v>
      </c>
      <c r="F233" s="187" t="n">
        <f aca="false">E233/$F$4</f>
        <v>4.80465517241379</v>
      </c>
      <c r="H233" s="199" t="n">
        <f aca="false">(F233*$H$3)/1000</f>
        <v>46.0237918965517</v>
      </c>
    </row>
    <row r="234" customFormat="false" ht="12.75" hidden="false" customHeight="false" outlineLevel="0" collapsed="false">
      <c r="B234" s="195" t="n">
        <v>43435</v>
      </c>
      <c r="C234" s="196" t="n">
        <v>26.855</v>
      </c>
      <c r="D234" s="197" t="n">
        <v>0.176</v>
      </c>
      <c r="E234" s="198" t="n">
        <f aca="false">C234+(0.03*42)</f>
        <v>28.115</v>
      </c>
      <c r="F234" s="187" t="n">
        <f aca="false">E234/$F$4</f>
        <v>4.84741379310345</v>
      </c>
      <c r="H234" s="199" t="n">
        <f aca="false">(F234*$H$3)/1000</f>
        <v>46.4333767241379</v>
      </c>
    </row>
    <row r="235" customFormat="false" ht="12.75" hidden="false" customHeight="false" outlineLevel="0" collapsed="false">
      <c r="B235" s="195" t="n">
        <v>43466</v>
      </c>
      <c r="C235" s="196" t="n">
        <v>26.523</v>
      </c>
      <c r="D235" s="197" t="n">
        <v>0.176</v>
      </c>
      <c r="E235" s="198" t="n">
        <f aca="false">C235+(0.03*42)</f>
        <v>27.783</v>
      </c>
      <c r="F235" s="187" t="n">
        <f aca="false">E235/$F$4</f>
        <v>4.79017241379311</v>
      </c>
      <c r="H235" s="199" t="n">
        <f aca="false">(F235*$H$3)/1000</f>
        <v>45.8850615517242</v>
      </c>
    </row>
    <row r="236" customFormat="false" ht="12.75" hidden="false" customHeight="false" outlineLevel="0" collapsed="false">
      <c r="B236" s="195" t="n">
        <v>43497</v>
      </c>
      <c r="C236" s="196" t="n">
        <v>25.948</v>
      </c>
      <c r="D236" s="197" t="n">
        <v>0.176</v>
      </c>
      <c r="E236" s="198" t="n">
        <f aca="false">C236+(0.03*42)</f>
        <v>27.208</v>
      </c>
      <c r="F236" s="187" t="n">
        <f aca="false">E236/$F$4</f>
        <v>4.69103448275862</v>
      </c>
      <c r="H236" s="199" t="n">
        <f aca="false">(F236*$H$3)/1000</f>
        <v>44.9354193103448</v>
      </c>
    </row>
    <row r="237" customFormat="false" ht="12.75" hidden="false" customHeight="false" outlineLevel="0" collapsed="false">
      <c r="B237" s="195" t="n">
        <v>43525</v>
      </c>
      <c r="C237" s="196" t="n">
        <v>25.385</v>
      </c>
      <c r="D237" s="197" t="n">
        <v>0.176</v>
      </c>
      <c r="E237" s="198" t="n">
        <f aca="false">C237+(0.03*42)</f>
        <v>26.645</v>
      </c>
      <c r="F237" s="187" t="n">
        <f aca="false">E237/$F$4</f>
        <v>4.59396551724138</v>
      </c>
      <c r="H237" s="199" t="n">
        <f aca="false">(F237*$H$3)/1000</f>
        <v>44.0055956896552</v>
      </c>
    </row>
    <row r="238" customFormat="false" ht="12.75" hidden="false" customHeight="false" outlineLevel="0" collapsed="false">
      <c r="B238" s="195" t="n">
        <v>43556</v>
      </c>
      <c r="C238" s="196" t="n">
        <v>24.805</v>
      </c>
      <c r="D238" s="197" t="n">
        <v>0.176</v>
      </c>
      <c r="E238" s="198" t="n">
        <f aca="false">C238+(0.03*42)</f>
        <v>26.065</v>
      </c>
      <c r="F238" s="187" t="n">
        <f aca="false">E238/$F$4</f>
        <v>4.49396551724138</v>
      </c>
      <c r="H238" s="199" t="n">
        <f aca="false">(F238*$H$3)/1000</f>
        <v>43.0476956896552</v>
      </c>
    </row>
    <row r="239" customFormat="false" ht="12.75" hidden="false" customHeight="false" outlineLevel="0" collapsed="false">
      <c r="B239" s="195" t="n">
        <v>43586</v>
      </c>
      <c r="C239" s="196" t="n">
        <v>24.415</v>
      </c>
      <c r="D239" s="197" t="n">
        <v>0.176</v>
      </c>
      <c r="E239" s="198" t="n">
        <f aca="false">C239+(0.03*42)</f>
        <v>25.675</v>
      </c>
      <c r="F239" s="187" t="n">
        <f aca="false">E239/$F$4</f>
        <v>4.42672413793104</v>
      </c>
      <c r="H239" s="199" t="n">
        <f aca="false">(F239*$H$3)/1000</f>
        <v>42.4035905172414</v>
      </c>
    </row>
    <row r="240" customFormat="false" ht="12.75" hidden="false" customHeight="false" outlineLevel="0" collapsed="false">
      <c r="B240" s="195" t="n">
        <v>43617</v>
      </c>
      <c r="C240" s="196" t="n">
        <v>24.377</v>
      </c>
      <c r="D240" s="197" t="n">
        <v>0.176</v>
      </c>
      <c r="E240" s="198" t="n">
        <f aca="false">C240+(0.03*42)</f>
        <v>25.637</v>
      </c>
      <c r="F240" s="187" t="n">
        <f aca="false">E240/$F$4</f>
        <v>4.42017241379311</v>
      </c>
      <c r="H240" s="199" t="n">
        <f aca="false">(F240*$H$3)/1000</f>
        <v>42.3408315517242</v>
      </c>
    </row>
    <row r="241" customFormat="false" ht="12.75" hidden="false" customHeight="false" outlineLevel="0" collapsed="false">
      <c r="B241" s="195" t="n">
        <v>43647</v>
      </c>
      <c r="C241" s="196" t="n">
        <v>24.709</v>
      </c>
      <c r="D241" s="197" t="n">
        <v>0.176</v>
      </c>
      <c r="E241" s="198" t="n">
        <f aca="false">C241+(0.03*42)</f>
        <v>25.969</v>
      </c>
      <c r="F241" s="187" t="n">
        <f aca="false">E241/$F$4</f>
        <v>4.47741379310345</v>
      </c>
      <c r="H241" s="199" t="n">
        <f aca="false">(F241*$H$3)/1000</f>
        <v>42.8891467241379</v>
      </c>
    </row>
    <row r="242" customFormat="false" ht="12.75" hidden="false" customHeight="false" outlineLevel="0" collapsed="false">
      <c r="B242" s="195" t="n">
        <v>43678</v>
      </c>
      <c r="C242" s="196" t="n">
        <v>25.234</v>
      </c>
      <c r="D242" s="197" t="n">
        <v>0.176</v>
      </c>
      <c r="E242" s="198" t="n">
        <f aca="false">C242+(0.03*42)</f>
        <v>26.494</v>
      </c>
      <c r="F242" s="187" t="n">
        <f aca="false">E242/$F$4</f>
        <v>4.56793103448276</v>
      </c>
      <c r="H242" s="199" t="n">
        <f aca="false">(F242*$H$3)/1000</f>
        <v>43.7562113793104</v>
      </c>
    </row>
    <row r="243" customFormat="false" ht="12.75" hidden="false" customHeight="false" outlineLevel="0" collapsed="false">
      <c r="B243" s="195" t="n">
        <v>43709</v>
      </c>
      <c r="C243" s="196" t="n">
        <v>25.784</v>
      </c>
      <c r="D243" s="197" t="n">
        <v>0.176</v>
      </c>
      <c r="E243" s="198" t="n">
        <f aca="false">C243+(0.03*42)</f>
        <v>27.044</v>
      </c>
      <c r="F243" s="187" t="n">
        <f aca="false">E243/$F$4</f>
        <v>4.66275862068966</v>
      </c>
      <c r="H243" s="199" t="n">
        <f aca="false">(F243*$H$3)/1000</f>
        <v>44.6645648275862</v>
      </c>
    </row>
    <row r="244" customFormat="false" ht="12.75" hidden="false" customHeight="false" outlineLevel="0" collapsed="false">
      <c r="B244" s="195" t="n">
        <v>43739</v>
      </c>
      <c r="C244" s="196" t="n">
        <v>26.321</v>
      </c>
      <c r="D244" s="197" t="n">
        <v>0.176</v>
      </c>
      <c r="E244" s="198" t="n">
        <f aca="false">C244+(0.03*42)</f>
        <v>27.581</v>
      </c>
      <c r="F244" s="187" t="n">
        <f aca="false">E244/$F$4</f>
        <v>4.75534482758621</v>
      </c>
      <c r="H244" s="199" t="n">
        <f aca="false">(F244*$H$3)/1000</f>
        <v>45.5514481034483</v>
      </c>
    </row>
    <row r="245" customFormat="false" ht="12.75" hidden="false" customHeight="false" outlineLevel="0" collapsed="false">
      <c r="B245" s="195" t="n">
        <v>43770</v>
      </c>
      <c r="C245" s="196" t="n">
        <v>26.607</v>
      </c>
      <c r="D245" s="197" t="n">
        <v>0.176</v>
      </c>
      <c r="E245" s="198" t="n">
        <f aca="false">C245+(0.03*42)</f>
        <v>27.867</v>
      </c>
      <c r="F245" s="187" t="n">
        <f aca="false">E245/$F$4</f>
        <v>4.80465517241379</v>
      </c>
      <c r="H245" s="199" t="n">
        <f aca="false">(F245*$H$3)/1000</f>
        <v>46.0237918965517</v>
      </c>
    </row>
    <row r="246" customFormat="false" ht="12.75" hidden="false" customHeight="false" outlineLevel="0" collapsed="false">
      <c r="B246" s="195" t="n">
        <v>43800</v>
      </c>
      <c r="C246" s="196" t="n">
        <v>26.855</v>
      </c>
      <c r="D246" s="197" t="n">
        <v>0.176</v>
      </c>
      <c r="E246" s="198" t="n">
        <f aca="false">C246+(0.03*42)</f>
        <v>28.115</v>
      </c>
      <c r="F246" s="187" t="n">
        <f aca="false">E246/$F$4</f>
        <v>4.84741379310345</v>
      </c>
      <c r="H246" s="199" t="n">
        <f aca="false">(F246*$H$3)/1000</f>
        <v>46.4333767241379</v>
      </c>
    </row>
    <row r="247" customFormat="false" ht="12.75" hidden="false" customHeight="false" outlineLevel="0" collapsed="false">
      <c r="B247" s="195" t="n">
        <v>43831</v>
      </c>
      <c r="C247" s="196" t="n">
        <v>26.523</v>
      </c>
      <c r="D247" s="197" t="n">
        <v>0.176</v>
      </c>
      <c r="E247" s="198" t="n">
        <f aca="false">C247+(0.03*42)</f>
        <v>27.783</v>
      </c>
      <c r="F247" s="187" t="n">
        <f aca="false">E247/$F$4</f>
        <v>4.79017241379311</v>
      </c>
      <c r="H247" s="200"/>
    </row>
    <row r="248" customFormat="false" ht="12.75" hidden="false" customHeight="false" outlineLevel="0" collapsed="false">
      <c r="B248" s="195" t="n">
        <v>43862</v>
      </c>
      <c r="C248" s="196" t="n">
        <v>25.948</v>
      </c>
      <c r="D248" s="197" t="n">
        <v>0.176</v>
      </c>
      <c r="E248" s="198" t="n">
        <f aca="false">C248+(0.03*42)</f>
        <v>27.208</v>
      </c>
      <c r="F248" s="187" t="n">
        <f aca="false">E248/$F$4</f>
        <v>4.69103448275862</v>
      </c>
    </row>
    <row r="249" customFormat="false" ht="12.75" hidden="false" customHeight="false" outlineLevel="0" collapsed="false">
      <c r="B249" s="195" t="n">
        <v>43891</v>
      </c>
      <c r="C249" s="196" t="n">
        <v>25.385</v>
      </c>
      <c r="D249" s="197" t="n">
        <v>0.176</v>
      </c>
      <c r="E249" s="198" t="n">
        <f aca="false">C249+(0.03*42)</f>
        <v>26.645</v>
      </c>
      <c r="F249" s="187" t="n">
        <f aca="false">E249/$F$4</f>
        <v>4.59396551724138</v>
      </c>
    </row>
    <row r="250" customFormat="false" ht="12.75" hidden="false" customHeight="false" outlineLevel="0" collapsed="false">
      <c r="B250" s="195" t="n">
        <v>43922</v>
      </c>
      <c r="C250" s="196" t="n">
        <v>24.805</v>
      </c>
      <c r="D250" s="197" t="n">
        <v>0.176</v>
      </c>
      <c r="E250" s="198" t="n">
        <f aca="false">C250+(0.03*42)</f>
        <v>26.065</v>
      </c>
      <c r="F250" s="187" t="n">
        <f aca="false">E250/$F$4</f>
        <v>4.49396551724138</v>
      </c>
    </row>
    <row r="251" customFormat="false" ht="12.75" hidden="false" customHeight="false" outlineLevel="0" collapsed="false">
      <c r="B251" s="195" t="n">
        <v>43952</v>
      </c>
      <c r="C251" s="196" t="n">
        <v>24.415</v>
      </c>
      <c r="D251" s="197" t="n">
        <v>0.176</v>
      </c>
      <c r="E251" s="198" t="n">
        <f aca="false">C251+(0.03*42)</f>
        <v>25.675</v>
      </c>
      <c r="F251" s="187" t="n">
        <f aca="false">E251/$F$4</f>
        <v>4.42672413793104</v>
      </c>
    </row>
    <row r="252" customFormat="false" ht="12.75" hidden="false" customHeight="false" outlineLevel="0" collapsed="false">
      <c r="B252" s="195" t="n">
        <v>43983</v>
      </c>
      <c r="C252" s="196" t="n">
        <v>24.377</v>
      </c>
      <c r="D252" s="197" t="n">
        <v>0.176</v>
      </c>
      <c r="E252" s="198" t="n">
        <f aca="false">C252+(0.03*42)</f>
        <v>25.637</v>
      </c>
      <c r="F252" s="187" t="n">
        <f aca="false">E252/$F$4</f>
        <v>4.42017241379311</v>
      </c>
    </row>
    <row r="253" customFormat="false" ht="12.75" hidden="false" customHeight="false" outlineLevel="0" collapsed="false">
      <c r="B253" s="195" t="n">
        <v>44013</v>
      </c>
      <c r="C253" s="196" t="n">
        <v>24.709</v>
      </c>
      <c r="D253" s="197" t="n">
        <v>0.176</v>
      </c>
      <c r="E253" s="198" t="n">
        <f aca="false">C253+(0.03*42)</f>
        <v>25.969</v>
      </c>
      <c r="F253" s="187" t="n">
        <f aca="false">E253/$F$4</f>
        <v>4.47741379310345</v>
      </c>
    </row>
    <row r="254" customFormat="false" ht="12.75" hidden="false" customHeight="false" outlineLevel="0" collapsed="false">
      <c r="B254" s="195" t="n">
        <v>44044</v>
      </c>
      <c r="C254" s="196" t="n">
        <v>25.234</v>
      </c>
      <c r="D254" s="197" t="n">
        <v>0.176</v>
      </c>
      <c r="E254" s="198" t="n">
        <f aca="false">C254+(0.03*42)</f>
        <v>26.494</v>
      </c>
      <c r="F254" s="187" t="n">
        <f aca="false">E254/$F$4</f>
        <v>4.56793103448276</v>
      </c>
    </row>
    <row r="255" customFormat="false" ht="12.75" hidden="false" customHeight="false" outlineLevel="0" collapsed="false">
      <c r="B255" s="195" t="n">
        <v>44075</v>
      </c>
      <c r="C255" s="196" t="n">
        <v>25.784</v>
      </c>
      <c r="D255" s="197" t="n">
        <v>0.176</v>
      </c>
      <c r="E255" s="198" t="n">
        <f aca="false">C255+(0.03*42)</f>
        <v>27.044</v>
      </c>
      <c r="F255" s="187" t="n">
        <f aca="false">E255/$F$4</f>
        <v>4.66275862068966</v>
      </c>
    </row>
    <row r="256" customFormat="false" ht="12.75" hidden="false" customHeight="false" outlineLevel="0" collapsed="false">
      <c r="B256" s="195" t="n">
        <v>44105</v>
      </c>
      <c r="C256" s="196" t="n">
        <v>26.321</v>
      </c>
      <c r="D256" s="197" t="n">
        <v>0.176</v>
      </c>
      <c r="E256" s="198" t="n">
        <f aca="false">C256+(0.03*42)</f>
        <v>27.581</v>
      </c>
      <c r="F256" s="187" t="n">
        <f aca="false">E256/$F$4</f>
        <v>4.75534482758621</v>
      </c>
    </row>
    <row r="257" customFormat="false" ht="12.75" hidden="false" customHeight="false" outlineLevel="0" collapsed="false">
      <c r="B257" s="195" t="n">
        <v>44136</v>
      </c>
      <c r="C257" s="196" t="n">
        <v>26.607</v>
      </c>
      <c r="D257" s="197" t="n">
        <v>0.176</v>
      </c>
      <c r="E257" s="198" t="n">
        <f aca="false">C257+(0.03*42)</f>
        <v>27.867</v>
      </c>
      <c r="F257" s="187" t="n">
        <f aca="false">E257/$F$4</f>
        <v>4.80465517241379</v>
      </c>
    </row>
    <row r="258" customFormat="false" ht="12.75" hidden="false" customHeight="false" outlineLevel="0" collapsed="false">
      <c r="B258" s="195" t="n">
        <v>44166</v>
      </c>
      <c r="C258" s="196" t="n">
        <v>26.855</v>
      </c>
      <c r="D258" s="197" t="n">
        <v>0.176</v>
      </c>
      <c r="E258" s="198" t="n">
        <f aca="false">C258+(0.03*42)</f>
        <v>28.115</v>
      </c>
      <c r="F258" s="187" t="n">
        <f aca="false">E258/$F$4</f>
        <v>4.84741379310345</v>
      </c>
    </row>
    <row r="259" customFormat="false" ht="12.75" hidden="false" customHeight="false" outlineLevel="0" collapsed="false">
      <c r="B259" s="195" t="n">
        <v>44197</v>
      </c>
      <c r="C259" s="196" t="n">
        <v>26.523</v>
      </c>
      <c r="D259" s="197" t="n">
        <v>0.176</v>
      </c>
      <c r="E259" s="198" t="n">
        <f aca="false">C259+(0.03*42)</f>
        <v>27.783</v>
      </c>
      <c r="F259" s="187" t="n">
        <f aca="false">E259/$F$4</f>
        <v>4.79017241379311</v>
      </c>
    </row>
    <row r="260" customFormat="false" ht="12.75" hidden="false" customHeight="false" outlineLevel="0" collapsed="false">
      <c r="B260" s="195" t="n">
        <v>44228</v>
      </c>
      <c r="C260" s="196" t="n">
        <v>25.948</v>
      </c>
      <c r="D260" s="197" t="n">
        <v>0.176</v>
      </c>
      <c r="E260" s="198" t="n">
        <f aca="false">C260+(0.03*42)</f>
        <v>27.208</v>
      </c>
      <c r="F260" s="187" t="n">
        <f aca="false">E260/$F$4</f>
        <v>4.69103448275862</v>
      </c>
    </row>
    <row r="261" customFormat="false" ht="12.75" hidden="false" customHeight="false" outlineLevel="0" collapsed="false">
      <c r="B261" s="195" t="n">
        <v>44256</v>
      </c>
      <c r="C261" s="196" t="n">
        <v>25.385</v>
      </c>
      <c r="D261" s="197" t="n">
        <v>0.176</v>
      </c>
      <c r="E261" s="198" t="n">
        <f aca="false">C261+(0.03*42)</f>
        <v>26.645</v>
      </c>
      <c r="F261" s="187" t="n">
        <f aca="false">E261/$F$4</f>
        <v>4.59396551724138</v>
      </c>
    </row>
    <row r="262" customFormat="false" ht="12.75" hidden="false" customHeight="false" outlineLevel="0" collapsed="false">
      <c r="B262" s="195" t="n">
        <v>44287</v>
      </c>
      <c r="C262" s="196" t="n">
        <v>24.805</v>
      </c>
      <c r="D262" s="197" t="n">
        <v>0.176</v>
      </c>
      <c r="E262" s="198" t="n">
        <f aca="false">C262+(0.03*42)</f>
        <v>26.065</v>
      </c>
      <c r="F262" s="187" t="n">
        <f aca="false">E262/$F$4</f>
        <v>4.49396551724138</v>
      </c>
    </row>
    <row r="263" customFormat="false" ht="12.75" hidden="false" customHeight="false" outlineLevel="0" collapsed="false">
      <c r="B263" s="195" t="n">
        <v>44317</v>
      </c>
      <c r="C263" s="196" t="n">
        <v>24.415</v>
      </c>
      <c r="D263" s="197" t="n">
        <v>0.176</v>
      </c>
      <c r="E263" s="198" t="n">
        <f aca="false">C263+(0.03*42)</f>
        <v>25.675</v>
      </c>
      <c r="F263" s="187" t="n">
        <f aca="false">E263/$F$4</f>
        <v>4.42672413793104</v>
      </c>
    </row>
    <row r="264" customFormat="false" ht="12.75" hidden="false" customHeight="false" outlineLevel="0" collapsed="false">
      <c r="B264" s="195" t="n">
        <v>44348</v>
      </c>
      <c r="C264" s="196" t="n">
        <v>24.377</v>
      </c>
      <c r="D264" s="197" t="n">
        <v>0.176</v>
      </c>
      <c r="E264" s="198" t="n">
        <f aca="false">C264+(0.03*42)</f>
        <v>25.637</v>
      </c>
      <c r="F264" s="187" t="n">
        <f aca="false">E264/$F$4</f>
        <v>4.42017241379311</v>
      </c>
    </row>
    <row r="265" customFormat="false" ht="12.75" hidden="false" customHeight="false" outlineLevel="0" collapsed="false">
      <c r="B265" s="195" t="n">
        <v>44378</v>
      </c>
      <c r="C265" s="196" t="n">
        <v>24.709</v>
      </c>
      <c r="D265" s="197" t="n">
        <v>0.176</v>
      </c>
      <c r="E265" s="198" t="n">
        <f aca="false">C265+(0.03*42)</f>
        <v>25.969</v>
      </c>
      <c r="F265" s="187" t="n">
        <f aca="false">E265/$F$4</f>
        <v>4.47741379310345</v>
      </c>
    </row>
    <row r="266" customFormat="false" ht="12.75" hidden="false" customHeight="false" outlineLevel="0" collapsed="false">
      <c r="B266" s="195" t="n">
        <v>44409</v>
      </c>
      <c r="C266" s="196" t="n">
        <v>25.234</v>
      </c>
      <c r="D266" s="197" t="n">
        <v>0.176</v>
      </c>
      <c r="E266" s="198" t="n">
        <f aca="false">C266+(0.03*42)</f>
        <v>26.494</v>
      </c>
      <c r="F266" s="187" t="n">
        <f aca="false">E266/$F$4</f>
        <v>4.56793103448276</v>
      </c>
    </row>
    <row r="267" customFormat="false" ht="12.75" hidden="false" customHeight="false" outlineLevel="0" collapsed="false">
      <c r="B267" s="195" t="n">
        <v>44440</v>
      </c>
      <c r="C267" s="196" t="n">
        <v>25.784</v>
      </c>
      <c r="D267" s="197" t="n">
        <v>0.176</v>
      </c>
      <c r="E267" s="198" t="n">
        <f aca="false">C267+(0.03*42)</f>
        <v>27.044</v>
      </c>
      <c r="F267" s="187" t="n">
        <f aca="false">E267/$F$4</f>
        <v>4.66275862068966</v>
      </c>
    </row>
    <row r="268" customFormat="false" ht="12.75" hidden="false" customHeight="false" outlineLevel="0" collapsed="false">
      <c r="B268" s="195" t="n">
        <v>44470</v>
      </c>
      <c r="C268" s="196" t="n">
        <v>26.321</v>
      </c>
      <c r="D268" s="197" t="n">
        <v>0.176</v>
      </c>
      <c r="E268" s="201" t="n">
        <f aca="false">C268+(0.03*42)</f>
        <v>27.581</v>
      </c>
      <c r="F268" s="202" t="n">
        <f aca="false">E268/$F$4</f>
        <v>4.75534482758621</v>
      </c>
    </row>
    <row r="269" customFormat="false" ht="12.75" hidden="false" customHeight="false" outlineLevel="0" collapsed="false">
      <c r="B269" s="195" t="n">
        <v>44501</v>
      </c>
      <c r="C269" s="203"/>
      <c r="D269" s="2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8" zoomScaleNormal="78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39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7" activeCellId="0" sqref="I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0" width="11.99"/>
    <col collapsed="false" customWidth="true" hidden="false" outlineLevel="0" max="2" min="2" style="204" width="11.7"/>
    <col collapsed="false" customWidth="true" hidden="false" outlineLevel="0" max="3" min="3" style="180" width="12.56"/>
    <col collapsed="false" customWidth="false" hidden="false" outlineLevel="0" max="4" min="4" style="180" width="9.14"/>
    <col collapsed="false" customWidth="true" hidden="false" outlineLevel="0" max="5" min="5" style="180" width="1.7"/>
    <col collapsed="false" customWidth="true" hidden="false" outlineLevel="0" max="6" min="6" style="180" width="11.28"/>
    <col collapsed="false" customWidth="false" hidden="false" outlineLevel="0" max="7" min="7" style="180" width="9.14"/>
    <col collapsed="false" customWidth="true" hidden="false" outlineLevel="0" max="8" min="8" style="204" width="3.99"/>
    <col collapsed="false" customWidth="true" hidden="false" outlineLevel="0" max="9" min="9" style="204" width="11.85"/>
    <col collapsed="false" customWidth="false" hidden="false" outlineLevel="0" max="10" min="10" style="204" width="9.14"/>
    <col collapsed="false" customWidth="true" hidden="false" outlineLevel="0" max="11" min="11" style="204" width="14.85"/>
    <col collapsed="false" customWidth="true" hidden="false" outlineLevel="0" max="12" min="12" style="204" width="13.14"/>
    <col collapsed="false" customWidth="true" hidden="false" outlineLevel="0" max="13" min="13" style="204" width="11.28"/>
    <col collapsed="false" customWidth="true" hidden="false" outlineLevel="0" max="14" min="14" style="204" width="15.7"/>
    <col collapsed="false" customWidth="true" hidden="false" outlineLevel="0" max="15" min="15" style="204" width="10.13"/>
    <col collapsed="false" customWidth="true" hidden="false" outlineLevel="0" max="16" min="16" style="204" width="11.42"/>
    <col collapsed="false" customWidth="true" hidden="false" outlineLevel="0" max="17" min="17" style="204" width="14.85"/>
    <col collapsed="false" customWidth="true" hidden="false" outlineLevel="0" max="18" min="18" style="204" width="0.85"/>
    <col collapsed="false" customWidth="true" hidden="false" outlineLevel="0" max="19" min="19" style="204" width="12.28"/>
    <col collapsed="false" customWidth="true" hidden="false" outlineLevel="0" max="20" min="20" style="204" width="14.85"/>
    <col collapsed="false" customWidth="true" hidden="false" outlineLevel="0" max="21" min="21" style="204" width="13.56"/>
    <col collapsed="false" customWidth="true" hidden="false" outlineLevel="0" max="22" min="22" style="204" width="0.85"/>
    <col collapsed="false" customWidth="true" hidden="false" outlineLevel="0" max="23" min="23" style="204" width="14.28"/>
    <col collapsed="false" customWidth="true" hidden="false" outlineLevel="0" max="24" min="24" style="204" width="1.99"/>
    <col collapsed="false" customWidth="true" hidden="false" outlineLevel="0" max="25" min="25" style="204" width="3.85"/>
    <col collapsed="false" customWidth="false" hidden="false" outlineLevel="0" max="28" min="26" style="204" width="9.14"/>
    <col collapsed="false" customWidth="false" hidden="false" outlineLevel="0" max="30" min="29" style="10" width="9.14"/>
    <col collapsed="false" customWidth="true" hidden="false" outlineLevel="0" max="31" min="31" style="10" width="13.28"/>
    <col collapsed="false" customWidth="true" hidden="false" outlineLevel="0" max="32" min="32" style="10" width="12.28"/>
    <col collapsed="false" customWidth="true" hidden="false" outlineLevel="0" max="33" min="33" style="10" width="14.85"/>
    <col collapsed="false" customWidth="true" hidden="false" outlineLevel="0" max="34" min="34" style="205" width="14.85"/>
    <col collapsed="false" customWidth="true" hidden="false" outlineLevel="0" max="35" min="35" style="10" width="2.7"/>
    <col collapsed="false" customWidth="true" hidden="false" outlineLevel="0" max="37" min="36" style="10" width="14.85"/>
    <col collapsed="false" customWidth="true" hidden="false" outlineLevel="0" max="38" min="38" style="10" width="13.7"/>
    <col collapsed="false" customWidth="false" hidden="false" outlineLevel="0" max="44" min="39" style="10" width="9.14"/>
    <col collapsed="false" customWidth="false" hidden="false" outlineLevel="0" max="257" min="45" style="204" width="9.14"/>
  </cols>
  <sheetData>
    <row r="1" customFormat="false" ht="12.75" hidden="false" customHeight="false" outlineLevel="0" collapsed="false">
      <c r="C1" s="206" t="n">
        <f aca="false">IF(SUM(K4:K250)=0,0,SUMPRODUCT(C4:C250,K4:K250,'Revenues &amp; Expenses'!N12:N258)/SUMPRODUCT('Revenues &amp; Expenses'!N12:N258,'Curve Analysis - Base Case'!K4:K250))</f>
        <v>85.5538657256563</v>
      </c>
      <c r="D1" s="207" t="n">
        <f aca="false">IF(SUM(K4:K250)=0,0,SUMPRODUCT(D4:D250,K4:K250,'Revenues &amp; Expenses'!N12:N258)/SUMPRODUCT('Revenues &amp; Expenses'!N12:N258,'Curve Analysis - Base Case'!K4:K250))</f>
        <v>46.4320576920729</v>
      </c>
      <c r="I1" s="208" t="n">
        <f aca="false">IF(SUM(I4:I250)=0,0,SUM(I4:I238)/247)</f>
        <v>0.242914979757085</v>
      </c>
      <c r="J1" s="209"/>
      <c r="K1" s="210" t="n">
        <f aca="false">SUMPRODUCT(K4:K250,'Revenues &amp; Expenses'!N12:N258)</f>
        <v>3577796.00163354</v>
      </c>
      <c r="L1" s="211"/>
      <c r="M1" s="212"/>
      <c r="N1" s="212"/>
      <c r="O1" s="213"/>
      <c r="P1" s="214"/>
      <c r="Q1" s="214"/>
      <c r="R1" s="215"/>
      <c r="S1" s="216" t="s">
        <v>86</v>
      </c>
      <c r="T1" s="216" t="s">
        <v>87</v>
      </c>
      <c r="U1" s="214"/>
      <c r="V1" s="215"/>
      <c r="W1" s="214"/>
      <c r="X1" s="214"/>
      <c r="Y1" s="217"/>
      <c r="AE1" s="10" t="n">
        <f aca="false">SUM(AE4:AE250)</f>
        <v>306094278.717546</v>
      </c>
      <c r="AF1" s="10" t="n">
        <f aca="false">SUM('Financial Statements'!C12:W12)</f>
        <v>617908519.165649</v>
      </c>
    </row>
    <row r="2" customFormat="false" ht="20.25" hidden="false" customHeight="false" outlineLevel="0" collapsed="false">
      <c r="A2" s="218" t="s">
        <v>88</v>
      </c>
      <c r="C2" s="218" t="s">
        <v>89</v>
      </c>
      <c r="D2" s="218" t="s">
        <v>90</v>
      </c>
      <c r="E2" s="218"/>
      <c r="F2" s="218" t="s">
        <v>91</v>
      </c>
      <c r="G2" s="218" t="s">
        <v>92</v>
      </c>
      <c r="I2" s="219" t="s">
        <v>93</v>
      </c>
      <c r="J2" s="220"/>
      <c r="K2" s="211"/>
      <c r="M2" s="219" t="s">
        <v>94</v>
      </c>
      <c r="N2" s="219" t="s">
        <v>94</v>
      </c>
      <c r="O2" s="221"/>
      <c r="P2" s="222"/>
      <c r="Q2" s="223" t="s">
        <v>95</v>
      </c>
      <c r="R2" s="224"/>
      <c r="S2" s="223" t="s">
        <v>96</v>
      </c>
      <c r="T2" s="223" t="s">
        <v>97</v>
      </c>
      <c r="U2" s="223" t="s">
        <v>98</v>
      </c>
      <c r="V2" s="224"/>
      <c r="W2" s="225"/>
      <c r="X2" s="225"/>
      <c r="Y2" s="226"/>
      <c r="AE2" s="227"/>
      <c r="AF2" s="227"/>
      <c r="AG2" s="227" t="s">
        <v>69</v>
      </c>
      <c r="AH2" s="228" t="s">
        <v>94</v>
      </c>
      <c r="AI2" s="227"/>
      <c r="AK2" s="227" t="s">
        <v>69</v>
      </c>
      <c r="AL2" s="228" t="s">
        <v>94</v>
      </c>
      <c r="AS2" s="229"/>
      <c r="AT2" s="229"/>
      <c r="AU2" s="229"/>
    </row>
    <row r="3" customFormat="false" ht="13.5" hidden="false" customHeight="false" outlineLevel="0" collapsed="false">
      <c r="A3" s="230" t="s">
        <v>9</v>
      </c>
      <c r="C3" s="230" t="s">
        <v>99</v>
      </c>
      <c r="D3" s="230" t="s">
        <v>71</v>
      </c>
      <c r="E3" s="218"/>
      <c r="F3" s="230" t="s">
        <v>63</v>
      </c>
      <c r="G3" s="230" t="s">
        <v>100</v>
      </c>
      <c r="I3" s="231" t="s">
        <v>101</v>
      </c>
      <c r="J3" s="231" t="s">
        <v>102</v>
      </c>
      <c r="K3" s="231" t="s">
        <v>103</v>
      </c>
      <c r="L3" s="231" t="s">
        <v>104</v>
      </c>
      <c r="M3" s="231" t="s">
        <v>105</v>
      </c>
      <c r="N3" s="231" t="s">
        <v>103</v>
      </c>
      <c r="O3" s="221"/>
      <c r="P3" s="232" t="s">
        <v>106</v>
      </c>
      <c r="Q3" s="233" t="n">
        <f aca="false">IF(SUM(Q4:Q24)&gt;1,1,0)</f>
        <v>1</v>
      </c>
      <c r="R3" s="234"/>
      <c r="S3" s="235" t="s">
        <v>107</v>
      </c>
      <c r="T3" s="235" t="s">
        <v>108</v>
      </c>
      <c r="U3" s="235" t="s">
        <v>109</v>
      </c>
      <c r="V3" s="234"/>
      <c r="W3" s="236" t="s">
        <v>110</v>
      </c>
      <c r="X3" s="225"/>
      <c r="Y3" s="226"/>
      <c r="AE3" s="237" t="s">
        <v>111</v>
      </c>
      <c r="AF3" s="237" t="s">
        <v>104</v>
      </c>
      <c r="AG3" s="237" t="s">
        <v>112</v>
      </c>
      <c r="AH3" s="238" t="s">
        <v>112</v>
      </c>
      <c r="AI3" s="237"/>
      <c r="AJ3" s="239" t="s">
        <v>113</v>
      </c>
      <c r="AK3" s="237" t="s">
        <v>112</v>
      </c>
      <c r="AL3" s="238" t="s">
        <v>112</v>
      </c>
    </row>
    <row r="4" customFormat="false" ht="12.75" hidden="false" customHeight="false" outlineLevel="0" collapsed="false">
      <c r="A4" s="180" t="n">
        <v>71.6629384912511</v>
      </c>
      <c r="B4" s="240" t="n">
        <f aca="false">'Revenues &amp; Expenses'!AX12</f>
        <v>36678</v>
      </c>
      <c r="C4" s="180" t="n">
        <f aca="false">'PJM Curve Simulation'!J12</f>
        <v>58.0750007629395</v>
      </c>
      <c r="D4" s="180" t="n">
        <f aca="false">F4+G4</f>
        <v>54.300083790315</v>
      </c>
      <c r="F4" s="180" t="n">
        <f aca="false">('Fuel Curve Simulation'!J12*'Revenues &amp; Expenses'!$S$2/1000)</f>
        <v>52.2732636206897</v>
      </c>
      <c r="G4" s="180" t="n">
        <f aca="false">'Revenues &amp; Expenses'!$AM$5*1000*'Revenues &amp; Expenses'!O12</f>
        <v>2.02682016962532</v>
      </c>
      <c r="I4" s="204" t="n">
        <f aca="false">IF(C4&gt;D4,1,0)</f>
        <v>1</v>
      </c>
      <c r="J4" s="204" t="n">
        <v>315</v>
      </c>
      <c r="K4" s="212" t="n">
        <f aca="false">IF(I4&gt;0,J4*'Revenues &amp; Expenses'!F12*16,0)</f>
        <v>110880</v>
      </c>
      <c r="L4" s="211" t="n">
        <f aca="false">K4*'Revenues &amp; Expenses'!N12</f>
        <v>108435.14340632</v>
      </c>
      <c r="M4" s="212"/>
      <c r="N4" s="212"/>
      <c r="O4" s="241" t="n">
        <v>36891</v>
      </c>
      <c r="P4" s="242" t="str">
        <f aca="false">HLOOKUP(O4,'Financial Statements'!$C$31:$W$43,13)</f>
        <v>n/a</v>
      </c>
      <c r="Q4" s="225" t="n">
        <f aca="false">IF(P4&lt;1,1,0)</f>
        <v>0</v>
      </c>
      <c r="R4" s="243"/>
      <c r="S4" s="244" t="e">
        <f aca="false">SUM('Revenues &amp; Expenses'!BJ12:$BJ$258)</f>
        <v>#NAME?</v>
      </c>
      <c r="T4" s="244" t="n">
        <f aca="false">VLOOKUP(O4,'Credit Reserve Simulation'!$C$11:$F$257,4)</f>
        <v>125699173.570108</v>
      </c>
      <c r="U4" s="245" t="e">
        <f aca="false">S4-T4+$W$18</f>
        <v>#NAME?</v>
      </c>
      <c r="V4" s="246"/>
      <c r="W4" s="223" t="s">
        <v>114</v>
      </c>
      <c r="X4" s="225" t="n">
        <f aca="false">IF(SUM(Q4:Q8)&gt;0,1,0)</f>
        <v>1</v>
      </c>
      <c r="Y4" s="226"/>
      <c r="AA4" s="247" t="n">
        <f aca="false">'Debt Amortization'!AF3</f>
        <v>0.945334521362693</v>
      </c>
      <c r="AC4" s="248" t="n">
        <f aca="false">B4</f>
        <v>36678</v>
      </c>
      <c r="AE4" s="10" t="n">
        <f aca="false">C4*L4</f>
        <v>6297371.03605146</v>
      </c>
      <c r="AF4" s="10" t="n">
        <f aca="false">L4</f>
        <v>108435.14340632</v>
      </c>
      <c r="AG4" s="205" t="n">
        <f aca="false">IF(AF4&gt;0,AE4/AF4,0)</f>
        <v>58.0750007629395</v>
      </c>
      <c r="AJ4" s="10" t="n">
        <f aca="false">D4*L4</f>
        <v>5888037.37277797</v>
      </c>
      <c r="AK4" s="249" t="n">
        <f aca="false">IF(AF4&gt;0,AJ4/AF4,0)</f>
        <v>54.300083790315</v>
      </c>
    </row>
    <row r="5" customFormat="false" ht="12.75" hidden="false" customHeight="false" outlineLevel="0" collapsed="false">
      <c r="A5" s="180" t="n">
        <v>136.230572966092</v>
      </c>
      <c r="B5" s="240" t="n">
        <f aca="false">'Revenues &amp; Expenses'!AX13</f>
        <v>36708</v>
      </c>
      <c r="C5" s="180" t="n">
        <f aca="false">'PJM Curve Simulation'!J13</f>
        <v>103.75</v>
      </c>
      <c r="D5" s="180" t="n">
        <f aca="false">F5+G5</f>
        <v>53.6109369320068</v>
      </c>
      <c r="F5" s="180" t="n">
        <f aca="false">('Fuel Curve Simulation'!J13*'Revenues &amp; Expenses'!$S$2/1000)</f>
        <v>51.5796118965517</v>
      </c>
      <c r="G5" s="180" t="n">
        <f aca="false">'Revenues &amp; Expenses'!$AM$5*1000*'Revenues &amp; Expenses'!O13</f>
        <v>2.03132503545508</v>
      </c>
      <c r="I5" s="204" t="n">
        <f aca="false">IF(C5&gt;D5,1,0)</f>
        <v>1</v>
      </c>
      <c r="J5" s="204" t="n">
        <v>315</v>
      </c>
      <c r="K5" s="212" t="n">
        <f aca="false">IF(I5&gt;0,J5*'Revenues &amp; Expenses'!F13*16,0)</f>
        <v>105840</v>
      </c>
      <c r="L5" s="211" t="n">
        <f aca="false">K5*'Revenues &amp; Expenses'!N13</f>
        <v>102943.417652349</v>
      </c>
      <c r="M5" s="212"/>
      <c r="N5" s="212"/>
      <c r="O5" s="241" t="n">
        <f aca="false">O4+365.25</f>
        <v>37256.25</v>
      </c>
      <c r="P5" s="242" t="n">
        <f aca="false">HLOOKUP(O5,'Financial Statements'!$C$31:$W$43,13)</f>
        <v>0.387811425248974</v>
      </c>
      <c r="Q5" s="225" t="n">
        <f aca="false">IF(P5&lt;1,1,0)</f>
        <v>1</v>
      </c>
      <c r="R5" s="243"/>
      <c r="S5" s="244" t="e">
        <f aca="false">SUM('Revenues &amp; Expenses'!BJ19:BJ258)</f>
        <v>#NAME?</v>
      </c>
      <c r="T5" s="244" t="n">
        <f aca="false">VLOOKUP(O5,'Credit Reserve Simulation'!$C$11:$F$257,4)</f>
        <v>115070700.643994</v>
      </c>
      <c r="U5" s="245" t="e">
        <f aca="false">S5-T5+$W$18</f>
        <v>#NAME?</v>
      </c>
      <c r="V5" s="246"/>
      <c r="W5" s="223" t="s">
        <v>115</v>
      </c>
      <c r="X5" s="225" t="n">
        <f aca="false">IF(SUM(Q9:Q13)&gt;0,1,0)</f>
        <v>1</v>
      </c>
      <c r="Y5" s="226"/>
      <c r="AA5" s="247" t="n">
        <f aca="false">'Debt Amortization'!AF4</f>
        <v>0.879502651784524</v>
      </c>
      <c r="AC5" s="248" t="n">
        <f aca="false">B5</f>
        <v>36708</v>
      </c>
      <c r="AE5" s="10" t="n">
        <f aca="false">C5*L5</f>
        <v>10680379.5814312</v>
      </c>
      <c r="AF5" s="10" t="n">
        <f aca="false">L5</f>
        <v>102943.417652349</v>
      </c>
      <c r="AG5" s="205" t="n">
        <f aca="false">IF(AF5&gt;0,AE5/AF5,0)</f>
        <v>103.75</v>
      </c>
      <c r="AJ5" s="10" t="n">
        <f aca="false">D5*L5</f>
        <v>5518893.07132532</v>
      </c>
      <c r="AK5" s="249" t="n">
        <f aca="false">IF(AF5&gt;0,AJ5/AF5,0)</f>
        <v>53.6109369320068</v>
      </c>
    </row>
    <row r="6" customFormat="false" ht="12.75" hidden="false" customHeight="false" outlineLevel="0" collapsed="false">
      <c r="A6" s="180" t="n">
        <v>111.381095115464</v>
      </c>
      <c r="B6" s="240" t="n">
        <f aca="false">'Revenues &amp; Expenses'!AX14</f>
        <v>36739</v>
      </c>
      <c r="C6" s="180" t="n">
        <f aca="false">'PJM Curve Simulation'!J14</f>
        <v>90.75</v>
      </c>
      <c r="D6" s="180" t="n">
        <f aca="false">F6+G6</f>
        <v>53.6848169828881</v>
      </c>
      <c r="F6" s="180" t="n">
        <f aca="false">('Fuel Curve Simulation'!J14*'Revenues &amp; Expenses'!$S$2/1000)</f>
        <v>51.6489770689655</v>
      </c>
      <c r="G6" s="180" t="n">
        <f aca="false">'Revenues &amp; Expenses'!$AM$5*1000*'Revenues &amp; Expenses'!O14</f>
        <v>2.03583991392259</v>
      </c>
      <c r="I6" s="204" t="n">
        <f aca="false">IF(C6&gt;D6,1,0)</f>
        <v>1</v>
      </c>
      <c r="J6" s="204" t="n">
        <v>315</v>
      </c>
      <c r="K6" s="212" t="n">
        <f aca="false">IF(I6&gt;0,J6*'Revenues &amp; Expenses'!F14*16,0)</f>
        <v>115920</v>
      </c>
      <c r="L6" s="211" t="n">
        <f aca="false">K6*'Revenues &amp; Expenses'!N14</f>
        <v>112117.257006363</v>
      </c>
      <c r="M6" s="212"/>
      <c r="N6" s="212"/>
      <c r="O6" s="241" t="n">
        <f aca="false">O5+365.25</f>
        <v>37621.5</v>
      </c>
      <c r="P6" s="242" t="n">
        <f aca="false">HLOOKUP(O6,'Financial Statements'!$C$31:$W$43,13)</f>
        <v>0.38329541065498</v>
      </c>
      <c r="Q6" s="225" t="n">
        <f aca="false">IF(P6&lt;1,1,0)</f>
        <v>1</v>
      </c>
      <c r="R6" s="243"/>
      <c r="S6" s="244" t="e">
        <f aca="false">SUM('Revenues &amp; Expenses'!BJ31:BJ258)</f>
        <v>#NAME?</v>
      </c>
      <c r="T6" s="244" t="n">
        <f aca="false">VLOOKUP(O6,'Credit Reserve Simulation'!$C$11:$F$257,4)</f>
        <v>104259585.961217</v>
      </c>
      <c r="U6" s="245" t="e">
        <f aca="false">S6-T6+$W$18</f>
        <v>#NAME?</v>
      </c>
      <c r="V6" s="246"/>
      <c r="W6" s="223" t="s">
        <v>116</v>
      </c>
      <c r="X6" s="225" t="n">
        <f aca="false">IF(SUM(Q14:Q18)&gt;0,1,0)</f>
        <v>1</v>
      </c>
      <c r="Y6" s="226"/>
      <c r="AA6" s="247" t="n">
        <f aca="false">'Debt Amortization'!AF5</f>
        <v>0.817337286416049</v>
      </c>
      <c r="AC6" s="248" t="n">
        <f aca="false">B6</f>
        <v>36739</v>
      </c>
      <c r="AE6" s="10" t="n">
        <f aca="false">C6*L6</f>
        <v>10174641.0733275</v>
      </c>
      <c r="AF6" s="10" t="n">
        <f aca="false">L6</f>
        <v>112117.257006363</v>
      </c>
      <c r="AG6" s="205" t="n">
        <f aca="false">IF(AF6&gt;0,AE6/AF6,0)</f>
        <v>90.75</v>
      </c>
      <c r="AJ6" s="10" t="n">
        <f aca="false">D6*L6</f>
        <v>6018994.42301004</v>
      </c>
      <c r="AK6" s="249" t="n">
        <f aca="false">IF(AF6&gt;0,AJ6/AF6,0)</f>
        <v>53.6848169828881</v>
      </c>
    </row>
    <row r="7" customFormat="false" ht="12.75" hidden="false" customHeight="false" outlineLevel="0" collapsed="false">
      <c r="A7" s="180" t="n">
        <v>41.0628431302484</v>
      </c>
      <c r="B7" s="240" t="n">
        <f aca="false">'Revenues &amp; Expenses'!AX15</f>
        <v>36770</v>
      </c>
      <c r="C7" s="180" t="n">
        <f aca="false">'PJM Curve Simulation'!J15</f>
        <v>35.5499992370606</v>
      </c>
      <c r="D7" s="180" t="n">
        <f aca="false">F7+G7</f>
        <v>53.7933896548684</v>
      </c>
      <c r="F7" s="180" t="n">
        <f aca="false">('Fuel Curve Simulation'!J15*'Revenues &amp; Expenses'!$S$2/1000)</f>
        <v>51.7530248275862</v>
      </c>
      <c r="G7" s="180" t="n">
        <f aca="false">'Revenues &amp; Expenses'!$AM$5*1000*'Revenues &amp; Expenses'!O15</f>
        <v>2.04036482728222</v>
      </c>
      <c r="I7" s="204" t="n">
        <f aca="false">IF(C7&gt;D7,1,0)</f>
        <v>0</v>
      </c>
      <c r="J7" s="204" t="n">
        <v>315</v>
      </c>
      <c r="K7" s="212" t="n">
        <f aca="false">IF(I7&gt;0,J7*'Revenues &amp; Expenses'!F15*16,0)</f>
        <v>0</v>
      </c>
      <c r="L7" s="211" t="n">
        <f aca="false">K7*'Revenues &amp; Expenses'!N15</f>
        <v>0</v>
      </c>
      <c r="M7" s="212"/>
      <c r="N7" s="212"/>
      <c r="O7" s="241" t="n">
        <f aca="false">O6+365.25</f>
        <v>37986.75</v>
      </c>
      <c r="P7" s="242" t="n">
        <f aca="false">HLOOKUP(O7,'Financial Statements'!$C$31:$W$43,13)</f>
        <v>0.402813530526963</v>
      </c>
      <c r="Q7" s="225" t="n">
        <f aca="false">IF(P7&lt;1,1,0)</f>
        <v>1</v>
      </c>
      <c r="R7" s="243"/>
      <c r="S7" s="244" t="e">
        <f aca="false">SUM('Revenues &amp; Expenses'!BJ43:BJ258)</f>
        <v>#NAME?</v>
      </c>
      <c r="T7" s="244" t="n">
        <f aca="false">VLOOKUP(O7,'Credit Reserve Simulation'!$C$11:$F$257,4)</f>
        <v>94212055.7583556</v>
      </c>
      <c r="U7" s="245" t="e">
        <f aca="false">S7-T7+$W$18</f>
        <v>#NAME?</v>
      </c>
      <c r="V7" s="246"/>
      <c r="W7" s="223" t="s">
        <v>117</v>
      </c>
      <c r="X7" s="225" t="n">
        <f aca="false">IF(SUM(Q19:Q23)&gt;0,1,0)</f>
        <v>1</v>
      </c>
      <c r="Y7" s="226"/>
      <c r="AA7" s="247" t="n">
        <f aca="false">'Debt Amortization'!AF6</f>
        <v>0.759617901104366</v>
      </c>
      <c r="AC7" s="248" t="n">
        <f aca="false">B7</f>
        <v>36770</v>
      </c>
      <c r="AE7" s="10" t="n">
        <f aca="false">C7*L7</f>
        <v>0</v>
      </c>
      <c r="AF7" s="10" t="n">
        <f aca="false">L7</f>
        <v>0</v>
      </c>
      <c r="AG7" s="205" t="n">
        <f aca="false">IF(AF7&gt;0,AE7/AF7,0)</f>
        <v>0</v>
      </c>
      <c r="AJ7" s="10" t="n">
        <f aca="false">D7*L7</f>
        <v>0</v>
      </c>
      <c r="AK7" s="249" t="n">
        <f aca="false">IF(AF7&gt;0,AJ7/AF7,0)</f>
        <v>0</v>
      </c>
    </row>
    <row r="8" customFormat="false" ht="12.75" hidden="false" customHeight="false" outlineLevel="0" collapsed="false">
      <c r="A8" s="180" t="n">
        <v>29.896752146244</v>
      </c>
      <c r="B8" s="240" t="n">
        <f aca="false">'Revenues &amp; Expenses'!AX16</f>
        <v>36800</v>
      </c>
      <c r="C8" s="180" t="n">
        <f aca="false">'PJM Curve Simulation'!J16</f>
        <v>25.4500007629395</v>
      </c>
      <c r="D8" s="180" t="n">
        <f aca="false">F8+G8</f>
        <v>53.9366549702516</v>
      </c>
      <c r="F8" s="180" t="n">
        <f aca="false">('Fuel Curve Simulation'!J16*'Revenues &amp; Expenses'!$S$2/1000)</f>
        <v>51.8917551724138</v>
      </c>
      <c r="G8" s="180" t="n">
        <f aca="false">'Revenues &amp; Expenses'!$AM$5*1000*'Revenues &amp; Expenses'!O16</f>
        <v>2.04489979783778</v>
      </c>
      <c r="I8" s="204" t="n">
        <f aca="false">IF(C8&gt;D8,1,0)</f>
        <v>0</v>
      </c>
      <c r="J8" s="204" t="n">
        <v>315</v>
      </c>
      <c r="K8" s="212" t="n">
        <f aca="false">IF(I8&gt;0,J8*'Revenues &amp; Expenses'!F16*16,0)</f>
        <v>0</v>
      </c>
      <c r="L8" s="211" t="n">
        <f aca="false">K8*'Revenues &amp; Expenses'!N16</f>
        <v>0</v>
      </c>
      <c r="M8" s="212"/>
      <c r="N8" s="212"/>
      <c r="O8" s="241" t="n">
        <f aca="false">O7+365.25</f>
        <v>38352</v>
      </c>
      <c r="P8" s="242" t="n">
        <f aca="false">HLOOKUP(O8,'Financial Statements'!$C$31:$W$43,13)</f>
        <v>0.411148430129334</v>
      </c>
      <c r="Q8" s="225" t="n">
        <f aca="false">IF(P8&lt;1,1,0)</f>
        <v>1</v>
      </c>
      <c r="R8" s="243"/>
      <c r="S8" s="244" t="e">
        <f aca="false">SUM('Revenues &amp; Expenses'!BJ55:BJ258)</f>
        <v>#NAME?</v>
      </c>
      <c r="T8" s="244" t="n">
        <f aca="false">VLOOKUP(O8,'Credit Reserve Simulation'!$C$11:$F$257,4)</f>
        <v>84878611.2753943</v>
      </c>
      <c r="U8" s="245" t="e">
        <f aca="false">S8-T8+$W$18</f>
        <v>#NAME?</v>
      </c>
      <c r="V8" s="246"/>
      <c r="W8" s="225"/>
      <c r="X8" s="225"/>
      <c r="Y8" s="226"/>
      <c r="AA8" s="247" t="n">
        <f aca="false">'Debt Amortization'!AF7</f>
        <v>0.705062750325475</v>
      </c>
      <c r="AC8" s="248" t="n">
        <f aca="false">B8</f>
        <v>36800</v>
      </c>
      <c r="AE8" s="10" t="n">
        <f aca="false">C8*L8</f>
        <v>0</v>
      </c>
      <c r="AF8" s="10" t="n">
        <f aca="false">L8</f>
        <v>0</v>
      </c>
      <c r="AG8" s="205" t="n">
        <f aca="false">IF(AF8&gt;0,AE8/AF8,0)</f>
        <v>0</v>
      </c>
      <c r="AJ8" s="10" t="n">
        <f aca="false">D8*L8</f>
        <v>0</v>
      </c>
      <c r="AK8" s="249" t="n">
        <f aca="false">IF(AF8&gt;0,AJ8/AF8,0)</f>
        <v>0</v>
      </c>
    </row>
    <row r="9" customFormat="false" ht="12.75" hidden="false" customHeight="false" outlineLevel="0" collapsed="false">
      <c r="A9" s="180" t="n">
        <v>29.9492482957363</v>
      </c>
      <c r="B9" s="240" t="n">
        <f aca="false">'Revenues &amp; Expenses'!AX17</f>
        <v>36831</v>
      </c>
      <c r="C9" s="180" t="n">
        <f aca="false">'PJM Curve Simulation'!J17</f>
        <v>25.1499996185303</v>
      </c>
      <c r="D9" s="180" t="n">
        <f aca="false">F9+G9</f>
        <v>54.0452477789772</v>
      </c>
      <c r="F9" s="180" t="n">
        <f aca="false">('Fuel Curve Simulation'!J17*'Revenues &amp; Expenses'!$S$2/1000)</f>
        <v>51.9958029310345</v>
      </c>
      <c r="G9" s="180" t="n">
        <f aca="false">'Revenues &amp; Expenses'!$AM$5*1000*'Revenues &amp; Expenses'!O17</f>
        <v>2.04944484794268</v>
      </c>
      <c r="I9" s="204" t="n">
        <f aca="false">IF(C9&gt;D9,1,0)</f>
        <v>0</v>
      </c>
      <c r="J9" s="204" t="n">
        <v>315</v>
      </c>
      <c r="K9" s="212" t="n">
        <f aca="false">IF(I9&gt;0,J9*'Revenues &amp; Expenses'!F17*16,0)</f>
        <v>0</v>
      </c>
      <c r="L9" s="211" t="n">
        <f aca="false">K9*'Revenues &amp; Expenses'!N17</f>
        <v>0</v>
      </c>
      <c r="M9" s="212"/>
      <c r="N9" s="212"/>
      <c r="O9" s="241" t="n">
        <f aca="false">O8+365.25</f>
        <v>38717.25</v>
      </c>
      <c r="P9" s="242" t="n">
        <f aca="false">HLOOKUP(O9,'Financial Statements'!$C$31:$W$43,13)</f>
        <v>0.441094087116348</v>
      </c>
      <c r="Q9" s="225" t="n">
        <f aca="false">IF(P9&lt;1,1,0)</f>
        <v>1</v>
      </c>
      <c r="R9" s="243"/>
      <c r="S9" s="244" t="e">
        <f aca="false">SUM('Revenues &amp; Expenses'!BJ67:BJ258)</f>
        <v>#NAME?</v>
      </c>
      <c r="T9" s="244" t="n">
        <f aca="false">VLOOKUP(O9,'Credit Reserve Simulation'!$C$11:$F$257,4)</f>
        <v>76215211.0350103</v>
      </c>
      <c r="U9" s="245" t="e">
        <f aca="false">S9-T9+$W$18</f>
        <v>#NAME?</v>
      </c>
      <c r="V9" s="246"/>
      <c r="W9" s="225"/>
      <c r="X9" s="225"/>
      <c r="Y9" s="226"/>
      <c r="AA9" s="247" t="n">
        <f aca="false">'Debt Amortization'!AF8</f>
        <v>0.654770132060224</v>
      </c>
      <c r="AC9" s="248" t="n">
        <f aca="false">B9</f>
        <v>36831</v>
      </c>
      <c r="AE9" s="10" t="n">
        <f aca="false">C9*L9</f>
        <v>0</v>
      </c>
      <c r="AF9" s="10" t="n">
        <f aca="false">L9</f>
        <v>0</v>
      </c>
      <c r="AG9" s="205" t="n">
        <f aca="false">IF(AF9&gt;0,AE9/AF9,0)</f>
        <v>0</v>
      </c>
      <c r="AJ9" s="10" t="n">
        <f aca="false">D9*L9</f>
        <v>0</v>
      </c>
      <c r="AK9" s="249" t="n">
        <f aca="false">IF(AF9&gt;0,AJ9/AF9,0)</f>
        <v>0</v>
      </c>
    </row>
    <row r="10" customFormat="false" ht="12.75" hidden="false" customHeight="false" outlineLevel="0" collapsed="false">
      <c r="A10" s="180" t="n">
        <v>33.01326149681</v>
      </c>
      <c r="B10" s="240" t="n">
        <f aca="false">'Revenues &amp; Expenses'!AX18</f>
        <v>36861</v>
      </c>
      <c r="C10" s="180" t="n">
        <f aca="false">'PJM Curve Simulation'!J18</f>
        <v>27.375</v>
      </c>
      <c r="D10" s="180" t="n">
        <f aca="false">F10+G10</f>
        <v>53.87639</v>
      </c>
      <c r="F10" s="180" t="n">
        <f aca="false">('Fuel Curve Simulation'!J18*'Revenues &amp; Expenses'!$S$2/1000)</f>
        <v>51.82239</v>
      </c>
      <c r="G10" s="180" t="n">
        <f aca="false">'Revenues &amp; Expenses'!$AM$5*1000*'Revenues &amp; Expenses'!O18</f>
        <v>2.054</v>
      </c>
      <c r="H10" s="204" t="n">
        <v>1</v>
      </c>
      <c r="I10" s="204" t="n">
        <f aca="false">IF(C10&gt;D10,1,0)</f>
        <v>0</v>
      </c>
      <c r="J10" s="204" t="n">
        <v>315</v>
      </c>
      <c r="K10" s="212" t="n">
        <f aca="false">IF(I10&gt;0,J10*'Revenues &amp; Expenses'!F18*16,0)</f>
        <v>0</v>
      </c>
      <c r="L10" s="211" t="n">
        <f aca="false">K10*'Revenues &amp; Expenses'!N18</f>
        <v>0</v>
      </c>
      <c r="M10" s="212" t="n">
        <f aca="false">SUM(L4:L10)</f>
        <v>323495.818065032</v>
      </c>
      <c r="N10" s="212" t="n">
        <f aca="false">SUM(K4:K10)</f>
        <v>332640</v>
      </c>
      <c r="O10" s="241" t="n">
        <f aca="false">O9+365.25</f>
        <v>39082.5</v>
      </c>
      <c r="P10" s="242" t="n">
        <f aca="false">HLOOKUP(O10,'Financial Statements'!$C$31:$W$43,13)</f>
        <v>0.475222906573077</v>
      </c>
      <c r="Q10" s="225" t="n">
        <f aca="false">IF(P10&lt;1,1,0)</f>
        <v>1</v>
      </c>
      <c r="R10" s="243"/>
      <c r="S10" s="244" t="e">
        <f aca="false">SUM('Revenues &amp; Expenses'!BJ79:$BJ$258)</f>
        <v>#NAME?</v>
      </c>
      <c r="T10" s="244" t="n">
        <f aca="false">VLOOKUP(O10,'Credit Reserve Simulation'!$C$11:$F$257,4)</f>
        <v>68168466.4933411</v>
      </c>
      <c r="U10" s="245" t="e">
        <f aca="false">S10-T10+$W$18</f>
        <v>#NAME?</v>
      </c>
      <c r="V10" s="246"/>
      <c r="W10" s="225"/>
      <c r="X10" s="225"/>
      <c r="Y10" s="226"/>
      <c r="AA10" s="247" t="n">
        <f aca="false">'Debt Amortization'!AF9</f>
        <v>0.608036196212576</v>
      </c>
      <c r="AC10" s="248" t="n">
        <f aca="false">B10</f>
        <v>36861</v>
      </c>
      <c r="AD10" s="10" t="n">
        <v>1</v>
      </c>
      <c r="AE10" s="10" t="n">
        <f aca="false">C10*L10</f>
        <v>0</v>
      </c>
      <c r="AF10" s="10" t="n">
        <f aca="false">L10</f>
        <v>0</v>
      </c>
      <c r="AG10" s="205" t="n">
        <f aca="false">IF(AF10&gt;0,AE10/AF10,0)</f>
        <v>0</v>
      </c>
      <c r="AH10" s="205" t="n">
        <f aca="false">IF(SUM(AF4:AF10)=0,0,SUM(AE4:AE10)/SUM(AF4:AF10))</f>
        <v>83.934289640034</v>
      </c>
      <c r="AJ10" s="10" t="n">
        <f aca="false">D10*L10</f>
        <v>0</v>
      </c>
      <c r="AK10" s="249" t="n">
        <f aca="false">IF(AF10&gt;0,AJ10/AF10,0)</f>
        <v>0</v>
      </c>
      <c r="AL10" s="205" t="n">
        <f aca="false">IF(SUM(AF4:AF10)=0,0,SUM(AJ4:AJ10)/SUM(AF4:AF10))</f>
        <v>53.8675429294428</v>
      </c>
    </row>
    <row r="11" customFormat="false" ht="12.75" hidden="false" customHeight="false" outlineLevel="0" collapsed="false">
      <c r="A11" s="180" t="n">
        <v>43.1935183473711</v>
      </c>
      <c r="B11" s="240" t="n">
        <f aca="false">'Revenues &amp; Expenses'!AX19</f>
        <v>36892</v>
      </c>
      <c r="C11" s="180" t="n">
        <f aca="false">'PJM Curve Simulation'!J19</f>
        <v>35.2249984741211</v>
      </c>
      <c r="D11" s="180" t="n">
        <f aca="false">F11+G11</f>
        <v>53.1873035523247</v>
      </c>
      <c r="F11" s="180" t="n">
        <f aca="false">('Fuel Curve Simulation'!J19*'Revenues &amp; Expenses'!$S$2/1000)</f>
        <v>51.1287382758621</v>
      </c>
      <c r="G11" s="180" t="n">
        <f aca="false">'Revenues &amp; Expenses'!$AM$5*1000*'Revenues &amp; Expenses'!O19</f>
        <v>2.05856527646261</v>
      </c>
      <c r="H11" s="204" t="n">
        <f aca="false">H10+1</f>
        <v>2</v>
      </c>
      <c r="I11" s="204" t="n">
        <f aca="false">IF(C11&gt;D11,1,0)</f>
        <v>0</v>
      </c>
      <c r="J11" s="204" t="n">
        <v>315</v>
      </c>
      <c r="K11" s="212" t="n">
        <f aca="false">IF(I11&gt;0,J11*'Revenues &amp; Expenses'!F19*16,0)</f>
        <v>0</v>
      </c>
      <c r="L11" s="211" t="n">
        <f aca="false">K11*'Revenues &amp; Expenses'!N19</f>
        <v>0</v>
      </c>
      <c r="M11" s="212"/>
      <c r="N11" s="212"/>
      <c r="O11" s="241" t="n">
        <f aca="false">O10+365.25</f>
        <v>39447.75</v>
      </c>
      <c r="P11" s="242" t="n">
        <f aca="false">HLOOKUP(O11,'Financial Statements'!$C$31:$W$43,13)</f>
        <v>0.494127619948434</v>
      </c>
      <c r="Q11" s="225" t="n">
        <f aca="false">IF(P11&lt;1,1,0)</f>
        <v>1</v>
      </c>
      <c r="R11" s="243"/>
      <c r="S11" s="244" t="e">
        <f aca="false">SUM('Revenues &amp; Expenses'!BJ91:$BJ$258)</f>
        <v>#NAME?</v>
      </c>
      <c r="T11" s="244" t="n">
        <f aca="false">VLOOKUP(O11,'Credit Reserve Simulation'!$C$11:$F$257,4)</f>
        <v>60696494.0420002</v>
      </c>
      <c r="U11" s="245" t="e">
        <f aca="false">S11-T11+$W$18</f>
        <v>#NAME?</v>
      </c>
      <c r="V11" s="246"/>
      <c r="W11" s="225"/>
      <c r="X11" s="225"/>
      <c r="Y11" s="226"/>
      <c r="AA11" s="247" t="n">
        <f aca="false">'Debt Amortization'!AF10</f>
        <v>0.564672709875958</v>
      </c>
      <c r="AC11" s="248" t="n">
        <f aca="false">B11</f>
        <v>36892</v>
      </c>
      <c r="AD11" s="10" t="n">
        <f aca="false">AD10+1</f>
        <v>2</v>
      </c>
      <c r="AE11" s="10" t="n">
        <f aca="false">C11*L11</f>
        <v>0</v>
      </c>
      <c r="AF11" s="10" t="n">
        <f aca="false">L11</f>
        <v>0</v>
      </c>
      <c r="AG11" s="205" t="n">
        <f aca="false">IF(AF11&gt;0,AE11/AF11,0)</f>
        <v>0</v>
      </c>
      <c r="AJ11" s="10" t="n">
        <f aca="false">D11*L11</f>
        <v>0</v>
      </c>
      <c r="AK11" s="249" t="n">
        <f aca="false">IF(AF11&gt;0,AJ11/AF11,0)</f>
        <v>0</v>
      </c>
    </row>
    <row r="12" customFormat="false" ht="12.75" hidden="false" customHeight="false" outlineLevel="0" collapsed="false">
      <c r="A12" s="180" t="n">
        <v>43.1935183473711</v>
      </c>
      <c r="B12" s="240" t="n">
        <f aca="false">'Revenues &amp; Expenses'!AX20</f>
        <v>36923</v>
      </c>
      <c r="C12" s="180" t="n">
        <f aca="false">'PJM Curve Simulation'!J20</f>
        <v>35.2249984741211</v>
      </c>
      <c r="D12" s="180" t="n">
        <f aca="false">F12+G12</f>
        <v>51.7005277687988</v>
      </c>
      <c r="F12" s="180" t="n">
        <f aca="false">('Fuel Curve Simulation'!J20*'Revenues &amp; Expenses'!$S$2/1000)</f>
        <v>49.6373870689655</v>
      </c>
      <c r="G12" s="180" t="n">
        <f aca="false">'Revenues &amp; Expenses'!$AM$5*1000*'Revenues &amp; Expenses'!O20</f>
        <v>2.06314069983329</v>
      </c>
      <c r="H12" s="204" t="n">
        <f aca="false">H11+1</f>
        <v>3</v>
      </c>
      <c r="I12" s="204" t="n">
        <f aca="false">IF(C12&gt;D12,1,0)</f>
        <v>0</v>
      </c>
      <c r="J12" s="204" t="n">
        <v>315</v>
      </c>
      <c r="K12" s="212" t="n">
        <f aca="false">IF(I12&gt;0,J12*'Revenues &amp; Expenses'!F20*16,0)</f>
        <v>0</v>
      </c>
      <c r="L12" s="211" t="n">
        <f aca="false">K12*'Revenues &amp; Expenses'!N20</f>
        <v>0</v>
      </c>
      <c r="M12" s="212"/>
      <c r="N12" s="212"/>
      <c r="O12" s="241" t="n">
        <f aca="false">O11+365.25</f>
        <v>39813</v>
      </c>
      <c r="P12" s="242" t="n">
        <f aca="false">HLOOKUP(O12,'Financial Statements'!$C$31:$W$43,13)</f>
        <v>0.521456068918546</v>
      </c>
      <c r="Q12" s="225" t="n">
        <f aca="false">IF(P12&lt;1,1,0)</f>
        <v>1</v>
      </c>
      <c r="R12" s="243"/>
      <c r="S12" s="244" t="e">
        <f aca="false">SUM('Revenues &amp; Expenses'!BJ103:$BJ$258)</f>
        <v>#NAME?</v>
      </c>
      <c r="T12" s="244" t="n">
        <f aca="false">VLOOKUP(O12,'Credit Reserve Simulation'!$C$11:$F$257,4)</f>
        <v>53758445.4331012</v>
      </c>
      <c r="U12" s="245" t="e">
        <f aca="false">S12-T12+$W$18</f>
        <v>#NAME?</v>
      </c>
      <c r="V12" s="246"/>
      <c r="W12" s="225"/>
      <c r="X12" s="225"/>
      <c r="Y12" s="226"/>
      <c r="AA12" s="247" t="n">
        <f aca="false">'Debt Amortization'!AF11</f>
        <v>0.524215352419727</v>
      </c>
      <c r="AC12" s="248" t="n">
        <f aca="false">B12</f>
        <v>36923</v>
      </c>
      <c r="AD12" s="10" t="n">
        <f aca="false">AD11+1</f>
        <v>3</v>
      </c>
      <c r="AE12" s="10" t="n">
        <f aca="false">C12*L12</f>
        <v>0</v>
      </c>
      <c r="AF12" s="10" t="n">
        <f aca="false">L12</f>
        <v>0</v>
      </c>
      <c r="AG12" s="205" t="n">
        <f aca="false">IF(AF12&gt;0,AE12/AF12,0)</f>
        <v>0</v>
      </c>
      <c r="AJ12" s="10" t="n">
        <f aca="false">D12*L12</f>
        <v>0</v>
      </c>
      <c r="AK12" s="249" t="n">
        <f aca="false">IF(AF12&gt;0,AJ12/AF12,0)</f>
        <v>0</v>
      </c>
    </row>
    <row r="13" customFormat="false" ht="12.75" hidden="false" customHeight="false" outlineLevel="0" collapsed="false">
      <c r="A13" s="180" t="n">
        <v>31.104955302906</v>
      </c>
      <c r="B13" s="240" t="n">
        <f aca="false">'Revenues &amp; Expenses'!AX21</f>
        <v>36951</v>
      </c>
      <c r="C13" s="180" t="n">
        <f aca="false">'PJM Curve Simulation'!J21</f>
        <v>25.5750007629395</v>
      </c>
      <c r="D13" s="180" t="n">
        <f aca="false">F13+G13</f>
        <v>50.2137621547338</v>
      </c>
      <c r="F13" s="180" t="n">
        <f aca="false">('Fuel Curve Simulation'!J21*'Revenues &amp; Expenses'!$S$2/1000)</f>
        <v>48.146035862069</v>
      </c>
      <c r="G13" s="180" t="n">
        <f aca="false">'Revenues &amp; Expenses'!$AM$5*1000*'Revenues &amp; Expenses'!O21</f>
        <v>2.06772629266484</v>
      </c>
      <c r="H13" s="204" t="n">
        <f aca="false">H12+1</f>
        <v>4</v>
      </c>
      <c r="I13" s="204" t="n">
        <f aca="false">IF(C13&gt;D13,1,0)</f>
        <v>0</v>
      </c>
      <c r="J13" s="204" t="n">
        <v>315</v>
      </c>
      <c r="K13" s="212" t="n">
        <f aca="false">IF(I13&gt;0,J13*'Revenues &amp; Expenses'!F21*16,0)</f>
        <v>0</v>
      </c>
      <c r="L13" s="211" t="n">
        <f aca="false">K13*'Revenues &amp; Expenses'!N21</f>
        <v>0</v>
      </c>
      <c r="M13" s="212"/>
      <c r="N13" s="212"/>
      <c r="O13" s="241" t="n">
        <f aca="false">O12+365.25</f>
        <v>40178.25</v>
      </c>
      <c r="P13" s="242" t="n">
        <f aca="false">HLOOKUP(O13,'Financial Statements'!$C$31:$W$43,13)</f>
        <v>0.56955453062379</v>
      </c>
      <c r="Q13" s="225" t="n">
        <f aca="false">IF(P13&lt;1,1,0)</f>
        <v>1</v>
      </c>
      <c r="R13" s="243"/>
      <c r="S13" s="244" t="e">
        <f aca="false">SUM('Revenues &amp; Expenses'!BJ115:$BJ$258)</f>
        <v>#NAME?</v>
      </c>
      <c r="T13" s="244" t="n">
        <f aca="false">VLOOKUP(O13,'Credit Reserve Simulation'!$C$11:$F$257,4)</f>
        <v>47317509.0756427</v>
      </c>
      <c r="U13" s="245" t="e">
        <f aca="false">S13-T13+$W$18</f>
        <v>#NAME?</v>
      </c>
      <c r="V13" s="246"/>
      <c r="W13" s="225"/>
      <c r="X13" s="225"/>
      <c r="Y13" s="226"/>
      <c r="AA13" s="247" t="n">
        <f aca="false">'Debt Amortization'!AF12</f>
        <v>0.486589909345415</v>
      </c>
      <c r="AC13" s="248" t="n">
        <f aca="false">B13</f>
        <v>36951</v>
      </c>
      <c r="AD13" s="10" t="n">
        <f aca="false">AD12+1</f>
        <v>4</v>
      </c>
      <c r="AE13" s="10" t="n">
        <f aca="false">C13*L13</f>
        <v>0</v>
      </c>
      <c r="AF13" s="10" t="n">
        <f aca="false">L13</f>
        <v>0</v>
      </c>
      <c r="AG13" s="205" t="n">
        <f aca="false">IF(AF13&gt;0,AE13/AF13,0)</f>
        <v>0</v>
      </c>
      <c r="AJ13" s="10" t="n">
        <f aca="false">D13*L13</f>
        <v>0</v>
      </c>
      <c r="AK13" s="249" t="n">
        <f aca="false">IF(AF13&gt;0,AJ13/AF13,0)</f>
        <v>0</v>
      </c>
    </row>
    <row r="14" customFormat="false" ht="12.75" hidden="false" customHeight="false" outlineLevel="0" collapsed="false">
      <c r="A14" s="180" t="n">
        <v>29.0113164423494</v>
      </c>
      <c r="B14" s="240" t="n">
        <f aca="false">'Revenues &amp; Expenses'!AX22</f>
        <v>36982</v>
      </c>
      <c r="C14" s="180" t="n">
        <f aca="false">'PJM Curve Simulation'!J22</f>
        <v>25.5750007629395</v>
      </c>
      <c r="D14" s="180" t="n">
        <f aca="false">F14+G14</f>
        <v>48.7963719051464</v>
      </c>
      <c r="F14" s="180" t="n">
        <f aca="false">('Fuel Curve Simulation'!J22*'Revenues &amp; Expenses'!$S$2/1000)</f>
        <v>46.7240498275862</v>
      </c>
      <c r="G14" s="180" t="n">
        <f aca="false">'Revenues &amp; Expenses'!$AM$5*1000*'Revenues &amp; Expenses'!O22</f>
        <v>2.07232207756018</v>
      </c>
      <c r="H14" s="204" t="n">
        <f aca="false">H13+1</f>
        <v>5</v>
      </c>
      <c r="I14" s="204" t="n">
        <f aca="false">IF(C14&gt;D14,1,0)</f>
        <v>0</v>
      </c>
      <c r="J14" s="204" t="n">
        <v>315</v>
      </c>
      <c r="K14" s="212" t="n">
        <f aca="false">IF(I14&gt;0,J14*'Revenues &amp; Expenses'!F22*16,0)</f>
        <v>0</v>
      </c>
      <c r="L14" s="211" t="n">
        <f aca="false">K14*'Revenues &amp; Expenses'!N22</f>
        <v>0</v>
      </c>
      <c r="M14" s="212"/>
      <c r="N14" s="212"/>
      <c r="O14" s="241" t="n">
        <f aca="false">O13+365.25</f>
        <v>40543.5</v>
      </c>
      <c r="P14" s="242" t="n">
        <f aca="false">HLOOKUP(O14,'Financial Statements'!$C$31:$W$43,13)</f>
        <v>0.605076786301983</v>
      </c>
      <c r="Q14" s="225" t="n">
        <f aca="false">IF(P14&lt;1,1,0)</f>
        <v>1</v>
      </c>
      <c r="R14" s="243"/>
      <c r="S14" s="244" t="e">
        <f aca="false">SUM('Revenues &amp; Expenses'!BJ127:$BJ$258)</f>
        <v>#NAME?</v>
      </c>
      <c r="T14" s="244" t="n">
        <f aca="false">VLOOKUP(O14,'Credit Reserve Simulation'!$C$11:$F$257,4)</f>
        <v>41336395.7939633</v>
      </c>
      <c r="U14" s="245" t="e">
        <f aca="false">S14-T14+$W$18</f>
        <v>#NAME?</v>
      </c>
      <c r="V14" s="246"/>
      <c r="W14" s="225"/>
      <c r="X14" s="225"/>
      <c r="Y14" s="226"/>
      <c r="AA14" s="247" t="n">
        <f aca="false">'Debt Amortization'!AF13</f>
        <v>0.452336378891516</v>
      </c>
      <c r="AC14" s="248" t="n">
        <f aca="false">B14</f>
        <v>36982</v>
      </c>
      <c r="AD14" s="10" t="n">
        <f aca="false">AD13+1</f>
        <v>5</v>
      </c>
      <c r="AE14" s="10" t="n">
        <f aca="false">C14*L14</f>
        <v>0</v>
      </c>
      <c r="AF14" s="10" t="n">
        <f aca="false">L14</f>
        <v>0</v>
      </c>
      <c r="AG14" s="205" t="n">
        <f aca="false">IF(AF14&gt;0,AE14/AF14,0)</f>
        <v>0</v>
      </c>
      <c r="AJ14" s="10" t="n">
        <f aca="false">D14*L14</f>
        <v>0</v>
      </c>
      <c r="AK14" s="249" t="n">
        <f aca="false">IF(AF14&gt;0,AJ14/AF14,0)</f>
        <v>0</v>
      </c>
    </row>
    <row r="15" customFormat="false" ht="12.75" hidden="false" customHeight="false" outlineLevel="0" collapsed="false">
      <c r="A15" s="180" t="n">
        <v>33.8947042760567</v>
      </c>
      <c r="B15" s="240" t="n">
        <f aca="false">'Revenues &amp; Expenses'!AX23</f>
        <v>37012</v>
      </c>
      <c r="C15" s="180" t="n">
        <f aca="false">'PJM Curve Simulation'!J23</f>
        <v>30.875</v>
      </c>
      <c r="D15" s="180" t="n">
        <f aca="false">F15+G15</f>
        <v>47.7258177323449</v>
      </c>
      <c r="F15" s="180" t="n">
        <f aca="false">('Fuel Curve Simulation'!J23*'Revenues &amp; Expenses'!$S$2/1000)</f>
        <v>45.6488896551724</v>
      </c>
      <c r="G15" s="180" t="n">
        <f aca="false">'Revenues &amp; Expenses'!$AM$5*1000*'Revenues &amp; Expenses'!O23</f>
        <v>2.07692807717246</v>
      </c>
      <c r="H15" s="204" t="n">
        <f aca="false">H14+1</f>
        <v>6</v>
      </c>
      <c r="I15" s="204" t="n">
        <f aca="false">IF(C15&gt;D15,1,0)</f>
        <v>0</v>
      </c>
      <c r="J15" s="204" t="n">
        <v>315</v>
      </c>
      <c r="K15" s="212" t="n">
        <f aca="false">IF(I15&gt;0,J15*'Revenues &amp; Expenses'!F23*16,0)</f>
        <v>0</v>
      </c>
      <c r="L15" s="211" t="n">
        <f aca="false">K15*'Revenues &amp; Expenses'!N23</f>
        <v>0</v>
      </c>
      <c r="M15" s="212"/>
      <c r="N15" s="212"/>
      <c r="O15" s="241" t="n">
        <f aca="false">O14+365.25</f>
        <v>40908.75</v>
      </c>
      <c r="P15" s="242" t="n">
        <f aca="false">HLOOKUP(O15,'Financial Statements'!$C$31:$W$43,13)</f>
        <v>0.624734732465973</v>
      </c>
      <c r="Q15" s="225" t="n">
        <f aca="false">IF(P15&lt;1,1,0)</f>
        <v>1</v>
      </c>
      <c r="R15" s="243"/>
      <c r="S15" s="244" t="e">
        <f aca="false">SUM('Revenues &amp; Expenses'!BJ139:$BJ$258)</f>
        <v>#NAME?</v>
      </c>
      <c r="T15" s="244" t="n">
        <f aca="false">VLOOKUP(O15,'Credit Reserve Simulation'!$C$11:$F$257,4)</f>
        <v>35773300.8517464</v>
      </c>
      <c r="U15" s="245" t="e">
        <f aca="false">S15-T15+$W$18</f>
        <v>#NAME?</v>
      </c>
      <c r="V15" s="246"/>
      <c r="W15" s="225"/>
      <c r="X15" s="225"/>
      <c r="Y15" s="226"/>
      <c r="AA15" s="247" t="n">
        <f aca="false">'Debt Amortization'!AF14</f>
        <v>0.420795823969066</v>
      </c>
      <c r="AC15" s="248" t="n">
        <f aca="false">B15</f>
        <v>37012</v>
      </c>
      <c r="AD15" s="10" t="n">
        <f aca="false">AD14+1</f>
        <v>6</v>
      </c>
      <c r="AE15" s="10" t="n">
        <f aca="false">C15*L15</f>
        <v>0</v>
      </c>
      <c r="AF15" s="10" t="n">
        <f aca="false">L15</f>
        <v>0</v>
      </c>
      <c r="AG15" s="205" t="n">
        <f aca="false">IF(AF15&gt;0,AE15/AF15,0)</f>
        <v>0</v>
      </c>
      <c r="AJ15" s="10" t="n">
        <f aca="false">D15*L15</f>
        <v>0</v>
      </c>
      <c r="AK15" s="249" t="n">
        <f aca="false">IF(AF15&gt;0,AJ15/AF15,0)</f>
        <v>0</v>
      </c>
    </row>
    <row r="16" customFormat="false" ht="12.75" hidden="false" customHeight="false" outlineLevel="0" collapsed="false">
      <c r="A16" s="180" t="n">
        <v>68.3003613264355</v>
      </c>
      <c r="B16" s="240" t="n">
        <f aca="false">'Revenues &amp; Expenses'!AX24</f>
        <v>37043</v>
      </c>
      <c r="C16" s="180" t="n">
        <f aca="false">'PJM Curve Simulation'!J24</f>
        <v>55.3499984741211</v>
      </c>
      <c r="D16" s="180" t="n">
        <f aca="false">F16+G16</f>
        <v>47.3142429348949</v>
      </c>
      <c r="F16" s="180" t="n">
        <f aca="false">('Fuel Curve Simulation'!J24*'Revenues &amp; Expenses'!$S$2/1000)</f>
        <v>45.2326986206897</v>
      </c>
      <c r="G16" s="180" t="n">
        <f aca="false">'Revenues &amp; Expenses'!$AM$5*1000*'Revenues &amp; Expenses'!O24</f>
        <v>2.0815443142052</v>
      </c>
      <c r="H16" s="204" t="n">
        <f aca="false">H15+1</f>
        <v>7</v>
      </c>
      <c r="I16" s="204" t="n">
        <f aca="false">IF(C16&gt;D16,1,0)</f>
        <v>1</v>
      </c>
      <c r="J16" s="204" t="n">
        <v>315</v>
      </c>
      <c r="K16" s="212" t="n">
        <f aca="false">IF(I16&gt;0,J16*'Revenues &amp; Expenses'!F24*16,0)</f>
        <v>105840</v>
      </c>
      <c r="L16" s="211" t="n">
        <f aca="false">K16*'Revenues &amp; Expenses'!N24</f>
        <v>96552.5557093827</v>
      </c>
      <c r="M16" s="212"/>
      <c r="N16" s="212"/>
      <c r="O16" s="241" t="n">
        <f aca="false">O15+365.25</f>
        <v>41274</v>
      </c>
      <c r="P16" s="242" t="n">
        <f aca="false">HLOOKUP(O16,'Financial Statements'!$C$31:$W$43,13)</f>
        <v>0.657520620962128</v>
      </c>
      <c r="Q16" s="225" t="n">
        <f aca="false">IF(P16&lt;1,1,0)</f>
        <v>1</v>
      </c>
      <c r="R16" s="243"/>
      <c r="S16" s="244" t="e">
        <f aca="false">SUM('Revenues &amp; Expenses'!BJ151:$BJ$258)</f>
        <v>#NAME?</v>
      </c>
      <c r="T16" s="244" t="n">
        <f aca="false">VLOOKUP(O16,'Credit Reserve Simulation'!$C$11:$F$257,4)</f>
        <v>30598595.7290673</v>
      </c>
      <c r="U16" s="245" t="e">
        <f aca="false">S16-T16+$W$18</f>
        <v>#NAME?</v>
      </c>
      <c r="V16" s="246"/>
      <c r="W16" s="225"/>
      <c r="X16" s="225"/>
      <c r="Y16" s="226"/>
      <c r="AA16" s="247" t="n">
        <f aca="false">'Debt Amortization'!AF15</f>
        <v>0.391423162757223</v>
      </c>
      <c r="AC16" s="248" t="n">
        <f aca="false">B16</f>
        <v>37043</v>
      </c>
      <c r="AD16" s="10" t="n">
        <f aca="false">AD15+1</f>
        <v>7</v>
      </c>
      <c r="AE16" s="10" t="n">
        <f aca="false">C16*L16</f>
        <v>5344183.81118682</v>
      </c>
      <c r="AF16" s="10" t="n">
        <f aca="false">L16</f>
        <v>96552.5557093827</v>
      </c>
      <c r="AG16" s="205" t="n">
        <f aca="false">IF(AF16&gt;0,AE16/AF16,0)</f>
        <v>55.3499984741211</v>
      </c>
      <c r="AJ16" s="10" t="n">
        <f aca="false">D16*L16</f>
        <v>4568311.0768187</v>
      </c>
      <c r="AK16" s="249" t="n">
        <f aca="false">IF(AF16&gt;0,AJ16/AF16,0)</f>
        <v>47.3142429348949</v>
      </c>
    </row>
    <row r="17" customFormat="false" ht="12.75" hidden="false" customHeight="false" outlineLevel="0" collapsed="false">
      <c r="A17" s="180" t="n">
        <v>126.973455326057</v>
      </c>
      <c r="B17" s="240" t="n">
        <f aca="false">'Revenues &amp; Expenses'!AX25</f>
        <v>37073</v>
      </c>
      <c r="C17" s="180" t="n">
        <f aca="false">'PJM Curve Simulation'!J25</f>
        <v>96.6999969482422</v>
      </c>
      <c r="D17" s="180" t="n">
        <f aca="false">F17+G17</f>
        <v>47.5550413286538</v>
      </c>
      <c r="F17" s="180" t="n">
        <f aca="false">('Fuel Curve Simulation'!J25*'Revenues &amp; Expenses'!$S$2/1000)</f>
        <v>45.4688705172414</v>
      </c>
      <c r="G17" s="180" t="n">
        <f aca="false">'Revenues &amp; Expenses'!$AM$5*1000*'Revenues &amp; Expenses'!O25</f>
        <v>2.08617081141237</v>
      </c>
      <c r="H17" s="204" t="n">
        <f aca="false">H16+1</f>
        <v>8</v>
      </c>
      <c r="I17" s="204" t="n">
        <f aca="false">IF(C17&gt;D17,1,0)</f>
        <v>1</v>
      </c>
      <c r="J17" s="204" t="n">
        <v>315</v>
      </c>
      <c r="K17" s="212" t="n">
        <f aca="false">IF(I17&gt;0,J17*'Revenues &amp; Expenses'!F25*16,0)</f>
        <v>110880</v>
      </c>
      <c r="L17" s="211" t="n">
        <f aca="false">K17*'Revenues &amp; Expenses'!N25</f>
        <v>100549.053447569</v>
      </c>
      <c r="M17" s="212"/>
      <c r="N17" s="212"/>
      <c r="O17" s="241" t="n">
        <f aca="false">O16+365.25</f>
        <v>41639.25</v>
      </c>
      <c r="P17" s="242" t="n">
        <f aca="false">HLOOKUP(O17,'Financial Statements'!$C$31:$W$43,13)</f>
        <v>0.701952153271403</v>
      </c>
      <c r="Q17" s="225" t="n">
        <f aca="false">IF(P17&lt;1,1,0)</f>
        <v>1</v>
      </c>
      <c r="R17" s="243"/>
      <c r="S17" s="244" t="e">
        <f aca="false">SUM('Revenues &amp; Expenses'!BJ163:$BJ$258)</f>
        <v>#NAME?</v>
      </c>
      <c r="T17" s="244" t="n">
        <f aca="false">VLOOKUP(O17,'Credit Reserve Simulation'!$C$11:$F$257,4)</f>
        <v>25784135.4061509</v>
      </c>
      <c r="U17" s="245" t="e">
        <f aca="false">S17-T17+$W$18</f>
        <v>#NAME?</v>
      </c>
      <c r="V17" s="246"/>
      <c r="W17" s="250" t="s">
        <v>118</v>
      </c>
      <c r="X17" s="225"/>
      <c r="Y17" s="226"/>
      <c r="AA17" s="247" t="n">
        <f aca="false">'Debt Amortization'!AF16</f>
        <v>0.364215598665446</v>
      </c>
      <c r="AC17" s="248" t="n">
        <f aca="false">B17</f>
        <v>37073</v>
      </c>
      <c r="AD17" s="10" t="n">
        <f aca="false">AD16+1</f>
        <v>8</v>
      </c>
      <c r="AE17" s="10" t="n">
        <f aca="false">C17*L17</f>
        <v>9723093.16152853</v>
      </c>
      <c r="AF17" s="10" t="n">
        <f aca="false">L17</f>
        <v>100549.053447569</v>
      </c>
      <c r="AG17" s="205" t="n">
        <f aca="false">IF(AF17&gt;0,AE17/AF17,0)</f>
        <v>96.6999969482422</v>
      </c>
      <c r="AJ17" s="10" t="n">
        <f aca="false">D17*L17</f>
        <v>4781614.39225614</v>
      </c>
      <c r="AK17" s="249" t="n">
        <f aca="false">IF(AF17&gt;0,AJ17/AF17,0)</f>
        <v>47.5550413286538</v>
      </c>
    </row>
    <row r="18" customFormat="false" ht="12.75" hidden="false" customHeight="false" outlineLevel="0" collapsed="false">
      <c r="A18" s="180" t="n">
        <v>102.72834513781</v>
      </c>
      <c r="B18" s="240" t="n">
        <f aca="false">'Revenues &amp; Expenses'!AX26</f>
        <v>37104</v>
      </c>
      <c r="C18" s="180" t="n">
        <f aca="false">'PJM Curve Simulation'!J26</f>
        <v>83.6999969482422</v>
      </c>
      <c r="D18" s="180" t="n">
        <f aca="false">F18+G18</f>
        <v>48.1426758674606</v>
      </c>
      <c r="F18" s="180" t="n">
        <f aca="false">('Fuel Curve Simulation'!J26*'Revenues &amp; Expenses'!$S$2/1000)</f>
        <v>46.0518682758621</v>
      </c>
      <c r="G18" s="180" t="n">
        <f aca="false">'Revenues &amp; Expenses'!$AM$5*1000*'Revenues &amp; Expenses'!O26</f>
        <v>2.0908075915985</v>
      </c>
      <c r="H18" s="204" t="n">
        <f aca="false">H17+1</f>
        <v>9</v>
      </c>
      <c r="I18" s="204" t="n">
        <f aca="false">IF(C18&gt;D18,1,0)</f>
        <v>1</v>
      </c>
      <c r="J18" s="204" t="n">
        <v>315</v>
      </c>
      <c r="K18" s="212" t="n">
        <f aca="false">IF(I18&gt;0,J18*'Revenues &amp; Expenses'!F26*16,0)</f>
        <v>115920</v>
      </c>
      <c r="L18" s="211" t="n">
        <f aca="false">K18*'Revenues &amp; Expenses'!N26</f>
        <v>104474.038138997</v>
      </c>
      <c r="M18" s="212"/>
      <c r="N18" s="212"/>
      <c r="O18" s="241" t="n">
        <f aca="false">O17+365.25</f>
        <v>42004.5</v>
      </c>
      <c r="P18" s="242" t="n">
        <f aca="false">HLOOKUP(O18,'Financial Statements'!$C$31:$W$43,13)</f>
        <v>0.730792452100272</v>
      </c>
      <c r="Q18" s="225" t="n">
        <f aca="false">IF(P18&lt;1,1,0)</f>
        <v>1</v>
      </c>
      <c r="R18" s="243"/>
      <c r="S18" s="244" t="e">
        <f aca="false">SUM('Revenues &amp; Expenses'!BJ175:$BJ$258)</f>
        <v>#NAME?</v>
      </c>
      <c r="T18" s="244" t="n">
        <f aca="false">VLOOKUP(O18,'Credit Reserve Simulation'!$C$11:$F$257,4)</f>
        <v>21304087.3724848</v>
      </c>
      <c r="U18" s="245" t="e">
        <f aca="false">S18-T18+$W$18</f>
        <v>#NAME?</v>
      </c>
      <c r="V18" s="246"/>
      <c r="W18" s="251" t="n">
        <v>0</v>
      </c>
      <c r="X18" s="225"/>
      <c r="Y18" s="226"/>
      <c r="AA18" s="247" t="n">
        <f aca="false">'Debt Amortization'!AF17</f>
        <v>0.338939007543146</v>
      </c>
      <c r="AC18" s="248" t="n">
        <f aca="false">B18</f>
        <v>37104</v>
      </c>
      <c r="AD18" s="10" t="n">
        <f aca="false">AD17+1</f>
        <v>9</v>
      </c>
      <c r="AE18" s="10" t="n">
        <f aca="false">C18*L18</f>
        <v>8744476.67340458</v>
      </c>
      <c r="AF18" s="10" t="n">
        <f aca="false">L18</f>
        <v>104474.038138997</v>
      </c>
      <c r="AG18" s="205" t="n">
        <f aca="false">IF(AF18&gt;0,AE18/AF18,0)</f>
        <v>83.6999969482422</v>
      </c>
      <c r="AJ18" s="10" t="n">
        <f aca="false">D18*L18</f>
        <v>5029659.75469044</v>
      </c>
      <c r="AK18" s="249" t="n">
        <f aca="false">IF(AF18&gt;0,AJ18/AF18,0)</f>
        <v>48.1426758674606</v>
      </c>
    </row>
    <row r="19" customFormat="false" ht="12.75" hidden="false" customHeight="false" outlineLevel="0" collapsed="false">
      <c r="A19" s="180" t="n">
        <v>37.7997611144692</v>
      </c>
      <c r="B19" s="240" t="n">
        <f aca="false">'Revenues &amp; Expenses'!AX27</f>
        <v>37135</v>
      </c>
      <c r="C19" s="180" t="n">
        <f aca="false">'PJM Curve Simulation'!J27</f>
        <v>32.7249984741211</v>
      </c>
      <c r="D19" s="180" t="n">
        <f aca="false">F19+G19</f>
        <v>48.8128982983085</v>
      </c>
      <c r="F19" s="180" t="n">
        <f aca="false">('Fuel Curve Simulation'!J27*'Revenues &amp; Expenses'!$S$2/1000)</f>
        <v>46.7174436206897</v>
      </c>
      <c r="G19" s="180" t="n">
        <f aca="false">'Revenues &amp; Expenses'!$AM$5*1000*'Revenues &amp; Expenses'!O27</f>
        <v>2.09545467761884</v>
      </c>
      <c r="H19" s="204" t="n">
        <f aca="false">H18+1</f>
        <v>10</v>
      </c>
      <c r="I19" s="204" t="n">
        <f aca="false">IF(C19&gt;D19,1,0)</f>
        <v>0</v>
      </c>
      <c r="J19" s="204" t="n">
        <v>315</v>
      </c>
      <c r="K19" s="212" t="n">
        <f aca="false">IF(I19&gt;0,J19*'Revenues &amp; Expenses'!F27*16,0)</f>
        <v>0</v>
      </c>
      <c r="L19" s="211" t="n">
        <f aca="false">K19*'Revenues &amp; Expenses'!N27</f>
        <v>0</v>
      </c>
      <c r="M19" s="212"/>
      <c r="N19" s="212"/>
      <c r="O19" s="241" t="n">
        <f aca="false">O18+365.25</f>
        <v>42369.75</v>
      </c>
      <c r="P19" s="242" t="n">
        <f aca="false">HLOOKUP(O19,'Financial Statements'!$C$31:$W$43,13)</f>
        <v>0.746537297554647</v>
      </c>
      <c r="Q19" s="225" t="n">
        <f aca="false">IF(P19&lt;1,1,0)</f>
        <v>1</v>
      </c>
      <c r="R19" s="243"/>
      <c r="S19" s="244" t="e">
        <f aca="false">SUM('Revenues &amp; Expenses'!BJ187:$BJ$258)</f>
        <v>#NAME?</v>
      </c>
      <c r="T19" s="244" t="n">
        <f aca="false">VLOOKUP(O19,'Credit Reserve Simulation'!$C$11:$F$257,4)</f>
        <v>17134733.8401582</v>
      </c>
      <c r="U19" s="245" t="e">
        <f aca="false">S19-T19+$W$18</f>
        <v>#NAME?</v>
      </c>
      <c r="V19" s="246"/>
      <c r="W19" s="225"/>
      <c r="X19" s="225"/>
      <c r="Y19" s="226"/>
      <c r="AA19" s="247" t="n">
        <f aca="false">'Debt Amortization'!AF18</f>
        <v>0.315453651409921</v>
      </c>
      <c r="AC19" s="248" t="n">
        <f aca="false">B19</f>
        <v>37135</v>
      </c>
      <c r="AD19" s="10" t="n">
        <f aca="false">AD18+1</f>
        <v>10</v>
      </c>
      <c r="AE19" s="10" t="n">
        <f aca="false">C19*L19</f>
        <v>0</v>
      </c>
      <c r="AF19" s="10" t="n">
        <f aca="false">L19</f>
        <v>0</v>
      </c>
      <c r="AG19" s="205" t="n">
        <f aca="false">IF(AF19&gt;0,AE19/AF19,0)</f>
        <v>0</v>
      </c>
      <c r="AJ19" s="10" t="n">
        <f aca="false">D19*L19</f>
        <v>0</v>
      </c>
      <c r="AK19" s="249" t="n">
        <f aca="false">IF(AF19&gt;0,AJ19/AF19,0)</f>
        <v>0</v>
      </c>
    </row>
    <row r="20" customFormat="false" ht="12.75" hidden="false" customHeight="false" outlineLevel="0" collapsed="false">
      <c r="A20" s="180" t="n">
        <v>30.807163573122</v>
      </c>
      <c r="B20" s="240" t="n">
        <f aca="false">'Revenues &amp; Expenses'!AX28</f>
        <v>37165</v>
      </c>
      <c r="C20" s="180" t="n">
        <f aca="false">'PJM Curve Simulation'!J28</f>
        <v>26.2250003814697</v>
      </c>
      <c r="D20" s="180" t="n">
        <f aca="false">F20+G20</f>
        <v>49.4550546785863</v>
      </c>
      <c r="F20" s="180" t="n">
        <f aca="false">('Fuel Curve Simulation'!J28*'Revenues &amp; Expenses'!$S$2/1000)</f>
        <v>47.3549425862069</v>
      </c>
      <c r="G20" s="180" t="n">
        <f aca="false">'Revenues &amp; Expenses'!$AM$5*1000*'Revenues &amp; Expenses'!O28</f>
        <v>2.1001120923794</v>
      </c>
      <c r="H20" s="204" t="n">
        <f aca="false">H19+1</f>
        <v>11</v>
      </c>
      <c r="I20" s="204" t="n">
        <f aca="false">IF(C20&gt;D20,1,0)</f>
        <v>0</v>
      </c>
      <c r="J20" s="204" t="n">
        <v>315</v>
      </c>
      <c r="K20" s="212" t="n">
        <f aca="false">IF(I20&gt;0,J20*'Revenues &amp; Expenses'!F28*16,0)</f>
        <v>0</v>
      </c>
      <c r="L20" s="211" t="n">
        <f aca="false">K20*'Revenues &amp; Expenses'!N28</f>
        <v>0</v>
      </c>
      <c r="M20" s="212"/>
      <c r="N20" s="212"/>
      <c r="O20" s="241" t="n">
        <f aca="false">O19+365.25</f>
        <v>42735</v>
      </c>
      <c r="P20" s="242" t="n">
        <f aca="false">HLOOKUP(O20,'Financial Statements'!$C$31:$W$43,13)</f>
        <v>0.778720339997219</v>
      </c>
      <c r="Q20" s="225" t="n">
        <f aca="false">IF(P20&lt;1,1,0)</f>
        <v>1</v>
      </c>
      <c r="R20" s="243"/>
      <c r="S20" s="244" t="e">
        <f aca="false">SUM('Revenues &amp; Expenses'!BJ199:$BJ$258)</f>
        <v>#NAME?</v>
      </c>
      <c r="T20" s="244" t="n">
        <f aca="false">VLOOKUP(O20,'Credit Reserve Simulation'!$C$11:$F$257,4)</f>
        <v>13254638.6890754</v>
      </c>
      <c r="U20" s="245" t="e">
        <f aca="false">S20-T20+$W$18</f>
        <v>#NAME?</v>
      </c>
      <c r="V20" s="246"/>
      <c r="W20" s="225"/>
      <c r="X20" s="225"/>
      <c r="Y20" s="226"/>
      <c r="AA20" s="247" t="n">
        <f aca="false">'Debt Amortization'!AF19</f>
        <v>0.293572471312034</v>
      </c>
      <c r="AC20" s="248" t="n">
        <f aca="false">B20</f>
        <v>37165</v>
      </c>
      <c r="AD20" s="10" t="n">
        <f aca="false">AD19+1</f>
        <v>11</v>
      </c>
      <c r="AE20" s="10" t="n">
        <f aca="false">C20*L20</f>
        <v>0</v>
      </c>
      <c r="AF20" s="10" t="n">
        <f aca="false">L20</f>
        <v>0</v>
      </c>
      <c r="AG20" s="205" t="n">
        <f aca="false">IF(AF20&gt;0,AE20/AF20,0)</f>
        <v>0</v>
      </c>
      <c r="AJ20" s="10" t="n">
        <f aca="false">D20*L20</f>
        <v>0</v>
      </c>
      <c r="AK20" s="249" t="n">
        <f aca="false">IF(AF20&gt;0,AJ20/AF20,0)</f>
        <v>0</v>
      </c>
    </row>
    <row r="21" customFormat="false" ht="12.75" hidden="false" customHeight="false" outlineLevel="0" collapsed="false">
      <c r="A21" s="180" t="n">
        <v>30.8393893472672</v>
      </c>
      <c r="B21" s="240" t="n">
        <f aca="false">'Revenues &amp; Expenses'!AX29</f>
        <v>37196</v>
      </c>
      <c r="C21" s="180" t="n">
        <f aca="false">'PJM Curve Simulation'!J29</f>
        <v>25.8974990844727</v>
      </c>
      <c r="D21" s="180" t="n">
        <f aca="false">F21+G21</f>
        <v>50.057584169182</v>
      </c>
      <c r="F21" s="180" t="n">
        <f aca="false">('Fuel Curve Simulation'!J29*'Revenues &amp; Expenses'!$S$2/1000)</f>
        <v>47.9528043103448</v>
      </c>
      <c r="G21" s="180" t="n">
        <f aca="false">'Revenues &amp; Expenses'!$AM$5*1000*'Revenues &amp; Expenses'!O29</f>
        <v>2.10477985883714</v>
      </c>
      <c r="H21" s="204" t="n">
        <f aca="false">H20+1</f>
        <v>12</v>
      </c>
      <c r="I21" s="204" t="n">
        <f aca="false">IF(C21&gt;D21,1,0)</f>
        <v>0</v>
      </c>
      <c r="J21" s="204" t="n">
        <v>315</v>
      </c>
      <c r="K21" s="212" t="n">
        <f aca="false">IF(I21&gt;0,J21*'Revenues &amp; Expenses'!F29*16,0)</f>
        <v>0</v>
      </c>
      <c r="L21" s="211" t="n">
        <f aca="false">K21*'Revenues &amp; Expenses'!N29</f>
        <v>0</v>
      </c>
      <c r="M21" s="212"/>
      <c r="N21" s="212"/>
      <c r="O21" s="241" t="n">
        <f aca="false">O20+365.25</f>
        <v>43100.25</v>
      </c>
      <c r="P21" s="242" t="n">
        <f aca="false">HLOOKUP(O21,'Financial Statements'!$C$31:$W$43,13)</f>
        <v>0.825428583913113</v>
      </c>
      <c r="Q21" s="225" t="n">
        <f aca="false">IF(P21&lt;1,1,0)</f>
        <v>1</v>
      </c>
      <c r="R21" s="243"/>
      <c r="S21" s="244" t="e">
        <f aca="false">SUM('Revenues &amp; Expenses'!BJ211:$BJ$258)</f>
        <v>#NAME?</v>
      </c>
      <c r="T21" s="244" t="n">
        <f aca="false">VLOOKUP(O21,'Credit Reserve Simulation'!$C$11:$F$257,4)</f>
        <v>9642963.84213713</v>
      </c>
      <c r="U21" s="245" t="e">
        <f aca="false">S21-T21+$W$18</f>
        <v>#NAME?</v>
      </c>
      <c r="V21" s="246"/>
      <c r="W21" s="225"/>
      <c r="X21" s="225"/>
      <c r="Y21" s="226"/>
      <c r="AA21" s="247" t="n">
        <f aca="false">'Debt Amortization'!AF20</f>
        <v>0.273294862689371</v>
      </c>
      <c r="AC21" s="248" t="n">
        <f aca="false">B21</f>
        <v>37196</v>
      </c>
      <c r="AD21" s="10" t="n">
        <f aca="false">AD20+1</f>
        <v>12</v>
      </c>
      <c r="AE21" s="10" t="n">
        <f aca="false">C21*L21</f>
        <v>0</v>
      </c>
      <c r="AF21" s="10" t="n">
        <f aca="false">L21</f>
        <v>0</v>
      </c>
      <c r="AG21" s="205" t="n">
        <f aca="false">IF(AF21&gt;0,AE21/AF21,0)</f>
        <v>0</v>
      </c>
      <c r="AJ21" s="10" t="n">
        <f aca="false">D21*L21</f>
        <v>0</v>
      </c>
      <c r="AK21" s="249" t="n">
        <f aca="false">IF(AF21&gt;0,AJ21/AF21,0)</f>
        <v>0</v>
      </c>
    </row>
    <row r="22" customFormat="false" ht="12.75" hidden="false" customHeight="false" outlineLevel="0" collapsed="false">
      <c r="A22" s="180" t="n">
        <v>33.3449011066023</v>
      </c>
      <c r="B22" s="240" t="n">
        <f aca="false">'Revenues &amp; Expenses'!AX30</f>
        <v>37226</v>
      </c>
      <c r="C22" s="180" t="n">
        <f aca="false">'PJM Curve Simulation'!J30</f>
        <v>27.6499996185303</v>
      </c>
      <c r="D22" s="180" t="n">
        <f aca="false">F22+G22</f>
        <v>50.2769640344828</v>
      </c>
      <c r="F22" s="180" t="n">
        <f aca="false">('Fuel Curve Simulation'!J30*'Revenues &amp; Expenses'!$S$2/1000)</f>
        <v>48.1675060344828</v>
      </c>
      <c r="G22" s="180" t="n">
        <f aca="false">'Revenues &amp; Expenses'!$AM$5*1000*'Revenues &amp; Expenses'!O30</f>
        <v>2.109458</v>
      </c>
      <c r="H22" s="204" t="n">
        <f aca="false">H21+1</f>
        <v>13</v>
      </c>
      <c r="I22" s="204" t="n">
        <f aca="false">IF(C22&gt;D22,1,0)</f>
        <v>0</v>
      </c>
      <c r="J22" s="204" t="n">
        <v>315</v>
      </c>
      <c r="K22" s="212" t="n">
        <f aca="false">IF(I22&gt;0,J22*'Revenues &amp; Expenses'!F30*16,0)</f>
        <v>0</v>
      </c>
      <c r="L22" s="211" t="n">
        <f aca="false">K22*'Revenues &amp; Expenses'!N30</f>
        <v>0</v>
      </c>
      <c r="M22" s="212" t="n">
        <f aca="false">SUM(L11:L22)</f>
        <v>301575.647295948</v>
      </c>
      <c r="N22" s="212" t="n">
        <f aca="false">SUM(K11:K22)</f>
        <v>332640</v>
      </c>
      <c r="O22" s="241" t="n">
        <f aca="false">O21+365.25</f>
        <v>43465.5</v>
      </c>
      <c r="P22" s="242" t="n">
        <f aca="false">HLOOKUP(O22,'Financial Statements'!$C$31:$W$43,13)</f>
        <v>0.85213888493154</v>
      </c>
      <c r="Q22" s="225" t="n">
        <f aca="false">IF(P22&lt;1,1,0)</f>
        <v>1</v>
      </c>
      <c r="R22" s="243"/>
      <c r="S22" s="244" t="e">
        <f aca="false">SUM('Revenues &amp; Expenses'!BJ223:$BJ$258)</f>
        <v>#NAME?</v>
      </c>
      <c r="T22" s="244" t="n">
        <f aca="false">VLOOKUP(O22,'Credit Reserve Simulation'!$C$11:$F$257,4)</f>
        <v>6280575.83267864</v>
      </c>
      <c r="U22" s="245" t="e">
        <f aca="false">S22-T22+$W$18</f>
        <v>#NAME?</v>
      </c>
      <c r="V22" s="246"/>
      <c r="W22" s="225"/>
      <c r="X22" s="225"/>
      <c r="Y22" s="226"/>
      <c r="AA22" s="247" t="n">
        <f aca="false">'Debt Amortization'!AF21</f>
        <v>0.25444774583403</v>
      </c>
      <c r="AC22" s="248" t="n">
        <f aca="false">B22</f>
        <v>37226</v>
      </c>
      <c r="AD22" s="10" t="n">
        <f aca="false">AD21+1</f>
        <v>13</v>
      </c>
      <c r="AE22" s="10" t="n">
        <f aca="false">C22*L22</f>
        <v>0</v>
      </c>
      <c r="AF22" s="10" t="n">
        <f aca="false">L22</f>
        <v>0</v>
      </c>
      <c r="AG22" s="205" t="n">
        <f aca="false">IF(AF22&gt;0,AE22/AF22,0)</f>
        <v>0</v>
      </c>
      <c r="AH22" s="205" t="n">
        <f aca="false">IF(SUM(AF11:AF22)=0,0,SUM(AE11:AE22)/SUM(AF11:AF22))</f>
        <v>78.9578132704877</v>
      </c>
      <c r="AJ22" s="10" t="n">
        <f aca="false">D22*L22</f>
        <v>0</v>
      </c>
      <c r="AK22" s="249" t="n">
        <f aca="false">IF(AF22&gt;0,AJ22/AF22,0)</f>
        <v>0</v>
      </c>
      <c r="AL22" s="249" t="n">
        <f aca="false">IF(SUM(AF11:AF22)=0,0,SUM(AJ11:AJ22)/SUM(AF11:AF22))</f>
        <v>47.6815198862991</v>
      </c>
    </row>
    <row r="23" customFormat="false" ht="12.75" hidden="false" customHeight="false" outlineLevel="0" collapsed="false">
      <c r="A23" s="180" t="n">
        <v>43.8679381094757</v>
      </c>
      <c r="B23" s="240" t="n">
        <f aca="false">'Revenues &amp; Expenses'!AX31</f>
        <v>37257</v>
      </c>
      <c r="C23" s="180" t="n">
        <f aca="false">'PJM Curve Simulation'!J31</f>
        <v>35.7749984741211</v>
      </c>
      <c r="D23" s="180" t="n">
        <f aca="false">F23+G23</f>
        <v>49.815914987203</v>
      </c>
      <c r="F23" s="180" t="n">
        <f aca="false">('Fuel Curve Simulation'!J31*'Revenues &amp; Expenses'!$S$2/1000)</f>
        <v>47.7017684482759</v>
      </c>
      <c r="G23" s="180" t="n">
        <f aca="false">'Revenues &amp; Expenses'!$AM$5*1000*'Revenues &amp; Expenses'!O31</f>
        <v>2.1141465389271</v>
      </c>
      <c r="H23" s="204" t="n">
        <f aca="false">H22+1</f>
        <v>14</v>
      </c>
      <c r="I23" s="204" t="n">
        <f aca="false">IF(C23&gt;D23,1,0)</f>
        <v>0</v>
      </c>
      <c r="J23" s="204" t="n">
        <v>315</v>
      </c>
      <c r="K23" s="212" t="n">
        <f aca="false">IF(I23&gt;0,J23*'Revenues &amp; Expenses'!F31*16,0)</f>
        <v>0</v>
      </c>
      <c r="L23" s="211" t="n">
        <f aca="false">K23*'Revenues &amp; Expenses'!N31</f>
        <v>0</v>
      </c>
      <c r="M23" s="212"/>
      <c r="N23" s="212"/>
      <c r="O23" s="241" t="n">
        <f aca="false">O22+365.25</f>
        <v>43830.75</v>
      </c>
      <c r="P23" s="242" t="n">
        <f aca="false">HLOOKUP(O23,'Financial Statements'!$C$31:$W$43,13)</f>
        <v>0.821198322962898</v>
      </c>
      <c r="Q23" s="225" t="n">
        <f aca="false">IF(P23&lt;1,1,0)</f>
        <v>1</v>
      </c>
      <c r="R23" s="243"/>
      <c r="S23" s="244" t="e">
        <f aca="false">SUM('Revenues &amp; Expenses'!BJ235:$BJ$258)</f>
        <v>#NAME?</v>
      </c>
      <c r="T23" s="244" t="n">
        <f aca="false">VLOOKUP(O23,'Credit Reserve Simulation'!$C$11:$F$257,4)</f>
        <v>3149900.62551719</v>
      </c>
      <c r="U23" s="245" t="e">
        <f aca="false">S23-T23+$W$18</f>
        <v>#NAME?</v>
      </c>
      <c r="V23" s="246"/>
      <c r="W23" s="225"/>
      <c r="X23" s="225"/>
      <c r="Y23" s="226"/>
      <c r="AA23" s="247" t="n">
        <f aca="false">'Debt Amortization'!AF22</f>
        <v>0.236928197415367</v>
      </c>
      <c r="AC23" s="248" t="n">
        <f aca="false">B23</f>
        <v>37257</v>
      </c>
      <c r="AD23" s="10" t="n">
        <f aca="false">AD22+1</f>
        <v>14</v>
      </c>
      <c r="AE23" s="10" t="n">
        <f aca="false">C23*L23</f>
        <v>0</v>
      </c>
      <c r="AF23" s="10" t="n">
        <f aca="false">L23</f>
        <v>0</v>
      </c>
      <c r="AG23" s="205" t="n">
        <f aca="false">IF(AF23&gt;0,AE23/AF23,0)</f>
        <v>0</v>
      </c>
      <c r="AJ23" s="10" t="n">
        <f aca="false">D23*L23</f>
        <v>0</v>
      </c>
      <c r="AK23" s="249" t="n">
        <f aca="false">IF(AF23&gt;0,AJ23/AF23,0)</f>
        <v>0</v>
      </c>
    </row>
    <row r="24" customFormat="false" ht="12.75" hidden="false" customHeight="false" outlineLevel="0" collapsed="false">
      <c r="A24" s="180" t="n">
        <v>43.8679381094757</v>
      </c>
      <c r="B24" s="240" t="n">
        <f aca="false">'Revenues &amp; Expenses'!AX32</f>
        <v>37288</v>
      </c>
      <c r="C24" s="180" t="n">
        <f aca="false">'PJM Curve Simulation'!J32</f>
        <v>35.7749984741211</v>
      </c>
      <c r="D24" s="180" t="n">
        <f aca="false">F24+G24</f>
        <v>48.6975587745909</v>
      </c>
      <c r="F24" s="180" t="n">
        <f aca="false">('Fuel Curve Simulation'!J32*'Revenues &amp; Expenses'!$S$2/1000)</f>
        <v>46.5787132758621</v>
      </c>
      <c r="G24" s="180" t="n">
        <f aca="false">'Revenues &amp; Expenses'!$AM$5*1000*'Revenues &amp; Expenses'!O32</f>
        <v>2.11884549872879</v>
      </c>
      <c r="H24" s="204" t="n">
        <f aca="false">H23+1</f>
        <v>15</v>
      </c>
      <c r="I24" s="204" t="n">
        <f aca="false">IF(C24&gt;D24,1,0)</f>
        <v>0</v>
      </c>
      <c r="J24" s="204" t="n">
        <v>315</v>
      </c>
      <c r="K24" s="212" t="n">
        <f aca="false">IF(I24&gt;0,J24*'Revenues &amp; Expenses'!F32*16,0)</f>
        <v>0</v>
      </c>
      <c r="L24" s="211" t="n">
        <f aca="false">K24*'Revenues &amp; Expenses'!N32</f>
        <v>0</v>
      </c>
      <c r="M24" s="212"/>
      <c r="N24" s="212"/>
      <c r="O24" s="241" t="n">
        <f aca="false">O23+365.25</f>
        <v>44196</v>
      </c>
      <c r="P24" s="242" t="n">
        <f aca="false">HLOOKUP(O24,'Financial Statements'!$C$31:$W$43,13)</f>
        <v>0.853316458827519</v>
      </c>
      <c r="Q24" s="225" t="n">
        <f aca="false">IF(P24&lt;1,1,0)</f>
        <v>1</v>
      </c>
      <c r="R24" s="243"/>
      <c r="S24" s="244" t="e">
        <f aca="false">SUM('Revenues &amp; Expenses'!BJ247:$BJ$258)</f>
        <v>#NAME?</v>
      </c>
      <c r="T24" s="244" t="n">
        <f aca="false">VLOOKUP(O24,'Credit Reserve Simulation'!$C$11:$F$257,4)</f>
        <v>233927.712842118</v>
      </c>
      <c r="U24" s="245" t="e">
        <f aca="false">S24-T24+$W$18</f>
        <v>#NAME?</v>
      </c>
      <c r="V24" s="243"/>
      <c r="W24" s="225"/>
      <c r="X24" s="225"/>
      <c r="Y24" s="226"/>
      <c r="AA24" s="247" t="n">
        <f aca="false">'Debt Amortization'!AF23</f>
        <v>0.22086572693959</v>
      </c>
      <c r="AC24" s="248" t="n">
        <f aca="false">B24</f>
        <v>37288</v>
      </c>
      <c r="AD24" s="10" t="n">
        <f aca="false">AD23+1</f>
        <v>15</v>
      </c>
      <c r="AE24" s="10" t="n">
        <f aca="false">C24*L24</f>
        <v>0</v>
      </c>
      <c r="AF24" s="10" t="n">
        <f aca="false">L24</f>
        <v>0</v>
      </c>
      <c r="AG24" s="205" t="n">
        <f aca="false">IF(AF24&gt;0,AE24/AF24,0)</f>
        <v>0</v>
      </c>
      <c r="AJ24" s="10" t="n">
        <f aca="false">D24*L24</f>
        <v>0</v>
      </c>
      <c r="AK24" s="249" t="n">
        <f aca="false">IF(AF24&gt;0,AJ24/AF24,0)</f>
        <v>0</v>
      </c>
    </row>
    <row r="25" customFormat="false" ht="12.75" hidden="false" customHeight="false" outlineLevel="0" collapsed="false">
      <c r="A25" s="180" t="n">
        <v>31.469822802906</v>
      </c>
      <c r="B25" s="240" t="n">
        <f aca="false">'Revenues &amp; Expenses'!AX33</f>
        <v>37316</v>
      </c>
      <c r="C25" s="180" t="n">
        <f aca="false">'PJM Curve Simulation'!J33</f>
        <v>25.8750007629395</v>
      </c>
      <c r="D25" s="180" t="n">
        <f aca="false">F25+G25</f>
        <v>47.6056378336013</v>
      </c>
      <c r="F25" s="180" t="n">
        <f aca="false">('Fuel Curve Simulation'!J33*'Revenues &amp; Expenses'!$S$2/1000)</f>
        <v>45.4820829310345</v>
      </c>
      <c r="G25" s="180" t="n">
        <f aca="false">'Revenues &amp; Expenses'!$AM$5*1000*'Revenues &amp; Expenses'!O33</f>
        <v>2.12355490256679</v>
      </c>
      <c r="H25" s="204" t="n">
        <f aca="false">H24+1</f>
        <v>16</v>
      </c>
      <c r="I25" s="204" t="n">
        <f aca="false">IF(C25&gt;D25,1,0)</f>
        <v>0</v>
      </c>
      <c r="J25" s="204" t="n">
        <v>315</v>
      </c>
      <c r="K25" s="212" t="n">
        <f aca="false">IF(I25&gt;0,J25*'Revenues &amp; Expenses'!F33*16,0)</f>
        <v>0</v>
      </c>
      <c r="L25" s="211" t="n">
        <f aca="false">K25*'Revenues &amp; Expenses'!N33</f>
        <v>0</v>
      </c>
      <c r="M25" s="212"/>
      <c r="N25" s="212"/>
      <c r="O25" s="252"/>
      <c r="P25" s="253"/>
      <c r="Q25" s="254"/>
      <c r="R25" s="255"/>
      <c r="S25" s="256"/>
      <c r="T25" s="254"/>
      <c r="U25" s="254"/>
      <c r="V25" s="255"/>
      <c r="W25" s="254"/>
      <c r="X25" s="254"/>
      <c r="Y25" s="257"/>
      <c r="AC25" s="248" t="n">
        <f aca="false">B25</f>
        <v>37316</v>
      </c>
      <c r="AD25" s="10" t="n">
        <f aca="false">AD24+1</f>
        <v>16</v>
      </c>
      <c r="AE25" s="10" t="n">
        <f aca="false">C25*L25</f>
        <v>0</v>
      </c>
      <c r="AF25" s="10" t="n">
        <f aca="false">L25</f>
        <v>0</v>
      </c>
      <c r="AG25" s="205" t="n">
        <f aca="false">IF(AF25&gt;0,AE25/AF25,0)</f>
        <v>0</v>
      </c>
      <c r="AJ25" s="10" t="n">
        <f aca="false">D25*L25</f>
        <v>0</v>
      </c>
      <c r="AK25" s="249" t="n">
        <f aca="false">IF(AF25&gt;0,AJ25/AF25,0)</f>
        <v>0</v>
      </c>
    </row>
    <row r="26" customFormat="false" ht="12.75" hidden="false" customHeight="false" outlineLevel="0" collapsed="false">
      <c r="A26" s="180" t="n">
        <v>29.2381889004288</v>
      </c>
      <c r="B26" s="240" t="n">
        <f aca="false">'Revenues &amp; Expenses'!AX34</f>
        <v>37347</v>
      </c>
      <c r="C26" s="180" t="n">
        <f aca="false">'PJM Curve Simulation'!J34</f>
        <v>25.7750007629395</v>
      </c>
      <c r="D26" s="180" t="n">
        <f aca="false">F26+G26</f>
        <v>46.5285913253785</v>
      </c>
      <c r="F26" s="180" t="n">
        <f aca="false">('Fuel Curve Simulation'!J34*'Revenues &amp; Expenses'!$S$2/1000)</f>
        <v>44.4003165517242</v>
      </c>
      <c r="G26" s="180" t="n">
        <f aca="false">'Revenues &amp; Expenses'!$AM$5*1000*'Revenues &amp; Expenses'!O34</f>
        <v>2.1282747736543</v>
      </c>
      <c r="H26" s="204" t="n">
        <f aca="false">H25+1</f>
        <v>17</v>
      </c>
      <c r="I26" s="204" t="n">
        <f aca="false">IF(C26&gt;D26,1,0)</f>
        <v>0</v>
      </c>
      <c r="J26" s="204" t="n">
        <v>315</v>
      </c>
      <c r="K26" s="212" t="n">
        <f aca="false">IF(I26&gt;0,J26*'Revenues &amp; Expenses'!F34*16,0)</f>
        <v>0</v>
      </c>
      <c r="L26" s="211" t="n">
        <f aca="false">K26*'Revenues &amp; Expenses'!N34</f>
        <v>0</v>
      </c>
      <c r="M26" s="212"/>
      <c r="N26" s="212"/>
      <c r="O26" s="258"/>
      <c r="AC26" s="248" t="n">
        <f aca="false">B26</f>
        <v>37347</v>
      </c>
      <c r="AD26" s="10" t="n">
        <f aca="false">AD25+1</f>
        <v>17</v>
      </c>
      <c r="AE26" s="10" t="n">
        <f aca="false">C26*L26</f>
        <v>0</v>
      </c>
      <c r="AF26" s="10" t="n">
        <f aca="false">L26</f>
        <v>0</v>
      </c>
      <c r="AG26" s="205" t="n">
        <f aca="false">IF(AF26&gt;0,AE26/AF26,0)</f>
        <v>0</v>
      </c>
      <c r="AJ26" s="10" t="n">
        <f aca="false">D26*L26</f>
        <v>0</v>
      </c>
      <c r="AK26" s="249" t="n">
        <f aca="false">IF(AF26&gt;0,AJ26/AF26,0)</f>
        <v>0</v>
      </c>
    </row>
    <row r="27" customFormat="false" ht="12.75" hidden="false" customHeight="false" outlineLevel="0" collapsed="false">
      <c r="A27" s="180" t="n">
        <v>33.8947042760567</v>
      </c>
      <c r="B27" s="240" t="n">
        <f aca="false">'Revenues &amp; Expenses'!AX35</f>
        <v>37377</v>
      </c>
      <c r="C27" s="180" t="n">
        <f aca="false">'PJM Curve Simulation'!J35</f>
        <v>30.875</v>
      </c>
      <c r="D27" s="180" t="n">
        <f aca="false">F27+G27</f>
        <v>45.7422284111182</v>
      </c>
      <c r="F27" s="180" t="n">
        <f aca="false">('Fuel Curve Simulation'!J35*'Revenues &amp; Expenses'!$S$2/1000)</f>
        <v>43.6092232758621</v>
      </c>
      <c r="G27" s="180" t="n">
        <f aca="false">'Revenues &amp; Expenses'!$AM$5*1000*'Revenues &amp; Expenses'!O35</f>
        <v>2.13300513525612</v>
      </c>
      <c r="H27" s="204" t="n">
        <f aca="false">H26+1</f>
        <v>18</v>
      </c>
      <c r="I27" s="204" t="n">
        <f aca="false">IF(C27&gt;D27,1,0)</f>
        <v>0</v>
      </c>
      <c r="J27" s="204" t="n">
        <v>315</v>
      </c>
      <c r="K27" s="212" t="n">
        <f aca="false">IF(I27&gt;0,J27*'Revenues &amp; Expenses'!F35*16,0)</f>
        <v>0</v>
      </c>
      <c r="L27" s="211" t="n">
        <f aca="false">K27*'Revenues &amp; Expenses'!N35</f>
        <v>0</v>
      </c>
      <c r="M27" s="212"/>
      <c r="N27" s="212"/>
      <c r="O27" s="258"/>
      <c r="P27" s="259"/>
      <c r="AC27" s="248" t="n">
        <f aca="false">B27</f>
        <v>37377</v>
      </c>
      <c r="AD27" s="10" t="n">
        <f aca="false">AD26+1</f>
        <v>18</v>
      </c>
      <c r="AE27" s="10" t="n">
        <f aca="false">C27*L27</f>
        <v>0</v>
      </c>
      <c r="AF27" s="10" t="n">
        <f aca="false">L27</f>
        <v>0</v>
      </c>
      <c r="AG27" s="205" t="n">
        <f aca="false">IF(AF27&gt;0,AE27/AF27,0)</f>
        <v>0</v>
      </c>
      <c r="AJ27" s="10" t="n">
        <f aca="false">D27*L27</f>
        <v>0</v>
      </c>
      <c r="AK27" s="249" t="n">
        <f aca="false">IF(AF27&gt;0,AJ27/AF27,0)</f>
        <v>0</v>
      </c>
    </row>
    <row r="28" customFormat="false" ht="12.75" hidden="false" customHeight="false" outlineLevel="0" collapsed="false">
      <c r="A28" s="180" t="n">
        <v>67.6833752089167</v>
      </c>
      <c r="B28" s="240" t="n">
        <f aca="false">'Revenues &amp; Expenses'!AX36</f>
        <v>37408</v>
      </c>
      <c r="C28" s="180" t="n">
        <f aca="false">'PJM Curve Simulation'!J36</f>
        <v>54.8499984741211</v>
      </c>
      <c r="D28" s="180" t="n">
        <f aca="false">F28+G28</f>
        <v>45.5471315279301</v>
      </c>
      <c r="F28" s="180" t="n">
        <f aca="false">('Fuel Curve Simulation'!J36*'Revenues &amp; Expenses'!$S$2/1000)</f>
        <v>43.4093855172414</v>
      </c>
      <c r="G28" s="180" t="n">
        <f aca="false">'Revenues &amp; Expenses'!$AM$5*1000*'Revenues &amp; Expenses'!O36</f>
        <v>2.13774601068874</v>
      </c>
      <c r="H28" s="204" t="n">
        <f aca="false">H27+1</f>
        <v>19</v>
      </c>
      <c r="I28" s="204" t="n">
        <f aca="false">IF(C28&gt;D28,1,0)</f>
        <v>1</v>
      </c>
      <c r="J28" s="204" t="n">
        <v>315</v>
      </c>
      <c r="K28" s="212" t="n">
        <f aca="false">IF(I28&gt;0,J28*'Revenues &amp; Expenses'!F36*16,0)</f>
        <v>100800</v>
      </c>
      <c r="L28" s="211" t="n">
        <f aca="false">K28*'Revenues &amp; Expenses'!N36</f>
        <v>85464.4415439371</v>
      </c>
      <c r="M28" s="212"/>
      <c r="N28" s="212"/>
      <c r="Q28" s="212"/>
      <c r="AC28" s="248" t="n">
        <f aca="false">B28</f>
        <v>37408</v>
      </c>
      <c r="AD28" s="10" t="n">
        <f aca="false">AD27+1</f>
        <v>19</v>
      </c>
      <c r="AE28" s="10" t="n">
        <f aca="false">C28*L28</f>
        <v>4687724.48827656</v>
      </c>
      <c r="AF28" s="10" t="n">
        <f aca="false">L28</f>
        <v>85464.4415439371</v>
      </c>
      <c r="AG28" s="205" t="n">
        <f aca="false">IF(AF28&gt;0,AE28/AF28,0)</f>
        <v>54.8499984741211</v>
      </c>
      <c r="AJ28" s="10" t="n">
        <f aca="false">D28*L28</f>
        <v>3892660.1599628</v>
      </c>
      <c r="AK28" s="249" t="n">
        <f aca="false">IF(AF28&gt;0,AJ28/AF28,0)</f>
        <v>45.5471315279301</v>
      </c>
    </row>
    <row r="29" customFormat="false" ht="12.75" hidden="false" customHeight="false" outlineLevel="0" collapsed="false">
      <c r="A29" s="180" t="n">
        <v>124.347323799</v>
      </c>
      <c r="B29" s="240" t="n">
        <f aca="false">'Revenues &amp; Expenses'!AX37</f>
        <v>37438</v>
      </c>
      <c r="C29" s="180" t="n">
        <f aca="false">'PJM Curve Simulation'!J37</f>
        <v>94.6999969482422</v>
      </c>
      <c r="D29" s="180" t="n">
        <f aca="false">F29+G29</f>
        <v>45.9466038026309</v>
      </c>
      <c r="F29" s="180" t="n">
        <f aca="false">('Fuel Curve Simulation'!J37*'Revenues &amp; Expenses'!$S$2/1000)</f>
        <v>43.8041063793104</v>
      </c>
      <c r="G29" s="180" t="n">
        <f aca="false">'Revenues &amp; Expenses'!$AM$5*1000*'Revenues &amp; Expenses'!O37</f>
        <v>2.1424974233205</v>
      </c>
      <c r="H29" s="204" t="n">
        <f aca="false">H28+1</f>
        <v>20</v>
      </c>
      <c r="I29" s="204" t="n">
        <f aca="false">IF(C29&gt;D29,1,0)</f>
        <v>1</v>
      </c>
      <c r="J29" s="204" t="n">
        <v>315</v>
      </c>
      <c r="K29" s="212" t="n">
        <f aca="false">IF(I29&gt;0,J29*'Revenues &amp; Expenses'!F37*16,0)</f>
        <v>115920</v>
      </c>
      <c r="L29" s="211" t="n">
        <f aca="false">K29*'Revenues &amp; Expenses'!N37</f>
        <v>97694.2054396177</v>
      </c>
      <c r="M29" s="212"/>
      <c r="N29" s="212"/>
      <c r="AC29" s="248" t="n">
        <f aca="false">B29</f>
        <v>37438</v>
      </c>
      <c r="AD29" s="10" t="n">
        <f aca="false">AD28+1</f>
        <v>20</v>
      </c>
      <c r="AE29" s="10" t="n">
        <f aca="false">C29*L29</f>
        <v>9251640.95699274</v>
      </c>
      <c r="AF29" s="10" t="n">
        <f aca="false">L29</f>
        <v>97694.2054396177</v>
      </c>
      <c r="AG29" s="205" t="n">
        <f aca="false">IF(AF29&gt;0,AE29/AF29,0)</f>
        <v>94.6999969482422</v>
      </c>
      <c r="AJ29" s="10" t="n">
        <f aca="false">D29*L29</f>
        <v>4488716.95114694</v>
      </c>
      <c r="AK29" s="249" t="n">
        <f aca="false">IF(AF29&gt;0,AJ29/AF29,0)</f>
        <v>45.9466038026309</v>
      </c>
    </row>
    <row r="30" customFormat="false" ht="12.75" hidden="false" customHeight="false" outlineLevel="0" collapsed="false">
      <c r="A30" s="180" t="n">
        <v>100.273665355651</v>
      </c>
      <c r="B30" s="240" t="n">
        <f aca="false">'Revenues &amp; Expenses'!AX38</f>
        <v>37469</v>
      </c>
      <c r="C30" s="180" t="n">
        <f aca="false">'PJM Curve Simulation'!J38</f>
        <v>81.6999969482422</v>
      </c>
      <c r="D30" s="180" t="n">
        <f aca="false">F30+G30</f>
        <v>46.658229913813</v>
      </c>
      <c r="F30" s="180" t="n">
        <f aca="false">('Fuel Curve Simulation'!J38*'Revenues &amp; Expenses'!$S$2/1000)</f>
        <v>44.5109705172414</v>
      </c>
      <c r="G30" s="180" t="n">
        <f aca="false">'Revenues &amp; Expenses'!$AM$5*1000*'Revenues &amp; Expenses'!O38</f>
        <v>2.14725939657166</v>
      </c>
      <c r="H30" s="204" t="n">
        <f aca="false">H29+1</f>
        <v>21</v>
      </c>
      <c r="I30" s="204" t="n">
        <f aca="false">IF(C30&gt;D30,1,0)</f>
        <v>1</v>
      </c>
      <c r="J30" s="204" t="n">
        <v>315</v>
      </c>
      <c r="K30" s="212" t="n">
        <f aca="false">IF(I30&gt;0,J30*'Revenues &amp; Expenses'!F38*16,0)</f>
        <v>110880</v>
      </c>
      <c r="L30" s="211" t="n">
        <f aca="false">K30*'Revenues &amp; Expenses'!N38</f>
        <v>92868.8913621608</v>
      </c>
      <c r="M30" s="212"/>
      <c r="N30" s="212"/>
      <c r="AC30" s="248" t="n">
        <f aca="false">B30</f>
        <v>37469</v>
      </c>
      <c r="AD30" s="10" t="n">
        <f aca="false">AD29+1</f>
        <v>21</v>
      </c>
      <c r="AE30" s="10" t="n">
        <f aca="false">C30*L30</f>
        <v>7587388.14087517</v>
      </c>
      <c r="AF30" s="10" t="n">
        <f aca="false">L30</f>
        <v>92868.8913621608</v>
      </c>
      <c r="AG30" s="205" t="n">
        <f aca="false">IF(AF30&gt;0,AE30/AF30,0)</f>
        <v>81.6999969482422</v>
      </c>
      <c r="AJ30" s="10" t="n">
        <f aca="false">D30*L30</f>
        <v>4333098.08501662</v>
      </c>
      <c r="AK30" s="249" t="n">
        <f aca="false">IF(AF30&gt;0,AJ30/AF30,0)</f>
        <v>46.658229913813</v>
      </c>
    </row>
    <row r="31" customFormat="false" ht="12.75" hidden="false" customHeight="false" outlineLevel="0" collapsed="false">
      <c r="A31" s="180" t="n">
        <v>37.9152684112667</v>
      </c>
      <c r="B31" s="240" t="n">
        <f aca="false">'Revenues &amp; Expenses'!AX39</f>
        <v>37500</v>
      </c>
      <c r="C31" s="180" t="n">
        <f aca="false">'PJM Curve Simulation'!J39</f>
        <v>32.8249984741211</v>
      </c>
      <c r="D31" s="180" t="n">
        <f aca="false">F31+G31</f>
        <v>47.4342771263283</v>
      </c>
      <c r="F31" s="180" t="n">
        <f aca="false">('Fuel Curve Simulation'!J39*'Revenues &amp; Expenses'!$S$2/1000)</f>
        <v>45.2822451724138</v>
      </c>
      <c r="G31" s="180" t="n">
        <f aca="false">'Revenues &amp; Expenses'!$AM$5*1000*'Revenues &amp; Expenses'!O39</f>
        <v>2.15203195391455</v>
      </c>
      <c r="H31" s="204" t="n">
        <f aca="false">H30+1</f>
        <v>22</v>
      </c>
      <c r="I31" s="204" t="n">
        <f aca="false">IF(C31&gt;D31,1,0)</f>
        <v>0</v>
      </c>
      <c r="J31" s="204" t="n">
        <v>315</v>
      </c>
      <c r="K31" s="212" t="n">
        <f aca="false">IF(I31&gt;0,J31*'Revenues &amp; Expenses'!F39*16,0)</f>
        <v>0</v>
      </c>
      <c r="L31" s="211" t="n">
        <f aca="false">K31*'Revenues &amp; Expenses'!N39</f>
        <v>0</v>
      </c>
      <c r="M31" s="212"/>
      <c r="N31" s="212"/>
      <c r="AC31" s="248" t="n">
        <f aca="false">B31</f>
        <v>37500</v>
      </c>
      <c r="AD31" s="10" t="n">
        <f aca="false">AD30+1</f>
        <v>22</v>
      </c>
      <c r="AE31" s="10" t="n">
        <f aca="false">C31*L31</f>
        <v>0</v>
      </c>
      <c r="AF31" s="10" t="n">
        <f aca="false">L31</f>
        <v>0</v>
      </c>
      <c r="AG31" s="205" t="n">
        <f aca="false">IF(AF31&gt;0,AE31/AF31,0)</f>
        <v>0</v>
      </c>
      <c r="AJ31" s="10" t="n">
        <f aca="false">D31*L31</f>
        <v>0</v>
      </c>
      <c r="AK31" s="249" t="n">
        <f aca="false">IF(AF31&gt;0,AJ31/AF31,0)</f>
        <v>0</v>
      </c>
    </row>
    <row r="32" customFormat="false" ht="12.75" hidden="false" customHeight="false" outlineLevel="0" collapsed="false">
      <c r="A32" s="180" t="n">
        <v>31.100844823122</v>
      </c>
      <c r="B32" s="240" t="n">
        <f aca="false">'Revenues &amp; Expenses'!AX40</f>
        <v>37530</v>
      </c>
      <c r="C32" s="180" t="n">
        <f aca="false">'PJM Curve Simulation'!J40</f>
        <v>26.4750003814697</v>
      </c>
      <c r="D32" s="180" t="n">
        <f aca="false">F32+G32</f>
        <v>48.1740008085288</v>
      </c>
      <c r="F32" s="180" t="n">
        <f aca="false">('Fuel Curve Simulation'!J40*'Revenues &amp; Expenses'!$S$2/1000)</f>
        <v>46.0171856896552</v>
      </c>
      <c r="G32" s="180" t="n">
        <f aca="false">'Revenues &amp; Expenses'!$AM$5*1000*'Revenues &amp; Expenses'!O40</f>
        <v>2.15681511887365</v>
      </c>
      <c r="H32" s="204" t="n">
        <f aca="false">H31+1</f>
        <v>23</v>
      </c>
      <c r="I32" s="204" t="n">
        <f aca="false">IF(C32&gt;D32,1,0)</f>
        <v>0</v>
      </c>
      <c r="J32" s="204" t="n">
        <v>315</v>
      </c>
      <c r="K32" s="212" t="n">
        <f aca="false">IF(I32&gt;0,J32*'Revenues &amp; Expenses'!F40*16,0)</f>
        <v>0</v>
      </c>
      <c r="L32" s="211" t="n">
        <f aca="false">K32*'Revenues &amp; Expenses'!N40</f>
        <v>0</v>
      </c>
      <c r="M32" s="212"/>
      <c r="N32" s="212"/>
      <c r="AC32" s="248" t="n">
        <f aca="false">B32</f>
        <v>37530</v>
      </c>
      <c r="AD32" s="10" t="n">
        <f aca="false">AD31+1</f>
        <v>23</v>
      </c>
      <c r="AE32" s="10" t="n">
        <f aca="false">C32*L32</f>
        <v>0</v>
      </c>
      <c r="AF32" s="10" t="n">
        <f aca="false">L32</f>
        <v>0</v>
      </c>
      <c r="AG32" s="205" t="n">
        <f aca="false">IF(AF32&gt;0,AE32/AF32,0)</f>
        <v>0</v>
      </c>
      <c r="AJ32" s="10" t="n">
        <f aca="false">D32*L32</f>
        <v>0</v>
      </c>
      <c r="AK32" s="249" t="n">
        <f aca="false">IF(AF32&gt;0,AJ32/AF32,0)</f>
        <v>0</v>
      </c>
    </row>
    <row r="33" customFormat="false" ht="12.75" hidden="false" customHeight="false" outlineLevel="0" collapsed="false">
      <c r="A33" s="180" t="n">
        <v>31.1370955972672</v>
      </c>
      <c r="B33" s="240" t="n">
        <f aca="false">'Revenues &amp; Expenses'!AX41</f>
        <v>37561</v>
      </c>
      <c r="C33" s="180" t="n">
        <f aca="false">'PJM Curve Simulation'!J41</f>
        <v>26.1474990844727</v>
      </c>
      <c r="D33" s="180" t="n">
        <f aca="false">F33+G33</f>
        <v>48.8922649495085</v>
      </c>
      <c r="F33" s="180" t="n">
        <f aca="false">('Fuel Curve Simulation'!J41*'Revenues &amp; Expenses'!$S$2/1000)</f>
        <v>46.7306560344828</v>
      </c>
      <c r="G33" s="180" t="n">
        <f aca="false">'Revenues &amp; Expenses'!$AM$5*1000*'Revenues &amp; Expenses'!O41</f>
        <v>2.16160891502574</v>
      </c>
      <c r="H33" s="204" t="n">
        <f aca="false">H32+1</f>
        <v>24</v>
      </c>
      <c r="I33" s="204" t="n">
        <f aca="false">IF(C33&gt;D33,1,0)</f>
        <v>0</v>
      </c>
      <c r="J33" s="204" t="n">
        <v>315</v>
      </c>
      <c r="K33" s="212" t="n">
        <f aca="false">IF(I33&gt;0,J33*'Revenues &amp; Expenses'!F41*16,0)</f>
        <v>0</v>
      </c>
      <c r="L33" s="211" t="n">
        <f aca="false">K33*'Revenues &amp; Expenses'!N41</f>
        <v>0</v>
      </c>
      <c r="M33" s="212"/>
      <c r="N33" s="212"/>
      <c r="AC33" s="248" t="n">
        <f aca="false">B33</f>
        <v>37561</v>
      </c>
      <c r="AD33" s="10" t="n">
        <f aca="false">AD32+1</f>
        <v>24</v>
      </c>
      <c r="AE33" s="10" t="n">
        <f aca="false">C33*L33</f>
        <v>0</v>
      </c>
      <c r="AF33" s="10" t="n">
        <f aca="false">L33</f>
        <v>0</v>
      </c>
      <c r="AG33" s="205" t="n">
        <f aca="false">IF(AF33&gt;0,AE33/AF33,0)</f>
        <v>0</v>
      </c>
      <c r="AJ33" s="10" t="n">
        <f aca="false">D33*L33</f>
        <v>0</v>
      </c>
      <c r="AK33" s="249" t="n">
        <f aca="false">IF(AF33&gt;0,AJ33/AF33,0)</f>
        <v>0</v>
      </c>
    </row>
    <row r="34" customFormat="false" ht="12.75" hidden="false" customHeight="false" outlineLevel="0" collapsed="false">
      <c r="A34" s="180" t="n">
        <v>33.6463920791759</v>
      </c>
      <c r="B34" s="240" t="n">
        <f aca="false">'Revenues &amp; Expenses'!AX42</f>
        <v>37591</v>
      </c>
      <c r="C34" s="180" t="n">
        <f aca="false">'PJM Curve Simulation'!J42</f>
        <v>27.8999996185303</v>
      </c>
      <c r="D34" s="180" t="n">
        <f aca="false">F34+G34</f>
        <v>49.1960002625517</v>
      </c>
      <c r="F34" s="180" t="n">
        <f aca="false">('Fuel Curve Simulation'!J42*'Revenues &amp; Expenses'!$S$2/1000)</f>
        <v>47.0295868965517</v>
      </c>
      <c r="G34" s="180" t="n">
        <f aca="false">'Revenues &amp; Expenses'!$AM$5*1000*'Revenues &amp; Expenses'!O42</f>
        <v>2.166413366</v>
      </c>
      <c r="H34" s="204" t="n">
        <f aca="false">H33+1</f>
        <v>25</v>
      </c>
      <c r="I34" s="204" t="n">
        <f aca="false">IF(C34&gt;D34,1,0)</f>
        <v>0</v>
      </c>
      <c r="J34" s="204" t="n">
        <v>315</v>
      </c>
      <c r="K34" s="212" t="n">
        <f aca="false">IF(I34&gt;0,J34*'Revenues &amp; Expenses'!F42*16,0)</f>
        <v>0</v>
      </c>
      <c r="L34" s="211" t="n">
        <f aca="false">K34*'Revenues &amp; Expenses'!N42</f>
        <v>0</v>
      </c>
      <c r="M34" s="212" t="n">
        <f aca="false">SUM(L23:L34)</f>
        <v>276027.538345716</v>
      </c>
      <c r="N34" s="212" t="n">
        <f aca="false">SUM(K23:K34)</f>
        <v>327600</v>
      </c>
      <c r="AC34" s="248" t="n">
        <f aca="false">B34</f>
        <v>37591</v>
      </c>
      <c r="AD34" s="10" t="n">
        <f aca="false">AD33+1</f>
        <v>25</v>
      </c>
      <c r="AE34" s="10" t="n">
        <f aca="false">C34*L34</f>
        <v>0</v>
      </c>
      <c r="AF34" s="10" t="n">
        <f aca="false">L34</f>
        <v>0</v>
      </c>
      <c r="AG34" s="205" t="n">
        <f aca="false">IF(AF34&gt;0,AE34/AF34,0)</f>
        <v>0</v>
      </c>
      <c r="AH34" s="205" t="n">
        <f aca="false">IF(SUM(AF23:AF34)=0,0,SUM(AE23:AE34)/SUM(AF23:AF34))</f>
        <v>77.9877026587938</v>
      </c>
      <c r="AJ34" s="10" t="n">
        <f aca="false">D34*L34</f>
        <v>0</v>
      </c>
      <c r="AK34" s="249" t="n">
        <f aca="false">IF(AF34&gt;0,AJ34/AF34,0)</f>
        <v>0</v>
      </c>
      <c r="AL34" s="249" t="n">
        <f aca="false">IF(SUM(AF23:AF34)=0,0,SUM(AJ23:AJ34)/SUM(AF23:AF34))</f>
        <v>46.0623431717233</v>
      </c>
    </row>
    <row r="35" customFormat="false" ht="12.75" hidden="false" customHeight="false" outlineLevel="0" collapsed="false">
      <c r="A35" s="180" t="n">
        <v>44.5423578715804</v>
      </c>
      <c r="B35" s="240" t="n">
        <f aca="false">'Revenues &amp; Expenses'!AX43</f>
        <v>37622</v>
      </c>
      <c r="C35" s="180" t="n">
        <f aca="false">'PJM Curve Simulation'!J43</f>
        <v>36.3249984741211</v>
      </c>
      <c r="D35" s="180" t="n">
        <f aca="false">F35+G35</f>
        <v>48.5484524609954</v>
      </c>
      <c r="F35" s="180" t="n">
        <f aca="false">('Fuel Curve Simulation'!J43*'Revenues &amp; Expenses'!$S$2/1000)</f>
        <v>46.3772239655172</v>
      </c>
      <c r="G35" s="180" t="n">
        <f aca="false">'Revenues &amp; Expenses'!$AM$5*1000*'Revenues &amp; Expenses'!O43</f>
        <v>2.17122849547813</v>
      </c>
      <c r="H35" s="204" t="n">
        <f aca="false">H34+1</f>
        <v>26</v>
      </c>
      <c r="I35" s="204" t="n">
        <f aca="false">IF(C35&gt;D35,1,0)</f>
        <v>0</v>
      </c>
      <c r="J35" s="204" t="n">
        <v>315</v>
      </c>
      <c r="K35" s="212" t="n">
        <f aca="false">IF(I35&gt;0,J35*'Revenues &amp; Expenses'!F43*16,0)</f>
        <v>0</v>
      </c>
      <c r="L35" s="211" t="n">
        <f aca="false">K35*'Revenues &amp; Expenses'!N43</f>
        <v>0</v>
      </c>
      <c r="M35" s="212"/>
      <c r="N35" s="212"/>
      <c r="AC35" s="248" t="n">
        <f aca="false">B35</f>
        <v>37622</v>
      </c>
      <c r="AD35" s="10" t="n">
        <f aca="false">AD34+1</f>
        <v>26</v>
      </c>
      <c r="AE35" s="10" t="n">
        <f aca="false">C35*L35</f>
        <v>0</v>
      </c>
      <c r="AF35" s="10" t="n">
        <f aca="false">L35</f>
        <v>0</v>
      </c>
      <c r="AG35" s="205" t="n">
        <f aca="false">IF(AF35&gt;0,AE35/AF35,0)</f>
        <v>0</v>
      </c>
      <c r="AJ35" s="10" t="n">
        <f aca="false">D35*L35</f>
        <v>0</v>
      </c>
      <c r="AK35" s="249" t="n">
        <f aca="false">IF(AF35&gt;0,AJ35/AF35,0)</f>
        <v>0</v>
      </c>
    </row>
    <row r="36" customFormat="false" ht="12.75" hidden="false" customHeight="false" outlineLevel="0" collapsed="false">
      <c r="A36" s="180" t="n">
        <v>44.5423578715804</v>
      </c>
      <c r="B36" s="240" t="n">
        <f aca="false">'Revenues &amp; Expenses'!AX44</f>
        <v>37653</v>
      </c>
      <c r="C36" s="180" t="n">
        <f aca="false">'PJM Curve Simulation'!J44</f>
        <v>36.3249984741211</v>
      </c>
      <c r="D36" s="180" t="n">
        <f aca="false">F36+G36</f>
        <v>47.4995882927117</v>
      </c>
      <c r="F36" s="180" t="n">
        <f aca="false">('Fuel Curve Simulation'!J44*'Revenues &amp; Expenses'!$S$2/1000)</f>
        <v>45.3235339655173</v>
      </c>
      <c r="G36" s="180" t="n">
        <f aca="false">'Revenues &amp; Expenses'!$AM$5*1000*'Revenues &amp; Expenses'!O44</f>
        <v>2.17605432719447</v>
      </c>
      <c r="H36" s="204" t="n">
        <f aca="false">H35+1</f>
        <v>27</v>
      </c>
      <c r="I36" s="204" t="n">
        <f aca="false">IF(C36&gt;D36,1,0)</f>
        <v>0</v>
      </c>
      <c r="J36" s="204" t="n">
        <v>315</v>
      </c>
      <c r="K36" s="212" t="n">
        <f aca="false">IF(I36&gt;0,J36*'Revenues &amp; Expenses'!F44*16,0)</f>
        <v>0</v>
      </c>
      <c r="L36" s="211" t="n">
        <f aca="false">K36*'Revenues &amp; Expenses'!N44</f>
        <v>0</v>
      </c>
      <c r="M36" s="212"/>
      <c r="N36" s="212"/>
      <c r="AC36" s="248" t="n">
        <f aca="false">B36</f>
        <v>37653</v>
      </c>
      <c r="AD36" s="10" t="n">
        <f aca="false">AD35+1</f>
        <v>27</v>
      </c>
      <c r="AE36" s="10" t="n">
        <f aca="false">C36*L36</f>
        <v>0</v>
      </c>
      <c r="AF36" s="10" t="n">
        <f aca="false">L36</f>
        <v>0</v>
      </c>
      <c r="AG36" s="205" t="n">
        <f aca="false">IF(AF36&gt;0,AE36/AF36,0)</f>
        <v>0</v>
      </c>
      <c r="AJ36" s="10" t="n">
        <f aca="false">D36*L36</f>
        <v>0</v>
      </c>
      <c r="AK36" s="249" t="n">
        <f aca="false">IF(AF36&gt;0,AJ36/AF36,0)</f>
        <v>0</v>
      </c>
    </row>
    <row r="37" customFormat="false" ht="12.75" hidden="false" customHeight="false" outlineLevel="0" collapsed="false">
      <c r="A37" s="180" t="n">
        <v>31.865095927906</v>
      </c>
      <c r="B37" s="240" t="n">
        <f aca="false">'Revenues &amp; Expenses'!AX45</f>
        <v>37681</v>
      </c>
      <c r="C37" s="180" t="n">
        <f aca="false">'PJM Curve Simulation'!J45</f>
        <v>26.2000007629395</v>
      </c>
      <c r="D37" s="180" t="n">
        <f aca="false">F37+G37</f>
        <v>46.4573410573499</v>
      </c>
      <c r="F37" s="180" t="n">
        <f aca="false">('Fuel Curve Simulation'!J45*'Revenues &amp; Expenses'!$S$2/1000)</f>
        <v>44.2764501724138</v>
      </c>
      <c r="G37" s="180" t="n">
        <f aca="false">'Revenues &amp; Expenses'!$AM$5*1000*'Revenues &amp; Expenses'!O45</f>
        <v>2.18089088493609</v>
      </c>
      <c r="H37" s="204" t="n">
        <f aca="false">H36+1</f>
        <v>28</v>
      </c>
      <c r="I37" s="204" t="n">
        <f aca="false">IF(C37&gt;D37,1,0)</f>
        <v>0</v>
      </c>
      <c r="J37" s="204" t="n">
        <v>315</v>
      </c>
      <c r="K37" s="212" t="n">
        <f aca="false">IF(I37&gt;0,J37*'Revenues &amp; Expenses'!F45*16,0)</f>
        <v>0</v>
      </c>
      <c r="L37" s="211" t="n">
        <f aca="false">K37*'Revenues &amp; Expenses'!N45</f>
        <v>0</v>
      </c>
      <c r="M37" s="212"/>
      <c r="N37" s="212"/>
      <c r="AC37" s="248" t="n">
        <f aca="false">B37</f>
        <v>37681</v>
      </c>
      <c r="AD37" s="10" t="n">
        <f aca="false">AD36+1</f>
        <v>28</v>
      </c>
      <c r="AE37" s="10" t="n">
        <f aca="false">C37*L37</f>
        <v>0</v>
      </c>
      <c r="AF37" s="10" t="n">
        <f aca="false">L37</f>
        <v>0</v>
      </c>
      <c r="AG37" s="205" t="n">
        <f aca="false">IF(AF37&gt;0,AE37/AF37,0)</f>
        <v>0</v>
      </c>
      <c r="AJ37" s="10" t="n">
        <f aca="false">D37*L37</f>
        <v>0</v>
      </c>
      <c r="AK37" s="249" t="n">
        <f aca="false">IF(AF37&gt;0,AJ37/AF37,0)</f>
        <v>0</v>
      </c>
    </row>
    <row r="38" customFormat="false" ht="12.75" hidden="false" customHeight="false" outlineLevel="0" collapsed="false">
      <c r="A38" s="180" t="n">
        <v>29.4650613585082</v>
      </c>
      <c r="B38" s="240" t="n">
        <f aca="false">'Revenues &amp; Expenses'!AX46</f>
        <v>37712</v>
      </c>
      <c r="C38" s="180" t="n">
        <f aca="false">'PJM Curve Simulation'!J46</f>
        <v>25.9750007629395</v>
      </c>
      <c r="D38" s="180" t="n">
        <f aca="false">F38+G38</f>
        <v>45.4002406063361</v>
      </c>
      <c r="F38" s="180" t="n">
        <f aca="false">('Fuel Curve Simulation'!J46*'Revenues &amp; Expenses'!$S$2/1000)</f>
        <v>43.2145024137931</v>
      </c>
      <c r="G38" s="180" t="n">
        <f aca="false">'Revenues &amp; Expenses'!$AM$5*1000*'Revenues &amp; Expenses'!O46</f>
        <v>2.18573819254297</v>
      </c>
      <c r="H38" s="204" t="n">
        <f aca="false">H37+1</f>
        <v>29</v>
      </c>
      <c r="I38" s="204" t="n">
        <f aca="false">IF(C38&gt;D38,1,0)</f>
        <v>0</v>
      </c>
      <c r="J38" s="204" t="n">
        <v>315</v>
      </c>
      <c r="K38" s="212" t="n">
        <f aca="false">IF(I38&gt;0,J38*'Revenues &amp; Expenses'!F46*16,0)</f>
        <v>0</v>
      </c>
      <c r="L38" s="211" t="n">
        <f aca="false">K38*'Revenues &amp; Expenses'!N46</f>
        <v>0</v>
      </c>
      <c r="M38" s="212"/>
      <c r="N38" s="212"/>
      <c r="AC38" s="248" t="n">
        <f aca="false">B38</f>
        <v>37712</v>
      </c>
      <c r="AD38" s="10" t="n">
        <f aca="false">AD37+1</f>
        <v>29</v>
      </c>
      <c r="AE38" s="10" t="n">
        <f aca="false">C38*L38</f>
        <v>0</v>
      </c>
      <c r="AF38" s="10" t="n">
        <f aca="false">L38</f>
        <v>0</v>
      </c>
      <c r="AG38" s="205" t="n">
        <f aca="false">IF(AF38&gt;0,AE38/AF38,0)</f>
        <v>0</v>
      </c>
      <c r="AJ38" s="10" t="n">
        <f aca="false">D38*L38</f>
        <v>0</v>
      </c>
      <c r="AK38" s="249" t="n">
        <f aca="false">IF(AF38&gt;0,AJ38/AF38,0)</f>
        <v>0</v>
      </c>
    </row>
    <row r="39" customFormat="false" ht="12.75" hidden="false" customHeight="false" outlineLevel="0" collapsed="false">
      <c r="A39" s="180" t="n">
        <v>34.0044846947646</v>
      </c>
      <c r="B39" s="240" t="n">
        <f aca="false">'Revenues &amp; Expenses'!AX47</f>
        <v>37742</v>
      </c>
      <c r="C39" s="180" t="n">
        <f aca="false">'PJM Curve Simulation'!J47</f>
        <v>30.975</v>
      </c>
      <c r="D39" s="180" t="n">
        <f aca="false">F39+G39</f>
        <v>44.6420817911494</v>
      </c>
      <c r="F39" s="180" t="n">
        <f aca="false">('Fuel Curve Simulation'!J47*'Revenues &amp; Expenses'!$S$2/1000)</f>
        <v>42.4514855172414</v>
      </c>
      <c r="G39" s="180" t="n">
        <f aca="false">'Revenues &amp; Expenses'!$AM$5*1000*'Revenues &amp; Expenses'!O47</f>
        <v>2.19059627390803</v>
      </c>
      <c r="H39" s="204" t="n">
        <f aca="false">H38+1</f>
        <v>30</v>
      </c>
      <c r="I39" s="204" t="n">
        <f aca="false">IF(C39&gt;D39,1,0)</f>
        <v>0</v>
      </c>
      <c r="J39" s="204" t="n">
        <v>315</v>
      </c>
      <c r="K39" s="212" t="n">
        <f aca="false">IF(I39&gt;0,J39*'Revenues &amp; Expenses'!F47*16,0)</f>
        <v>0</v>
      </c>
      <c r="L39" s="211" t="n">
        <f aca="false">K39*'Revenues &amp; Expenses'!N47</f>
        <v>0</v>
      </c>
      <c r="M39" s="212"/>
      <c r="N39" s="212"/>
      <c r="AC39" s="248" t="n">
        <f aca="false">B39</f>
        <v>37742</v>
      </c>
      <c r="AD39" s="10" t="n">
        <f aca="false">AD38+1</f>
        <v>30</v>
      </c>
      <c r="AE39" s="10" t="n">
        <f aca="false">C39*L39</f>
        <v>0</v>
      </c>
      <c r="AF39" s="10" t="n">
        <f aca="false">L39</f>
        <v>0</v>
      </c>
      <c r="AG39" s="205" t="n">
        <f aca="false">IF(AF39&gt;0,AE39/AF39,0)</f>
        <v>0</v>
      </c>
      <c r="AJ39" s="10" t="n">
        <f aca="false">D39*L39</f>
        <v>0</v>
      </c>
      <c r="AK39" s="249" t="n">
        <f aca="false">IF(AF39&gt;0,AJ39/AF39,0)</f>
        <v>0</v>
      </c>
    </row>
    <row r="40" customFormat="false" ht="12.75" hidden="false" customHeight="false" outlineLevel="0" collapsed="false">
      <c r="A40" s="180" t="n">
        <v>67.9918682676761</v>
      </c>
      <c r="B40" s="240" t="n">
        <f aca="false">'Revenues &amp; Expenses'!AX48</f>
        <v>37773</v>
      </c>
      <c r="C40" s="180" t="n">
        <f aca="false">'PJM Curve Simulation'!J48</f>
        <v>55.0999984741211</v>
      </c>
      <c r="D40" s="180" t="n">
        <f aca="false">F40+G40</f>
        <v>44.4867501529773</v>
      </c>
      <c r="F40" s="180" t="n">
        <f aca="false">('Fuel Curve Simulation'!J48*'Revenues &amp; Expenses'!$S$2/1000)</f>
        <v>42.291285</v>
      </c>
      <c r="G40" s="180" t="n">
        <f aca="false">'Revenues &amp; Expenses'!$AM$5*1000*'Revenues &amp; Expenses'!O48</f>
        <v>2.19546515297734</v>
      </c>
      <c r="H40" s="204" t="n">
        <f aca="false">H39+1</f>
        <v>31</v>
      </c>
      <c r="I40" s="204" t="n">
        <f aca="false">IF(C40&gt;D40,1,0)</f>
        <v>1</v>
      </c>
      <c r="J40" s="204" t="n">
        <v>315</v>
      </c>
      <c r="K40" s="212" t="n">
        <f aca="false">IF(I40&gt;0,J40*'Revenues &amp; Expenses'!F48*16,0)</f>
        <v>105840</v>
      </c>
      <c r="L40" s="211" t="n">
        <f aca="false">K40*'Revenues &amp; Expenses'!N48</f>
        <v>83401.075993691</v>
      </c>
      <c r="M40" s="212"/>
      <c r="N40" s="212"/>
      <c r="AC40" s="248" t="n">
        <f aca="false">B40</f>
        <v>37773</v>
      </c>
      <c r="AD40" s="10" t="n">
        <f aca="false">AD39+1</f>
        <v>31</v>
      </c>
      <c r="AE40" s="10" t="n">
        <f aca="false">C40*L40</f>
        <v>4595399.15999243</v>
      </c>
      <c r="AF40" s="10" t="n">
        <f aca="false">L40</f>
        <v>83401.075993691</v>
      </c>
      <c r="AG40" s="205" t="n">
        <f aca="false">IF(AF40&gt;0,AE40/AF40,0)</f>
        <v>55.0999984741211</v>
      </c>
      <c r="AJ40" s="10" t="n">
        <f aca="false">D40*L40</f>
        <v>3710242.83022081</v>
      </c>
      <c r="AK40" s="249" t="n">
        <f aca="false">IF(AF40&gt;0,AJ40/AF40,0)</f>
        <v>44.4867501529773</v>
      </c>
    </row>
    <row r="41" customFormat="false" ht="12.75" hidden="false" customHeight="false" outlineLevel="0" collapsed="false">
      <c r="A41" s="180" t="n">
        <v>123.690790917236</v>
      </c>
      <c r="B41" s="240" t="n">
        <f aca="false">'Revenues &amp; Expenses'!AX49</f>
        <v>37803</v>
      </c>
      <c r="C41" s="180" t="n">
        <f aca="false">'PJM Curve Simulation'!J49</f>
        <v>94.1999969482422</v>
      </c>
      <c r="D41" s="180" t="n">
        <f aca="false">F41+G41</f>
        <v>44.9292910606467</v>
      </c>
      <c r="F41" s="180" t="n">
        <f aca="false">('Fuel Curve Simulation'!J49*'Revenues &amp; Expenses'!$S$2/1000)</f>
        <v>42.7289462068966</v>
      </c>
      <c r="G41" s="180" t="n">
        <f aca="false">'Revenues &amp; Expenses'!$AM$5*1000*'Revenues &amp; Expenses'!O49</f>
        <v>2.20034485375015</v>
      </c>
      <c r="H41" s="204" t="n">
        <f aca="false">H40+1</f>
        <v>32</v>
      </c>
      <c r="I41" s="204" t="n">
        <f aca="false">IF(C41&gt;D41,1,0)</f>
        <v>1</v>
      </c>
      <c r="J41" s="204" t="n">
        <v>315</v>
      </c>
      <c r="K41" s="212" t="n">
        <f aca="false">IF(I41&gt;0,J41*'Revenues &amp; Expenses'!F49*16,0)</f>
        <v>115920</v>
      </c>
      <c r="L41" s="211" t="n">
        <f aca="false">K41*'Revenues &amp; Expenses'!N49</f>
        <v>90796.6655164199</v>
      </c>
      <c r="M41" s="212"/>
      <c r="N41" s="212"/>
      <c r="AC41" s="248" t="n">
        <f aca="false">B41</f>
        <v>37803</v>
      </c>
      <c r="AD41" s="10" t="n">
        <f aca="false">AD40+1</f>
        <v>32</v>
      </c>
      <c r="AE41" s="10" t="n">
        <f aca="false">C41*L41</f>
        <v>8553045.61455732</v>
      </c>
      <c r="AF41" s="10" t="n">
        <f aca="false">L41</f>
        <v>90796.6655164199</v>
      </c>
      <c r="AG41" s="205" t="n">
        <f aca="false">IF(AF41&gt;0,AE41/AF41,0)</f>
        <v>94.1999969482422</v>
      </c>
      <c r="AJ41" s="10" t="n">
        <f aca="false">D41*L41</f>
        <v>4079429.81232341</v>
      </c>
      <c r="AK41" s="249" t="n">
        <f aca="false">IF(AF41&gt;0,AJ41/AF41,0)</f>
        <v>44.9292910606467</v>
      </c>
    </row>
    <row r="42" customFormat="false" ht="12.75" hidden="false" customHeight="false" outlineLevel="0" collapsed="false">
      <c r="A42" s="180" t="n">
        <v>99.6599954101109</v>
      </c>
      <c r="B42" s="240" t="n">
        <f aca="false">'Revenues &amp; Expenses'!AX50</f>
        <v>37834</v>
      </c>
      <c r="C42" s="180" t="n">
        <f aca="false">'PJM Curve Simulation'!J50</f>
        <v>81.1999969482422</v>
      </c>
      <c r="D42" s="180" t="n">
        <f aca="false">F42+G42</f>
        <v>45.6839860899343</v>
      </c>
      <c r="F42" s="180" t="n">
        <f aca="false">('Fuel Curve Simulation'!J50*'Revenues &amp; Expenses'!$S$2/1000)</f>
        <v>43.4787506896552</v>
      </c>
      <c r="G42" s="180" t="n">
        <f aca="false">'Revenues &amp; Expenses'!$AM$5*1000*'Revenues &amp; Expenses'!O50</f>
        <v>2.2052354002791</v>
      </c>
      <c r="H42" s="204" t="n">
        <f aca="false">H41+1</f>
        <v>33</v>
      </c>
      <c r="I42" s="204" t="n">
        <f aca="false">IF(C42&gt;D42,1,0)</f>
        <v>1</v>
      </c>
      <c r="J42" s="204" t="n">
        <v>315</v>
      </c>
      <c r="K42" s="212" t="n">
        <f aca="false">IF(I42&gt;0,J42*'Revenues &amp; Expenses'!F50*16,0)</f>
        <v>105840</v>
      </c>
      <c r="L42" s="211" t="n">
        <f aca="false">K42*'Revenues &amp; Expenses'!N50</f>
        <v>82388.3777958396</v>
      </c>
      <c r="M42" s="212"/>
      <c r="N42" s="212"/>
      <c r="AC42" s="248" t="n">
        <f aca="false">B42</f>
        <v>37834</v>
      </c>
      <c r="AD42" s="10" t="n">
        <f aca="false">AD41+1</f>
        <v>33</v>
      </c>
      <c r="AE42" s="10" t="n">
        <f aca="false">C42*L42</f>
        <v>6689936.0255928</v>
      </c>
      <c r="AF42" s="10" t="n">
        <f aca="false">L42</f>
        <v>82388.3777958396</v>
      </c>
      <c r="AG42" s="205" t="n">
        <f aca="false">IF(AF42&gt;0,AE42/AF42,0)</f>
        <v>81.1999969482422</v>
      </c>
      <c r="AJ42" s="10" t="n">
        <f aca="false">D42*L42</f>
        <v>3763829.50519738</v>
      </c>
      <c r="AK42" s="249" t="n">
        <f aca="false">IF(AF42&gt;0,AJ42/AF42,0)</f>
        <v>45.6839860899343</v>
      </c>
    </row>
    <row r="43" customFormat="false" ht="12.75" hidden="false" customHeight="false" outlineLevel="0" collapsed="false">
      <c r="A43" s="180" t="n">
        <v>38.2040366532604</v>
      </c>
      <c r="B43" s="240" t="n">
        <f aca="false">'Revenues &amp; Expenses'!AX51</f>
        <v>37865</v>
      </c>
      <c r="C43" s="180" t="n">
        <f aca="false">'PJM Curve Simulation'!J51</f>
        <v>33.0749984741211</v>
      </c>
      <c r="D43" s="180" t="n">
        <f aca="false">F43+G43</f>
        <v>46.4997994028771</v>
      </c>
      <c r="F43" s="180" t="n">
        <f aca="false">('Fuel Curve Simulation'!J51*'Revenues &amp; Expenses'!$S$2/1000)</f>
        <v>44.2896625862069</v>
      </c>
      <c r="G43" s="180" t="n">
        <f aca="false">'Revenues &amp; Expenses'!$AM$5*1000*'Revenues &amp; Expenses'!O51</f>
        <v>2.21013681667024</v>
      </c>
      <c r="H43" s="204" t="n">
        <f aca="false">H42+1</f>
        <v>34</v>
      </c>
      <c r="I43" s="204" t="n">
        <f aca="false">IF(C43&gt;D43,1,0)</f>
        <v>0</v>
      </c>
      <c r="J43" s="204" t="n">
        <v>315</v>
      </c>
      <c r="K43" s="212" t="n">
        <f aca="false">IF(I43&gt;0,J43*'Revenues &amp; Expenses'!F51*16,0)</f>
        <v>0</v>
      </c>
      <c r="L43" s="211" t="n">
        <f aca="false">K43*'Revenues &amp; Expenses'!N51</f>
        <v>0</v>
      </c>
      <c r="M43" s="212"/>
      <c r="N43" s="212"/>
      <c r="AC43" s="248" t="n">
        <f aca="false">B43</f>
        <v>37865</v>
      </c>
      <c r="AD43" s="10" t="n">
        <f aca="false">AD42+1</f>
        <v>34</v>
      </c>
      <c r="AE43" s="10" t="n">
        <f aca="false">C43*L43</f>
        <v>0</v>
      </c>
      <c r="AF43" s="10" t="n">
        <f aca="false">L43</f>
        <v>0</v>
      </c>
      <c r="AG43" s="205" t="n">
        <f aca="false">IF(AF43&gt;0,AE43/AF43,0)</f>
        <v>0</v>
      </c>
      <c r="AJ43" s="10" t="n">
        <f aca="false">D43*L43</f>
        <v>0</v>
      </c>
      <c r="AK43" s="249" t="n">
        <f aca="false">IF(AF43&gt;0,AJ43/AF43,0)</f>
        <v>0</v>
      </c>
    </row>
    <row r="44" customFormat="false" ht="12.75" hidden="false" customHeight="false" outlineLevel="0" collapsed="false">
      <c r="A44" s="180" t="n">
        <v>31.394526073122</v>
      </c>
      <c r="B44" s="240" t="n">
        <f aca="false">'Revenues &amp; Expenses'!AX52</f>
        <v>37895</v>
      </c>
      <c r="C44" s="180" t="n">
        <f aca="false">'PJM Curve Simulation'!J52</f>
        <v>26.7250003814697</v>
      </c>
      <c r="D44" s="180" t="n">
        <f aca="false">F44+G44</f>
        <v>47.2743348167384</v>
      </c>
      <c r="F44" s="180" t="n">
        <f aca="false">('Fuel Curve Simulation'!J52*'Revenues &amp; Expenses'!$S$2/1000)</f>
        <v>45.0592856896552</v>
      </c>
      <c r="G44" s="180" t="n">
        <f aca="false">'Revenues &amp; Expenses'!$AM$5*1000*'Revenues &amp; Expenses'!O52</f>
        <v>2.21504912708324</v>
      </c>
      <c r="H44" s="204" t="n">
        <f aca="false">H43+1</f>
        <v>35</v>
      </c>
      <c r="I44" s="204" t="n">
        <f aca="false">IF(C44&gt;D44,1,0)</f>
        <v>0</v>
      </c>
      <c r="J44" s="204" t="n">
        <v>315</v>
      </c>
      <c r="K44" s="212" t="n">
        <f aca="false">IF(I44&gt;0,J44*'Revenues &amp; Expenses'!F52*16,0)</f>
        <v>0</v>
      </c>
      <c r="L44" s="211" t="n">
        <f aca="false">K44*'Revenues &amp; Expenses'!N52</f>
        <v>0</v>
      </c>
      <c r="M44" s="212"/>
      <c r="N44" s="212"/>
      <c r="AC44" s="248" t="n">
        <f aca="false">B44</f>
        <v>37895</v>
      </c>
      <c r="AD44" s="10" t="n">
        <f aca="false">AD43+1</f>
        <v>35</v>
      </c>
      <c r="AE44" s="10" t="n">
        <f aca="false">C44*L44</f>
        <v>0</v>
      </c>
      <c r="AF44" s="10" t="n">
        <f aca="false">L44</f>
        <v>0</v>
      </c>
      <c r="AG44" s="205" t="n">
        <f aca="false">IF(AF44&gt;0,AE44/AF44,0)</f>
        <v>0</v>
      </c>
      <c r="AJ44" s="10" t="n">
        <f aca="false">D44*L44</f>
        <v>0</v>
      </c>
      <c r="AK44" s="249" t="n">
        <f aca="false">IF(AF44&gt;0,AJ44/AF44,0)</f>
        <v>0</v>
      </c>
    </row>
    <row r="45" customFormat="false" ht="12.75" hidden="false" customHeight="false" outlineLevel="0" collapsed="false">
      <c r="A45" s="180" t="n">
        <v>31.4348018472672</v>
      </c>
      <c r="B45" s="240" t="n">
        <f aca="false">'Revenues &amp; Expenses'!AX53</f>
        <v>37926</v>
      </c>
      <c r="C45" s="180" t="n">
        <f aca="false">'PJM Curve Simulation'!J53</f>
        <v>26.3974990844727</v>
      </c>
      <c r="D45" s="180" t="n">
        <f aca="false">F45+G45</f>
        <v>48.0422749419383</v>
      </c>
      <c r="F45" s="180" t="n">
        <f aca="false">('Fuel Curve Simulation'!J53*'Revenues &amp; Expenses'!$S$2/1000)</f>
        <v>45.8223025862069</v>
      </c>
      <c r="G45" s="180" t="n">
        <f aca="false">'Revenues &amp; Expenses'!$AM$5*1000*'Revenues &amp; Expenses'!O53</f>
        <v>2.21997235573143</v>
      </c>
      <c r="H45" s="204" t="n">
        <f aca="false">H44+1</f>
        <v>36</v>
      </c>
      <c r="I45" s="204" t="n">
        <f aca="false">IF(C45&gt;D45,1,0)</f>
        <v>0</v>
      </c>
      <c r="J45" s="204" t="n">
        <v>315</v>
      </c>
      <c r="K45" s="212" t="n">
        <f aca="false">IF(I45&gt;0,J45*'Revenues &amp; Expenses'!F53*16,0)</f>
        <v>0</v>
      </c>
      <c r="L45" s="211" t="n">
        <f aca="false">K45*'Revenues &amp; Expenses'!N53</f>
        <v>0</v>
      </c>
      <c r="M45" s="212"/>
      <c r="N45" s="212"/>
      <c r="AC45" s="248" t="n">
        <f aca="false">B45</f>
        <v>37926</v>
      </c>
      <c r="AD45" s="10" t="n">
        <f aca="false">AD44+1</f>
        <v>36</v>
      </c>
      <c r="AE45" s="10" t="n">
        <f aca="false">C45*L45</f>
        <v>0</v>
      </c>
      <c r="AF45" s="10" t="n">
        <f aca="false">L45</f>
        <v>0</v>
      </c>
      <c r="AG45" s="205" t="n">
        <f aca="false">IF(AF45&gt;0,AE45/AF45,0)</f>
        <v>0</v>
      </c>
      <c r="AJ45" s="10" t="n">
        <f aca="false">D45*L45</f>
        <v>0</v>
      </c>
      <c r="AK45" s="249" t="n">
        <f aca="false">IF(AF45&gt;0,AJ45/AF45,0)</f>
        <v>0</v>
      </c>
    </row>
    <row r="46" customFormat="false" ht="12.75" hidden="false" customHeight="false" outlineLevel="0" collapsed="false">
      <c r="A46" s="180" t="n">
        <v>33.9478830517495</v>
      </c>
      <c r="B46" s="240" t="n">
        <f aca="false">'Revenues &amp; Expenses'!AX54</f>
        <v>37956</v>
      </c>
      <c r="C46" s="180" t="n">
        <f aca="false">'PJM Curve Simulation'!J54</f>
        <v>28.1499996185303</v>
      </c>
      <c r="D46" s="180" t="n">
        <f aca="false">F46+G46</f>
        <v>48.4006411820544</v>
      </c>
      <c r="F46" s="180" t="n">
        <f aca="false">('Fuel Curve Simulation'!J54*'Revenues &amp; Expenses'!$S$2/1000)</f>
        <v>46.1757346551724</v>
      </c>
      <c r="G46" s="180" t="n">
        <f aca="false">'Revenues &amp; Expenses'!$AM$5*1000*'Revenues &amp; Expenses'!O54</f>
        <v>2.224906526882</v>
      </c>
      <c r="H46" s="204" t="n">
        <f aca="false">H45+1</f>
        <v>37</v>
      </c>
      <c r="I46" s="204" t="n">
        <f aca="false">IF(C46&gt;D46,1,0)</f>
        <v>0</v>
      </c>
      <c r="J46" s="204" t="n">
        <v>315</v>
      </c>
      <c r="K46" s="212" t="n">
        <f aca="false">IF(I46&gt;0,J46*'Revenues &amp; Expenses'!F54*16,0)</f>
        <v>0</v>
      </c>
      <c r="L46" s="211" t="n">
        <f aca="false">K46*'Revenues &amp; Expenses'!N54</f>
        <v>0</v>
      </c>
      <c r="M46" s="212" t="n">
        <f aca="false">SUM(L35:L46)</f>
        <v>256586.11930595</v>
      </c>
      <c r="N46" s="212" t="n">
        <f aca="false">SUM(K35:K46)</f>
        <v>327600</v>
      </c>
      <c r="AC46" s="248" t="n">
        <f aca="false">B46</f>
        <v>37956</v>
      </c>
      <c r="AD46" s="10" t="n">
        <f aca="false">AD45+1</f>
        <v>37</v>
      </c>
      <c r="AE46" s="10" t="n">
        <f aca="false">C46*L46</f>
        <v>0</v>
      </c>
      <c r="AF46" s="10" t="n">
        <f aca="false">L46</f>
        <v>0</v>
      </c>
      <c r="AG46" s="205" t="n">
        <f aca="false">IF(AF46&gt;0,AE46/AF46,0)</f>
        <v>0</v>
      </c>
      <c r="AH46" s="205" t="n">
        <f aca="false">IF(SUM(AF35:AF46)=0,0,SUM(AE35:AE46)/SUM(AF35:AF46))</f>
        <v>77.3166563094065</v>
      </c>
      <c r="AJ46" s="10" t="n">
        <f aca="false">D46*L46</f>
        <v>0</v>
      </c>
      <c r="AK46" s="249" t="n">
        <f aca="false">IF(AF46&gt;0,AJ46/AF46,0)</f>
        <v>0</v>
      </c>
      <c r="AL46" s="249" t="n">
        <f aca="false">IF(SUM(AF35:AF46)=0,0,SUM(AJ35:AJ46)/SUM(AF35:AF46))</f>
        <v>45.0277753878234</v>
      </c>
    </row>
    <row r="47" customFormat="false" ht="12.75" hidden="false" customHeight="false" outlineLevel="0" collapsed="false">
      <c r="A47" s="180" t="n">
        <v>45.155466746221</v>
      </c>
      <c r="B47" s="240" t="n">
        <f aca="false">'Revenues &amp; Expenses'!AX55</f>
        <v>37987</v>
      </c>
      <c r="C47" s="180" t="n">
        <f aca="false">'PJM Curve Simulation'!J55</f>
        <v>36.8249984741211</v>
      </c>
      <c r="D47" s="180" t="n">
        <f aca="false">F47+G47</f>
        <v>47.8093761476147</v>
      </c>
      <c r="F47" s="180" t="n">
        <f aca="false">('Fuel Curve Simulation'!J55*'Revenues &amp; Expenses'!$S$2/1000)</f>
        <v>45.5795244827586</v>
      </c>
      <c r="G47" s="180" t="n">
        <f aca="false">'Revenues &amp; Expenses'!$AM$5*1000*'Revenues &amp; Expenses'!O55</f>
        <v>2.22985166485604</v>
      </c>
      <c r="H47" s="204" t="n">
        <f aca="false">H46+1</f>
        <v>38</v>
      </c>
      <c r="I47" s="204" t="n">
        <f aca="false">IF(C47&gt;D47,1,0)</f>
        <v>0</v>
      </c>
      <c r="J47" s="204" t="n">
        <v>315</v>
      </c>
      <c r="K47" s="212" t="n">
        <f aca="false">IF(I47&gt;0,J47*'Revenues &amp; Expenses'!F55*16,0)</f>
        <v>0</v>
      </c>
      <c r="L47" s="211" t="n">
        <f aca="false">K47*'Revenues &amp; Expenses'!N55</f>
        <v>0</v>
      </c>
      <c r="M47" s="212"/>
      <c r="N47" s="212"/>
      <c r="AC47" s="248" t="n">
        <f aca="false">B47</f>
        <v>37987</v>
      </c>
      <c r="AD47" s="10" t="n">
        <f aca="false">AD46+1</f>
        <v>38</v>
      </c>
      <c r="AE47" s="10" t="n">
        <f aca="false">C47*L47</f>
        <v>0</v>
      </c>
      <c r="AF47" s="10" t="n">
        <f aca="false">L47</f>
        <v>0</v>
      </c>
      <c r="AG47" s="205" t="n">
        <f aca="false">IF(AF47&gt;0,AE47/AF47,0)</f>
        <v>0</v>
      </c>
      <c r="AJ47" s="10" t="n">
        <f aca="false">D47*L47</f>
        <v>0</v>
      </c>
      <c r="AK47" s="249" t="n">
        <f aca="false">IF(AF47&gt;0,AJ47/AF47,0)</f>
        <v>0</v>
      </c>
    </row>
    <row r="48" customFormat="false" ht="12.75" hidden="false" customHeight="false" outlineLevel="0" collapsed="false">
      <c r="A48" s="180" t="n">
        <v>45.155466746221</v>
      </c>
      <c r="B48" s="240" t="n">
        <f aca="false">'Revenues &amp; Expenses'!AX56</f>
        <v>38018</v>
      </c>
      <c r="C48" s="180" t="n">
        <f aca="false">'PJM Curve Simulation'!J56</f>
        <v>36.8249984741211</v>
      </c>
      <c r="D48" s="180" t="n">
        <f aca="false">F48+G48</f>
        <v>46.8151434836839</v>
      </c>
      <c r="F48" s="180" t="n">
        <f aca="false">('Fuel Curve Simulation'!J56*'Revenues &amp; Expenses'!$S$2/1000)</f>
        <v>44.5803356896552</v>
      </c>
      <c r="G48" s="180" t="n">
        <f aca="false">'Revenues &amp; Expenses'!$AM$5*1000*'Revenues &amp; Expenses'!O56</f>
        <v>2.23480779402872</v>
      </c>
      <c r="H48" s="204" t="n">
        <f aca="false">H47+1</f>
        <v>39</v>
      </c>
      <c r="I48" s="204" t="n">
        <f aca="false">IF(C48&gt;D48,1,0)</f>
        <v>0</v>
      </c>
      <c r="J48" s="204" t="n">
        <v>315</v>
      </c>
      <c r="K48" s="212" t="n">
        <f aca="false">IF(I48&gt;0,J48*'Revenues &amp; Expenses'!F56*16,0)</f>
        <v>0</v>
      </c>
      <c r="L48" s="211" t="n">
        <f aca="false">K48*'Revenues &amp; Expenses'!N56</f>
        <v>0</v>
      </c>
      <c r="M48" s="212"/>
      <c r="N48" s="212"/>
      <c r="AC48" s="248" t="n">
        <f aca="false">B48</f>
        <v>38018</v>
      </c>
      <c r="AD48" s="10" t="n">
        <f aca="false">AD47+1</f>
        <v>39</v>
      </c>
      <c r="AE48" s="10" t="n">
        <f aca="false">C48*L48</f>
        <v>0</v>
      </c>
      <c r="AF48" s="10" t="n">
        <f aca="false">L48</f>
        <v>0</v>
      </c>
      <c r="AG48" s="205" t="n">
        <f aca="false">IF(AF48&gt;0,AE48/AF48,0)</f>
        <v>0</v>
      </c>
      <c r="AJ48" s="10" t="n">
        <f aca="false">D48*L48</f>
        <v>0</v>
      </c>
      <c r="AK48" s="249" t="n">
        <f aca="false">IF(AF48&gt;0,AJ48/AF48,0)</f>
        <v>0</v>
      </c>
    </row>
    <row r="49" customFormat="false" ht="12.75" hidden="false" customHeight="false" outlineLevel="0" collapsed="false">
      <c r="A49" s="180" t="n">
        <v>32.290774677906</v>
      </c>
      <c r="B49" s="240" t="n">
        <f aca="false">'Revenues &amp; Expenses'!AX57</f>
        <v>38047</v>
      </c>
      <c r="C49" s="180" t="n">
        <f aca="false">'PJM Curve Simulation'!J57</f>
        <v>26.5500007629395</v>
      </c>
      <c r="D49" s="180" t="n">
        <f aca="false">F49+G49</f>
        <v>45.8291795940018</v>
      </c>
      <c r="F49" s="180" t="n">
        <f aca="false">('Fuel Curve Simulation'!J57*'Revenues &amp; Expenses'!$S$2/1000)</f>
        <v>43.5894046551724</v>
      </c>
      <c r="G49" s="180" t="n">
        <f aca="false">'Revenues &amp; Expenses'!$AM$5*1000*'Revenues &amp; Expenses'!O57</f>
        <v>2.23977493882937</v>
      </c>
      <c r="H49" s="204" t="n">
        <f aca="false">H48+1</f>
        <v>40</v>
      </c>
      <c r="I49" s="204" t="n">
        <f aca="false">IF(C49&gt;D49,1,0)</f>
        <v>0</v>
      </c>
      <c r="J49" s="204" t="n">
        <v>315</v>
      </c>
      <c r="K49" s="212" t="n">
        <f aca="false">IF(I49&gt;0,J49*'Revenues &amp; Expenses'!F57*16,0)</f>
        <v>0</v>
      </c>
      <c r="L49" s="211" t="n">
        <f aca="false">K49*'Revenues &amp; Expenses'!N57</f>
        <v>0</v>
      </c>
      <c r="M49" s="212"/>
      <c r="N49" s="212"/>
      <c r="AC49" s="248" t="n">
        <f aca="false">B49</f>
        <v>38047</v>
      </c>
      <c r="AD49" s="10" t="n">
        <f aca="false">AD48+1</f>
        <v>40</v>
      </c>
      <c r="AE49" s="10" t="n">
        <f aca="false">C49*L49</f>
        <v>0</v>
      </c>
      <c r="AF49" s="10" t="n">
        <f aca="false">L49</f>
        <v>0</v>
      </c>
      <c r="AG49" s="205" t="n">
        <f aca="false">IF(AF49&gt;0,AE49/AF49,0)</f>
        <v>0</v>
      </c>
      <c r="AJ49" s="10" t="n">
        <f aca="false">D49*L49</f>
        <v>0</v>
      </c>
      <c r="AK49" s="249" t="n">
        <f aca="false">IF(AF49&gt;0,AJ49/AF49,0)</f>
        <v>0</v>
      </c>
    </row>
    <row r="50" customFormat="false" ht="12.75" hidden="false" customHeight="false" outlineLevel="0" collapsed="false">
      <c r="A50" s="180" t="n">
        <v>29.8620881601471</v>
      </c>
      <c r="B50" s="240" t="n">
        <f aca="false">'Revenues &amp; Expenses'!AX58</f>
        <v>38078</v>
      </c>
      <c r="C50" s="180" t="n">
        <f aca="false">'PJM Curve Simulation'!J58</f>
        <v>26.3250007629395</v>
      </c>
      <c r="D50" s="180" t="n">
        <f aca="false">F50+G50</f>
        <v>44.8217565720175</v>
      </c>
      <c r="F50" s="180" t="n">
        <f aca="false">('Fuel Curve Simulation'!J58*'Revenues &amp; Expenses'!$S$2/1000)</f>
        <v>42.5770034482759</v>
      </c>
      <c r="G50" s="180" t="n">
        <f aca="false">'Revenues &amp; Expenses'!$AM$5*1000*'Revenues &amp; Expenses'!O58</f>
        <v>2.24475312374163</v>
      </c>
      <c r="H50" s="204" t="n">
        <f aca="false">H49+1</f>
        <v>41</v>
      </c>
      <c r="I50" s="204" t="n">
        <f aca="false">IF(C50&gt;D50,1,0)</f>
        <v>0</v>
      </c>
      <c r="J50" s="204" t="n">
        <v>315</v>
      </c>
      <c r="K50" s="212" t="n">
        <f aca="false">IF(I50&gt;0,J50*'Revenues &amp; Expenses'!F58*16,0)</f>
        <v>0</v>
      </c>
      <c r="L50" s="211" t="n">
        <f aca="false">K50*'Revenues &amp; Expenses'!N58</f>
        <v>0</v>
      </c>
      <c r="M50" s="212"/>
      <c r="N50" s="212"/>
      <c r="AC50" s="248" t="n">
        <f aca="false">B50</f>
        <v>38078</v>
      </c>
      <c r="AD50" s="10" t="n">
        <f aca="false">AD49+1</f>
        <v>41</v>
      </c>
      <c r="AE50" s="10" t="n">
        <f aca="false">C50*L50</f>
        <v>0</v>
      </c>
      <c r="AF50" s="10" t="n">
        <f aca="false">L50</f>
        <v>0</v>
      </c>
      <c r="AG50" s="205" t="n">
        <f aca="false">IF(AF50&gt;0,AE50/AF50,0)</f>
        <v>0</v>
      </c>
      <c r="AJ50" s="10" t="n">
        <f aca="false">D50*L50</f>
        <v>0</v>
      </c>
      <c r="AK50" s="249" t="n">
        <f aca="false">IF(AF50&gt;0,AJ50/AF50,0)</f>
        <v>0</v>
      </c>
    </row>
    <row r="51" customFormat="false" ht="12.75" hidden="false" customHeight="false" outlineLevel="0" collapsed="false">
      <c r="A51" s="180" t="n">
        <v>34.3887161602422</v>
      </c>
      <c r="B51" s="240" t="n">
        <f aca="false">'Revenues &amp; Expenses'!AX59</f>
        <v>38108</v>
      </c>
      <c r="C51" s="180" t="n">
        <f aca="false">'PJM Curve Simulation'!J59</f>
        <v>31.325</v>
      </c>
      <c r="D51" s="180" t="n">
        <f aca="false">F51+G51</f>
        <v>44.1248363388208</v>
      </c>
      <c r="F51" s="180" t="n">
        <f aca="false">('Fuel Curve Simulation'!J59*'Revenues &amp; Expenses'!$S$2/1000)</f>
        <v>41.8750939655172</v>
      </c>
      <c r="G51" s="180" t="n">
        <f aca="false">'Revenues &amp; Expenses'!$AM$5*1000*'Revenues &amp; Expenses'!O59</f>
        <v>2.24974237330355</v>
      </c>
      <c r="H51" s="204" t="n">
        <f aca="false">H50+1</f>
        <v>42</v>
      </c>
      <c r="I51" s="204" t="n">
        <f aca="false">IF(C51&gt;D51,1,0)</f>
        <v>0</v>
      </c>
      <c r="J51" s="204" t="n">
        <v>315</v>
      </c>
      <c r="K51" s="212" t="n">
        <f aca="false">IF(I51&gt;0,J51*'Revenues &amp; Expenses'!F59*16,0)</f>
        <v>0</v>
      </c>
      <c r="L51" s="211" t="n">
        <f aca="false">K51*'Revenues &amp; Expenses'!N59</f>
        <v>0</v>
      </c>
      <c r="M51" s="212"/>
      <c r="N51" s="212"/>
      <c r="AC51" s="248" t="n">
        <f aca="false">B51</f>
        <v>38108</v>
      </c>
      <c r="AD51" s="10" t="n">
        <f aca="false">AD50+1</f>
        <v>42</v>
      </c>
      <c r="AE51" s="10" t="n">
        <f aca="false">C51*L51</f>
        <v>0</v>
      </c>
      <c r="AF51" s="10" t="n">
        <f aca="false">L51</f>
        <v>0</v>
      </c>
      <c r="AG51" s="205" t="n">
        <f aca="false">IF(AF51&gt;0,AE51/AF51,0)</f>
        <v>0</v>
      </c>
      <c r="AJ51" s="10" t="n">
        <f aca="false">D51*L51</f>
        <v>0</v>
      </c>
      <c r="AK51" s="249" t="n">
        <f aca="false">IF(AF51&gt;0,AJ51/AF51,0)</f>
        <v>0</v>
      </c>
    </row>
    <row r="52" customFormat="false" ht="12.75" hidden="false" customHeight="false" outlineLevel="0" collapsed="false">
      <c r="A52" s="180" t="n">
        <v>68.6088543851949</v>
      </c>
      <c r="B52" s="240" t="n">
        <f aca="false">'Revenues &amp; Expenses'!AX60</f>
        <v>38139</v>
      </c>
      <c r="C52" s="180" t="n">
        <f aca="false">'PJM Curve Simulation'!J60</f>
        <v>55.5999984741211</v>
      </c>
      <c r="D52" s="180" t="n">
        <f aca="false">F52+G52</f>
        <v>44.0257889190043</v>
      </c>
      <c r="F52" s="180" t="n">
        <f aca="false">('Fuel Curve Simulation'!J60*'Revenues &amp; Expenses'!$S$2/1000)</f>
        <v>41.7710462068966</v>
      </c>
      <c r="G52" s="180" t="n">
        <f aca="false">'Revenues &amp; Expenses'!$AM$5*1000*'Revenues &amp; Expenses'!O60</f>
        <v>2.25474271210772</v>
      </c>
      <c r="H52" s="204" t="n">
        <f aca="false">H51+1</f>
        <v>43</v>
      </c>
      <c r="I52" s="204" t="n">
        <f aca="false">IF(C52&gt;D52,1,0)</f>
        <v>1</v>
      </c>
      <c r="J52" s="204" t="n">
        <v>315</v>
      </c>
      <c r="K52" s="212" t="n">
        <f aca="false">IF(I52&gt;0,J52*'Revenues &amp; Expenses'!F60*16,0)</f>
        <v>110880</v>
      </c>
      <c r="L52" s="211" t="n">
        <f aca="false">K52*'Revenues &amp; Expenses'!N60</f>
        <v>81160.748377933</v>
      </c>
      <c r="M52" s="212"/>
      <c r="N52" s="212"/>
      <c r="AC52" s="248" t="n">
        <f aca="false">B52</f>
        <v>38139</v>
      </c>
      <c r="AD52" s="10" t="n">
        <f aca="false">AD51+1</f>
        <v>43</v>
      </c>
      <c r="AE52" s="10" t="n">
        <f aca="false">C52*L52</f>
        <v>4512537.4859716</v>
      </c>
      <c r="AF52" s="10" t="n">
        <f aca="false">L52</f>
        <v>81160.748377933</v>
      </c>
      <c r="AG52" s="205" t="n">
        <f aca="false">IF(AF52&gt;0,AE52/AF52,0)</f>
        <v>55.5999984741211</v>
      </c>
      <c r="AJ52" s="10" t="n">
        <f aca="false">D52*L52</f>
        <v>3573165.9765953</v>
      </c>
      <c r="AK52" s="249" t="n">
        <f aca="false">IF(AF52&gt;0,AJ52/AF52,0)</f>
        <v>44.0257889190043</v>
      </c>
    </row>
    <row r="53" customFormat="false" ht="12.75" hidden="false" customHeight="false" outlineLevel="0" collapsed="false">
      <c r="A53" s="180" t="n">
        <v>124.019057358118</v>
      </c>
      <c r="B53" s="240" t="n">
        <f aca="false">'Revenues &amp; Expenses'!AX61</f>
        <v>38169</v>
      </c>
      <c r="C53" s="180" t="n">
        <f aca="false">'PJM Curve Simulation'!J61</f>
        <v>94.4499969482422</v>
      </c>
      <c r="D53" s="180" t="n">
        <f aca="false">F53+G53</f>
        <v>44.5163565785945</v>
      </c>
      <c r="F53" s="180" t="n">
        <f aca="false">('Fuel Curve Simulation'!J61*'Revenues &amp; Expenses'!$S$2/1000)</f>
        <v>42.2566024137931</v>
      </c>
      <c r="G53" s="180" t="n">
        <f aca="false">'Revenues &amp; Expenses'!$AM$5*1000*'Revenues &amp; Expenses'!O61</f>
        <v>2.25975416480141</v>
      </c>
      <c r="H53" s="204" t="n">
        <f aca="false">H52+1</f>
        <v>44</v>
      </c>
      <c r="I53" s="204" t="n">
        <f aca="false">IF(C53&gt;D53,1,0)</f>
        <v>1</v>
      </c>
      <c r="J53" s="204" t="n">
        <v>315</v>
      </c>
      <c r="K53" s="212" t="n">
        <f aca="false">IF(I53&gt;0,J53*'Revenues &amp; Expenses'!F61*16,0)</f>
        <v>110880</v>
      </c>
      <c r="L53" s="211" t="n">
        <f aca="false">K53*'Revenues &amp; Expenses'!N61</f>
        <v>80665.8338570596</v>
      </c>
      <c r="M53" s="212"/>
      <c r="N53" s="212"/>
      <c r="AC53" s="248" t="n">
        <f aca="false">B53</f>
        <v>38169</v>
      </c>
      <c r="AD53" s="10" t="n">
        <f aca="false">AD52+1</f>
        <v>44</v>
      </c>
      <c r="AE53" s="10" t="n">
        <f aca="false">C53*L53</f>
        <v>7618887.76162669</v>
      </c>
      <c r="AF53" s="10" t="n">
        <f aca="false">L53</f>
        <v>80665.8338570596</v>
      </c>
      <c r="AG53" s="205" t="n">
        <f aca="false">IF(AF53&gt;0,AE53/AF53,0)</f>
        <v>94.4499969482422</v>
      </c>
      <c r="AJ53" s="10" t="n">
        <f aca="false">D53*L53</f>
        <v>3590949.02369053</v>
      </c>
      <c r="AK53" s="249" t="n">
        <f aca="false">IF(AF53&gt;0,AJ53/AF53,0)</f>
        <v>44.5163565785945</v>
      </c>
    </row>
    <row r="54" customFormat="false" ht="12.75" hidden="false" customHeight="false" outlineLevel="0" collapsed="false">
      <c r="A54" s="180" t="n">
        <v>99.9668303828808</v>
      </c>
      <c r="B54" s="240" t="n">
        <f aca="false">'Revenues &amp; Expenses'!AX62</f>
        <v>38200</v>
      </c>
      <c r="C54" s="180" t="n">
        <f aca="false">'PJM Curve Simulation'!J62</f>
        <v>81.4499969482422</v>
      </c>
      <c r="D54" s="180" t="n">
        <f aca="false">F54+G54</f>
        <v>45.3339426181556</v>
      </c>
      <c r="F54" s="180" t="n">
        <f aca="false">('Fuel Curve Simulation'!J62*'Revenues &amp; Expenses'!$S$2/1000)</f>
        <v>43.069165862069</v>
      </c>
      <c r="G54" s="180" t="n">
        <f aca="false">'Revenues &amp; Expenses'!$AM$5*1000*'Revenues &amp; Expenses'!O62</f>
        <v>2.26477675608663</v>
      </c>
      <c r="H54" s="204" t="n">
        <f aca="false">H53+1</f>
        <v>45</v>
      </c>
      <c r="I54" s="204" t="n">
        <f aca="false">IF(C54&gt;D54,1,0)</f>
        <v>1</v>
      </c>
      <c r="J54" s="204" t="n">
        <v>315</v>
      </c>
      <c r="K54" s="212" t="n">
        <f aca="false">IF(I54&gt;0,J54*'Revenues &amp; Expenses'!F62*16,0)</f>
        <v>110880</v>
      </c>
      <c r="L54" s="211" t="n">
        <f aca="false">K54*'Revenues &amp; Expenses'!N62</f>
        <v>80156.8330650759</v>
      </c>
      <c r="M54" s="212"/>
      <c r="N54" s="212"/>
      <c r="AC54" s="248" t="n">
        <f aca="false">B54</f>
        <v>38200</v>
      </c>
      <c r="AD54" s="10" t="n">
        <f aca="false">AD53+1</f>
        <v>45</v>
      </c>
      <c r="AE54" s="10" t="n">
        <f aca="false">C54*L54</f>
        <v>6528773.80853119</v>
      </c>
      <c r="AF54" s="10" t="n">
        <f aca="false">L54</f>
        <v>80156.8330650759</v>
      </c>
      <c r="AG54" s="205" t="n">
        <f aca="false">IF(AF54&gt;0,AE54/AF54,0)</f>
        <v>81.4499969482422</v>
      </c>
      <c r="AJ54" s="10" t="n">
        <f aca="false">D54*L54</f>
        <v>3633825.27062523</v>
      </c>
      <c r="AK54" s="249" t="n">
        <f aca="false">IF(AF54&gt;0,AJ54/AF54,0)</f>
        <v>45.3339426181556</v>
      </c>
    </row>
    <row r="55" customFormat="false" ht="12.75" hidden="false" customHeight="false" outlineLevel="0" collapsed="false">
      <c r="A55" s="180" t="n">
        <v>38.6083121920515</v>
      </c>
      <c r="B55" s="240" t="n">
        <f aca="false">'Revenues &amp; Expenses'!AX63</f>
        <v>38231</v>
      </c>
      <c r="C55" s="180" t="n">
        <f aca="false">'PJM Curve Simulation'!J63</f>
        <v>33.4249984741211</v>
      </c>
      <c r="D55" s="180" t="n">
        <f aca="false">F55+G55</f>
        <v>46.1994348210652</v>
      </c>
      <c r="F55" s="180" t="n">
        <f aca="false">('Fuel Curve Simulation'!J63*'Revenues &amp; Expenses'!$S$2/1000)</f>
        <v>43.9296243103448</v>
      </c>
      <c r="G55" s="180" t="n">
        <f aca="false">'Revenues &amp; Expenses'!$AM$5*1000*'Revenues &amp; Expenses'!O63</f>
        <v>2.26981051072034</v>
      </c>
      <c r="H55" s="204" t="n">
        <f aca="false">H54+1</f>
        <v>46</v>
      </c>
      <c r="I55" s="204" t="n">
        <f aca="false">IF(C55&gt;D55,1,0)</f>
        <v>0</v>
      </c>
      <c r="J55" s="204" t="n">
        <v>315</v>
      </c>
      <c r="K55" s="212" t="n">
        <f aca="false">IF(I55&gt;0,J55*'Revenues &amp; Expenses'!F63*16,0)</f>
        <v>0</v>
      </c>
      <c r="L55" s="211" t="n">
        <f aca="false">K55*'Revenues &amp; Expenses'!N63</f>
        <v>0</v>
      </c>
      <c r="M55" s="212"/>
      <c r="N55" s="212"/>
      <c r="AC55" s="248" t="n">
        <f aca="false">B55</f>
        <v>38231</v>
      </c>
      <c r="AD55" s="10" t="n">
        <f aca="false">AD54+1</f>
        <v>46</v>
      </c>
      <c r="AE55" s="10" t="n">
        <f aca="false">C55*L55</f>
        <v>0</v>
      </c>
      <c r="AF55" s="10" t="n">
        <f aca="false">L55</f>
        <v>0</v>
      </c>
      <c r="AG55" s="205" t="n">
        <f aca="false">IF(AF55&gt;0,AE55/AF55,0)</f>
        <v>0</v>
      </c>
      <c r="AJ55" s="10" t="n">
        <f aca="false">D55*L55</f>
        <v>0</v>
      </c>
      <c r="AK55" s="249" t="n">
        <f aca="false">IF(AF55&gt;0,AJ55/AF55,0)</f>
        <v>0</v>
      </c>
    </row>
    <row r="56" customFormat="false" ht="12.75" hidden="false" customHeight="false" outlineLevel="0" collapsed="false">
      <c r="A56" s="180" t="n">
        <v>31.805679823122</v>
      </c>
      <c r="B56" s="240" t="n">
        <f aca="false">'Revenues &amp; Expenses'!AX64</f>
        <v>38261</v>
      </c>
      <c r="C56" s="180" t="n">
        <f aca="false">'PJM Curve Simulation'!J64</f>
        <v>27.0750003814697</v>
      </c>
      <c r="D56" s="180" t="n">
        <f aca="false">F56+G56</f>
        <v>47.0368618328248</v>
      </c>
      <c r="F56" s="180" t="n">
        <f aca="false">('Fuel Curve Simulation'!J64*'Revenues &amp; Expenses'!$S$2/1000)</f>
        <v>44.7620063793104</v>
      </c>
      <c r="G56" s="180" t="n">
        <f aca="false">'Revenues &amp; Expenses'!$AM$5*1000*'Revenues &amp; Expenses'!O64</f>
        <v>2.27485545351448</v>
      </c>
      <c r="H56" s="204" t="n">
        <f aca="false">H55+1</f>
        <v>47</v>
      </c>
      <c r="I56" s="204" t="n">
        <f aca="false">IF(C56&gt;D56,1,0)</f>
        <v>0</v>
      </c>
      <c r="J56" s="204" t="n">
        <v>315</v>
      </c>
      <c r="K56" s="212" t="n">
        <f aca="false">IF(I56&gt;0,J56*'Revenues &amp; Expenses'!F64*16,0)</f>
        <v>0</v>
      </c>
      <c r="L56" s="211" t="n">
        <f aca="false">K56*'Revenues &amp; Expenses'!N64</f>
        <v>0</v>
      </c>
      <c r="M56" s="212"/>
      <c r="N56" s="212"/>
      <c r="AC56" s="248" t="n">
        <f aca="false">B56</f>
        <v>38261</v>
      </c>
      <c r="AD56" s="10" t="n">
        <f aca="false">AD55+1</f>
        <v>47</v>
      </c>
      <c r="AE56" s="10" t="n">
        <f aca="false">C56*L56</f>
        <v>0</v>
      </c>
      <c r="AF56" s="10" t="n">
        <f aca="false">L56</f>
        <v>0</v>
      </c>
      <c r="AG56" s="205" t="n">
        <f aca="false">IF(AF56&gt;0,AE56/AF56,0)</f>
        <v>0</v>
      </c>
      <c r="AJ56" s="10" t="n">
        <f aca="false">D56*L56</f>
        <v>0</v>
      </c>
      <c r="AK56" s="249" t="n">
        <f aca="false">IF(AF56&gt;0,AJ56/AF56,0)</f>
        <v>0</v>
      </c>
    </row>
    <row r="57" customFormat="false" ht="12.75" hidden="false" customHeight="false" outlineLevel="0" collapsed="false">
      <c r="A57" s="180" t="n">
        <v>31.8515905972672</v>
      </c>
      <c r="B57" s="240" t="n">
        <f aca="false">'Revenues &amp; Expenses'!AX65</f>
        <v>38292</v>
      </c>
      <c r="C57" s="180" t="n">
        <f aca="false">'PJM Curve Simulation'!J65</f>
        <v>26.7474990844727</v>
      </c>
      <c r="D57" s="180" t="n">
        <f aca="false">F57+G57</f>
        <v>47.8462236783017</v>
      </c>
      <c r="F57" s="180" t="n">
        <f aca="false">('Fuel Curve Simulation'!J65*'Revenues &amp; Expenses'!$S$2/1000)</f>
        <v>45.5663120689655</v>
      </c>
      <c r="G57" s="180" t="n">
        <f aca="false">'Revenues &amp; Expenses'!$AM$5*1000*'Revenues &amp; Expenses'!O65</f>
        <v>2.27991160933618</v>
      </c>
      <c r="H57" s="204" t="n">
        <f aca="false">H56+1</f>
        <v>48</v>
      </c>
      <c r="I57" s="204" t="n">
        <f aca="false">IF(C57&gt;D57,1,0)</f>
        <v>0</v>
      </c>
      <c r="J57" s="204" t="n">
        <v>315</v>
      </c>
      <c r="K57" s="212" t="n">
        <f aca="false">IF(I57&gt;0,J57*'Revenues &amp; Expenses'!F65*16,0)</f>
        <v>0</v>
      </c>
      <c r="L57" s="211" t="n">
        <f aca="false">K57*'Revenues &amp; Expenses'!N65</f>
        <v>0</v>
      </c>
      <c r="M57" s="212"/>
      <c r="N57" s="212"/>
      <c r="AC57" s="248" t="n">
        <f aca="false">B57</f>
        <v>38292</v>
      </c>
      <c r="AD57" s="10" t="n">
        <f aca="false">AD56+1</f>
        <v>48</v>
      </c>
      <c r="AE57" s="10" t="n">
        <f aca="false">C57*L57</f>
        <v>0</v>
      </c>
      <c r="AF57" s="10" t="n">
        <f aca="false">L57</f>
        <v>0</v>
      </c>
      <c r="AG57" s="205" t="n">
        <f aca="false">IF(AF57&gt;0,AE57/AF57,0)</f>
        <v>0</v>
      </c>
      <c r="AJ57" s="10" t="n">
        <f aca="false">D57*L57</f>
        <v>0</v>
      </c>
      <c r="AK57" s="249" t="n">
        <f aca="false">IF(AF57&gt;0,AJ57/AF57,0)</f>
        <v>0</v>
      </c>
    </row>
    <row r="58" customFormat="false" ht="12.75" hidden="false" customHeight="false" outlineLevel="0" collapsed="false">
      <c r="A58" s="180" t="n">
        <v>34.3699704133525</v>
      </c>
      <c r="B58" s="240" t="n">
        <f aca="false">'Revenues &amp; Expenses'!AX66</f>
        <v>38322</v>
      </c>
      <c r="C58" s="180" t="n">
        <f aca="false">'PJM Curve Simulation'!J66</f>
        <v>28.4999996185303</v>
      </c>
      <c r="D58" s="180" t="n">
        <f aca="false">F58+G58</f>
        <v>48.217935554832</v>
      </c>
      <c r="F58" s="180" t="n">
        <f aca="false">('Fuel Curve Simulation'!J66*'Revenues &amp; Expenses'!$S$2/1000)</f>
        <v>45.9329565517242</v>
      </c>
      <c r="G58" s="180" t="n">
        <f aca="false">'Revenues &amp; Expenses'!$AM$5*1000*'Revenues &amp; Expenses'!O66</f>
        <v>2.28497900310781</v>
      </c>
      <c r="H58" s="204" t="n">
        <f aca="false">H57+1</f>
        <v>49</v>
      </c>
      <c r="I58" s="204" t="n">
        <f aca="false">IF(C58&gt;D58,1,0)</f>
        <v>0</v>
      </c>
      <c r="J58" s="204" t="n">
        <v>315</v>
      </c>
      <c r="K58" s="212" t="n">
        <f aca="false">IF(I58&gt;0,J58*'Revenues &amp; Expenses'!F66*16,0)</f>
        <v>0</v>
      </c>
      <c r="L58" s="211" t="n">
        <f aca="false">K58*'Revenues &amp; Expenses'!N66</f>
        <v>0</v>
      </c>
      <c r="M58" s="212" t="n">
        <f aca="false">SUM(L47:L58)</f>
        <v>241983.415300069</v>
      </c>
      <c r="N58" s="212" t="n">
        <f aca="false">SUM(K47:K58)</f>
        <v>332640</v>
      </c>
      <c r="AC58" s="248" t="n">
        <f aca="false">B58</f>
        <v>38322</v>
      </c>
      <c r="AD58" s="10" t="n">
        <f aca="false">AD57+1</f>
        <v>49</v>
      </c>
      <c r="AE58" s="10" t="n">
        <f aca="false">C58*L58</f>
        <v>0</v>
      </c>
      <c r="AF58" s="10" t="n">
        <f aca="false">L58</f>
        <v>0</v>
      </c>
      <c r="AG58" s="205" t="n">
        <f aca="false">IF(AF58&gt;0,AE58/AF58,0)</f>
        <v>0</v>
      </c>
      <c r="AH58" s="205" t="n">
        <f aca="false">IF(SUM(AF47:AF58)=0,0,SUM(AE47:AE58)/SUM(AF47:AF58))</f>
        <v>77.1135452939621</v>
      </c>
      <c r="AJ58" s="10" t="n">
        <f aca="false">D58*L58</f>
        <v>0</v>
      </c>
      <c r="AK58" s="249" t="n">
        <f aca="false">IF(AF58&gt;0,AJ58/AF58,0)</f>
        <v>0</v>
      </c>
      <c r="AL58" s="249" t="n">
        <f aca="false">IF(SUM(AF47:AF58)=0,0,SUM(AJ47:AJ58)/SUM(AF47:AF58))</f>
        <v>44.6226459673743</v>
      </c>
    </row>
    <row r="59" customFormat="false" ht="12.75" hidden="false" customHeight="false" outlineLevel="0" collapsed="false">
      <c r="A59" s="180" t="n">
        <v>45.7685756208616</v>
      </c>
      <c r="B59" s="240" t="n">
        <f aca="false">'Revenues &amp; Expenses'!AX67</f>
        <v>38353</v>
      </c>
      <c r="C59" s="180" t="n">
        <f aca="false">'PJM Curve Simulation'!J67</f>
        <v>37.3249984741211</v>
      </c>
      <c r="D59" s="180" t="n">
        <f aca="false">F59+G59</f>
        <v>47.6416680046347</v>
      </c>
      <c r="F59" s="180" t="n">
        <f aca="false">('Fuel Curve Simulation'!J67*'Revenues &amp; Expenses'!$S$2/1000)</f>
        <v>45.3516103448276</v>
      </c>
      <c r="G59" s="180" t="n">
        <f aca="false">'Revenues &amp; Expenses'!$AM$5*1000*'Revenues &amp; Expenses'!O67</f>
        <v>2.29005765980715</v>
      </c>
      <c r="H59" s="204" t="n">
        <f aca="false">H58+1</f>
        <v>50</v>
      </c>
      <c r="I59" s="204" t="n">
        <f aca="false">IF(C59&gt;D59,1,0)</f>
        <v>0</v>
      </c>
      <c r="J59" s="204" t="n">
        <v>315</v>
      </c>
      <c r="K59" s="212" t="n">
        <f aca="false">IF(I59&gt;0,J59*'Revenues &amp; Expenses'!F67*16,0)</f>
        <v>0</v>
      </c>
      <c r="L59" s="211" t="n">
        <f aca="false">K59*'Revenues &amp; Expenses'!N67</f>
        <v>0</v>
      </c>
      <c r="M59" s="212"/>
      <c r="N59" s="212"/>
      <c r="AC59" s="248" t="n">
        <f aca="false">B59</f>
        <v>38353</v>
      </c>
      <c r="AD59" s="10" t="n">
        <f aca="false">AD58+1</f>
        <v>50</v>
      </c>
      <c r="AE59" s="10" t="n">
        <f aca="false">C59*L59</f>
        <v>0</v>
      </c>
      <c r="AF59" s="10" t="n">
        <f aca="false">L59</f>
        <v>0</v>
      </c>
      <c r="AG59" s="205" t="n">
        <f aca="false">IF(AF59&gt;0,AE59/AF59,0)</f>
        <v>0</v>
      </c>
      <c r="AJ59" s="10" t="n">
        <f aca="false">D59*L59</f>
        <v>0</v>
      </c>
      <c r="AK59" s="249" t="n">
        <f aca="false">IF(AF59&gt;0,AJ59/AF59,0)</f>
        <v>0</v>
      </c>
    </row>
    <row r="60" customFormat="false" ht="12.75" hidden="false" customHeight="false" outlineLevel="0" collapsed="false">
      <c r="A60" s="180" t="n">
        <v>45.7685756208616</v>
      </c>
      <c r="B60" s="240" t="n">
        <f aca="false">'Revenues &amp; Expenses'!AX68</f>
        <v>38384</v>
      </c>
      <c r="C60" s="180" t="n">
        <f aca="false">'PJM Curve Simulation'!J68</f>
        <v>37.3249984741211</v>
      </c>
      <c r="D60" s="180" t="n">
        <f aca="false">F60+G60</f>
        <v>46.6607815699847</v>
      </c>
      <c r="F60" s="180" t="n">
        <f aca="false">('Fuel Curve Simulation'!J68*'Revenues &amp; Expenses'!$S$2/1000)</f>
        <v>44.3656339655173</v>
      </c>
      <c r="G60" s="180" t="n">
        <f aca="false">'Revenues &amp; Expenses'!$AM$5*1000*'Revenues &amp; Expenses'!O68</f>
        <v>2.29514760446749</v>
      </c>
      <c r="H60" s="204" t="n">
        <f aca="false">H59+1</f>
        <v>51</v>
      </c>
      <c r="I60" s="204" t="n">
        <f aca="false">IF(C60&gt;D60,1,0)</f>
        <v>0</v>
      </c>
      <c r="J60" s="204" t="n">
        <v>315</v>
      </c>
      <c r="K60" s="212" t="n">
        <f aca="false">IF(I60&gt;0,J60*'Revenues &amp; Expenses'!F68*16,0)</f>
        <v>0</v>
      </c>
      <c r="L60" s="211" t="n">
        <f aca="false">K60*'Revenues &amp; Expenses'!N68</f>
        <v>0</v>
      </c>
      <c r="M60" s="212"/>
      <c r="N60" s="212"/>
      <c r="AC60" s="248" t="n">
        <f aca="false">B60</f>
        <v>38384</v>
      </c>
      <c r="AD60" s="10" t="n">
        <f aca="false">AD59+1</f>
        <v>51</v>
      </c>
      <c r="AE60" s="10" t="n">
        <f aca="false">C60*L60</f>
        <v>0</v>
      </c>
      <c r="AF60" s="10" t="n">
        <f aca="false">L60</f>
        <v>0</v>
      </c>
      <c r="AG60" s="205" t="n">
        <f aca="false">IF(AF60&gt;0,AE60/AF60,0)</f>
        <v>0</v>
      </c>
      <c r="AJ60" s="10" t="n">
        <f aca="false">D60*L60</f>
        <v>0</v>
      </c>
      <c r="AK60" s="249" t="n">
        <f aca="false">IF(AF60&gt;0,AJ60/AF60,0)</f>
        <v>0</v>
      </c>
    </row>
    <row r="61" customFormat="false" ht="12.75" hidden="false" customHeight="false" outlineLevel="0" collapsed="false">
      <c r="A61" s="180" t="n">
        <v>32.898887177906</v>
      </c>
      <c r="B61" s="240" t="n">
        <f aca="false">'Revenues &amp; Expenses'!AX69</f>
        <v>38412</v>
      </c>
      <c r="C61" s="180" t="n">
        <f aca="false">'PJM Curve Simulation'!J69</f>
        <v>27.0500007629395</v>
      </c>
      <c r="D61" s="180" t="n">
        <f aca="false">F61+G61</f>
        <v>45.6947704139019</v>
      </c>
      <c r="F61" s="180" t="n">
        <f aca="false">('Fuel Curve Simulation'!J69*'Revenues &amp; Expenses'!$S$2/1000)</f>
        <v>43.3945215517242</v>
      </c>
      <c r="G61" s="180" t="n">
        <f aca="false">'Revenues &amp; Expenses'!$AM$5*1000*'Revenues &amp; Expenses'!O69</f>
        <v>2.30024886217776</v>
      </c>
      <c r="H61" s="204" t="n">
        <f aca="false">H60+1</f>
        <v>52</v>
      </c>
      <c r="I61" s="204" t="n">
        <f aca="false">IF(C61&gt;D61,1,0)</f>
        <v>0</v>
      </c>
      <c r="J61" s="204" t="n">
        <v>315</v>
      </c>
      <c r="K61" s="212" t="n">
        <f aca="false">IF(I61&gt;0,J61*'Revenues &amp; Expenses'!F69*16,0)</f>
        <v>0</v>
      </c>
      <c r="L61" s="211" t="n">
        <f aca="false">K61*'Revenues &amp; Expenses'!N69</f>
        <v>0</v>
      </c>
      <c r="M61" s="212"/>
      <c r="N61" s="212"/>
      <c r="AC61" s="248" t="n">
        <f aca="false">B61</f>
        <v>38412</v>
      </c>
      <c r="AD61" s="10" t="n">
        <f aca="false">AD60+1</f>
        <v>52</v>
      </c>
      <c r="AE61" s="10" t="n">
        <f aca="false">C61*L61</f>
        <v>0</v>
      </c>
      <c r="AF61" s="10" t="n">
        <f aca="false">L61</f>
        <v>0</v>
      </c>
      <c r="AG61" s="205" t="n">
        <f aca="false">IF(AF61&gt;0,AE61/AF61,0)</f>
        <v>0</v>
      </c>
      <c r="AJ61" s="10" t="n">
        <f aca="false">D61*L61</f>
        <v>0</v>
      </c>
      <c r="AK61" s="249" t="n">
        <f aca="false">IF(AF61&gt;0,AJ61/AF61,0)</f>
        <v>0</v>
      </c>
    </row>
    <row r="62" customFormat="false" ht="12.75" hidden="false" customHeight="false" outlineLevel="0" collapsed="false">
      <c r="A62" s="180" t="n">
        <v>30.4292693053455</v>
      </c>
      <c r="B62" s="240" t="n">
        <f aca="false">'Revenues &amp; Expenses'!AX70</f>
        <v>38443</v>
      </c>
      <c r="C62" s="180" t="n">
        <f aca="false">'PJM Curve Simulation'!J70</f>
        <v>26.8250007629395</v>
      </c>
      <c r="D62" s="180" t="n">
        <f aca="false">F62+G62</f>
        <v>44.7006942167033</v>
      </c>
      <c r="F62" s="180" t="n">
        <f aca="false">('Fuel Curve Simulation'!J70*'Revenues &amp; Expenses'!$S$2/1000)</f>
        <v>42.3953327586207</v>
      </c>
      <c r="G62" s="180" t="n">
        <f aca="false">'Revenues &amp; Expenses'!$AM$5*1000*'Revenues &amp; Expenses'!O70</f>
        <v>2.30536145808265</v>
      </c>
      <c r="H62" s="204" t="n">
        <f aca="false">H61+1</f>
        <v>53</v>
      </c>
      <c r="I62" s="204" t="n">
        <f aca="false">IF(C62&gt;D62,1,0)</f>
        <v>0</v>
      </c>
      <c r="J62" s="204" t="n">
        <v>315</v>
      </c>
      <c r="K62" s="212" t="n">
        <f aca="false">IF(I62&gt;0,J62*'Revenues &amp; Expenses'!F70*16,0)</f>
        <v>0</v>
      </c>
      <c r="L62" s="211" t="n">
        <f aca="false">K62*'Revenues &amp; Expenses'!N70</f>
        <v>0</v>
      </c>
      <c r="M62" s="212"/>
      <c r="N62" s="212"/>
      <c r="AC62" s="248" t="n">
        <f aca="false">B62</f>
        <v>38443</v>
      </c>
      <c r="AD62" s="10" t="n">
        <f aca="false">AD61+1</f>
        <v>53</v>
      </c>
      <c r="AE62" s="10" t="n">
        <f aca="false">C62*L62</f>
        <v>0</v>
      </c>
      <c r="AF62" s="10" t="n">
        <f aca="false">L62</f>
        <v>0</v>
      </c>
      <c r="AG62" s="205" t="n">
        <f aca="false">IF(AF62&gt;0,AE62/AF62,0)</f>
        <v>0</v>
      </c>
      <c r="AJ62" s="10" t="n">
        <f aca="false">D62*L62</f>
        <v>0</v>
      </c>
      <c r="AK62" s="249" t="n">
        <f aca="false">IF(AF62&gt;0,AJ62/AF62,0)</f>
        <v>0</v>
      </c>
    </row>
    <row r="63" customFormat="false" ht="12.75" hidden="false" customHeight="false" outlineLevel="0" collapsed="false">
      <c r="A63" s="180" t="n">
        <v>34.9376182537816</v>
      </c>
      <c r="B63" s="240" t="n">
        <f aca="false">'Revenues &amp; Expenses'!AX71</f>
        <v>38473</v>
      </c>
      <c r="C63" s="180" t="n">
        <f aca="false">'PJM Curve Simulation'!J71</f>
        <v>31.825</v>
      </c>
      <c r="D63" s="180" t="n">
        <f aca="false">F63+G63</f>
        <v>44.0204242104862</v>
      </c>
      <c r="F63" s="180" t="n">
        <f aca="false">('Fuel Curve Simulation'!J71*'Revenues &amp; Expenses'!$S$2/1000)</f>
        <v>41.7099387931035</v>
      </c>
      <c r="G63" s="180" t="n">
        <f aca="false">'Revenues &amp; Expenses'!$AM$5*1000*'Revenues &amp; Expenses'!O71</f>
        <v>2.31048541738274</v>
      </c>
      <c r="H63" s="204" t="n">
        <f aca="false">H62+1</f>
        <v>54</v>
      </c>
      <c r="I63" s="204" t="n">
        <f aca="false">IF(C63&gt;D63,1,0)</f>
        <v>0</v>
      </c>
      <c r="J63" s="204" t="n">
        <v>315</v>
      </c>
      <c r="K63" s="212" t="n">
        <f aca="false">IF(I63&gt;0,J63*'Revenues &amp; Expenses'!F71*16,0)</f>
        <v>0</v>
      </c>
      <c r="L63" s="211" t="n">
        <f aca="false">K63*'Revenues &amp; Expenses'!N71</f>
        <v>0</v>
      </c>
      <c r="M63" s="212"/>
      <c r="N63" s="212"/>
      <c r="AC63" s="248" t="n">
        <f aca="false">B63</f>
        <v>38473</v>
      </c>
      <c r="AD63" s="10" t="n">
        <f aca="false">AD62+1</f>
        <v>54</v>
      </c>
      <c r="AE63" s="10" t="n">
        <f aca="false">C63*L63</f>
        <v>0</v>
      </c>
      <c r="AF63" s="10" t="n">
        <f aca="false">L63</f>
        <v>0</v>
      </c>
      <c r="AG63" s="205" t="n">
        <f aca="false">IF(AF63&gt;0,AE63/AF63,0)</f>
        <v>0</v>
      </c>
      <c r="AJ63" s="10" t="n">
        <f aca="false">D63*L63</f>
        <v>0</v>
      </c>
      <c r="AK63" s="249" t="n">
        <f aca="false">IF(AF63&gt;0,AJ63/AF63,0)</f>
        <v>0</v>
      </c>
    </row>
    <row r="64" customFormat="false" ht="12.75" hidden="false" customHeight="false" outlineLevel="0" collapsed="false">
      <c r="A64" s="180" t="n">
        <v>69.534333561473</v>
      </c>
      <c r="B64" s="240" t="n">
        <f aca="false">'Revenues &amp; Expenses'!AX72</f>
        <v>38504</v>
      </c>
      <c r="C64" s="180" t="n">
        <f aca="false">'PJM Curve Simulation'!J72</f>
        <v>56.3499984741211</v>
      </c>
      <c r="D64" s="180" t="n">
        <f aca="false">F64+G64</f>
        <v>43.928118006714</v>
      </c>
      <c r="F64" s="180" t="n">
        <f aca="false">('Fuel Curve Simulation'!J72*'Revenues &amp; Expenses'!$S$2/1000)</f>
        <v>41.6124972413793</v>
      </c>
      <c r="G64" s="180" t="n">
        <f aca="false">'Revenues &amp; Expenses'!$AM$5*1000*'Revenues &amp; Expenses'!O72</f>
        <v>2.31562076533463</v>
      </c>
      <c r="H64" s="204" t="n">
        <f aca="false">H63+1</f>
        <v>55</v>
      </c>
      <c r="I64" s="204" t="n">
        <f aca="false">IF(C64&gt;D64,1,0)</f>
        <v>1</v>
      </c>
      <c r="J64" s="204" t="n">
        <v>315</v>
      </c>
      <c r="K64" s="212" t="n">
        <f aca="false">IF(I64&gt;0,J64*'Revenues &amp; Expenses'!F72*16,0)</f>
        <v>105840</v>
      </c>
      <c r="L64" s="211" t="n">
        <f aca="false">K64*'Revenues &amp; Expenses'!N72</f>
        <v>71907.228415834</v>
      </c>
      <c r="M64" s="212"/>
      <c r="N64" s="212"/>
      <c r="AC64" s="248" t="n">
        <f aca="false">B64</f>
        <v>38504</v>
      </c>
      <c r="AD64" s="10" t="n">
        <f aca="false">AD63+1</f>
        <v>55</v>
      </c>
      <c r="AE64" s="10" t="n">
        <f aca="false">C64*L64</f>
        <v>4051972.21151052</v>
      </c>
      <c r="AF64" s="10" t="n">
        <f aca="false">L64</f>
        <v>71907.228415834</v>
      </c>
      <c r="AG64" s="205" t="n">
        <f aca="false">IF(AF64&gt;0,AE64/AF64,0)</f>
        <v>56.3499984741211</v>
      </c>
      <c r="AJ64" s="10" t="n">
        <f aca="false">D64*L64</f>
        <v>3158749.21538649</v>
      </c>
      <c r="AK64" s="249" t="n">
        <f aca="false">IF(AF64&gt;0,AJ64/AF64,0)</f>
        <v>43.928118006714</v>
      </c>
    </row>
    <row r="65" customFormat="false" ht="12.75" hidden="false" customHeight="false" outlineLevel="0" collapsed="false">
      <c r="A65" s="180" t="n">
        <v>125.660389562529</v>
      </c>
      <c r="B65" s="240" t="n">
        <f aca="false">'Revenues &amp; Expenses'!AX73</f>
        <v>38534</v>
      </c>
      <c r="C65" s="180" t="n">
        <f aca="false">'PJM Curve Simulation'!J73</f>
        <v>95.6999969482422</v>
      </c>
      <c r="D65" s="180" t="n">
        <f aca="false">F65+G65</f>
        <v>44.4386395962166</v>
      </c>
      <c r="F65" s="180" t="n">
        <f aca="false">('Fuel Curve Simulation'!J73*'Revenues &amp; Expenses'!$S$2/1000)</f>
        <v>42.1178720689655</v>
      </c>
      <c r="G65" s="180" t="n">
        <f aca="false">'Revenues &amp; Expenses'!$AM$5*1000*'Revenues &amp; Expenses'!O73</f>
        <v>2.32076752725105</v>
      </c>
      <c r="H65" s="204" t="n">
        <f aca="false">H64+1</f>
        <v>56</v>
      </c>
      <c r="I65" s="204" t="n">
        <f aca="false">IF(C65&gt;D65,1,0)</f>
        <v>1</v>
      </c>
      <c r="J65" s="204" t="n">
        <v>315</v>
      </c>
      <c r="K65" s="212" t="n">
        <f aca="false">IF(I65&gt;0,J65*'Revenues &amp; Expenses'!F73*16,0)</f>
        <v>110880</v>
      </c>
      <c r="L65" s="211" t="n">
        <f aca="false">K65*'Revenues &amp; Expenses'!N73</f>
        <v>74877.5369305982</v>
      </c>
      <c r="M65" s="212"/>
      <c r="N65" s="212"/>
      <c r="AC65" s="248" t="n">
        <f aca="false">B65</f>
        <v>38534</v>
      </c>
      <c r="AD65" s="10" t="n">
        <f aca="false">AD64+1</f>
        <v>56</v>
      </c>
      <c r="AE65" s="10" t="n">
        <f aca="false">C65*L65</f>
        <v>7165780.05575014</v>
      </c>
      <c r="AF65" s="10" t="n">
        <f aca="false">L65</f>
        <v>74877.5369305982</v>
      </c>
      <c r="AG65" s="205" t="n">
        <f aca="false">IF(AF65&gt;0,AE65/AF65,0)</f>
        <v>95.6999969482422</v>
      </c>
      <c r="AJ65" s="10" t="n">
        <f aca="false">D65*L65</f>
        <v>3327455.87751125</v>
      </c>
      <c r="AK65" s="249" t="n">
        <f aca="false">IF(AF65&gt;0,AJ65/AF65,0)</f>
        <v>44.4386395962166</v>
      </c>
    </row>
    <row r="66" customFormat="false" ht="12.75" hidden="false" customHeight="false" outlineLevel="0" collapsed="false">
      <c r="A66" s="180" t="n">
        <v>101.50100524673</v>
      </c>
      <c r="B66" s="240" t="n">
        <f aca="false">'Revenues &amp; Expenses'!AX74</f>
        <v>38565</v>
      </c>
      <c r="C66" s="180" t="n">
        <f aca="false">'PJM Curve Simulation'!J74</f>
        <v>82.6999969482422</v>
      </c>
      <c r="D66" s="180" t="n">
        <f aca="false">F66+G66</f>
        <v>45.276179866432</v>
      </c>
      <c r="F66" s="180" t="n">
        <f aca="false">('Fuel Curve Simulation'!J74*'Revenues &amp; Expenses'!$S$2/1000)</f>
        <v>42.950254137931</v>
      </c>
      <c r="G66" s="180" t="n">
        <f aca="false">'Revenues &amp; Expenses'!$AM$5*1000*'Revenues &amp; Expenses'!O74</f>
        <v>2.32592572850097</v>
      </c>
      <c r="H66" s="204" t="n">
        <f aca="false">H65+1</f>
        <v>57</v>
      </c>
      <c r="I66" s="204" t="n">
        <f aca="false">IF(C66&gt;D66,1,0)</f>
        <v>1</v>
      </c>
      <c r="J66" s="204" t="n">
        <v>315</v>
      </c>
      <c r="K66" s="212" t="n">
        <f aca="false">IF(I66&gt;0,J66*'Revenues &amp; Expenses'!F74*16,0)</f>
        <v>115920</v>
      </c>
      <c r="L66" s="211" t="n">
        <f aca="false">K66*'Revenues &amp; Expenses'!N74</f>
        <v>77793.4701051227</v>
      </c>
      <c r="M66" s="212"/>
      <c r="N66" s="212"/>
      <c r="AC66" s="248" t="n">
        <f aca="false">B66</f>
        <v>38565</v>
      </c>
      <c r="AD66" s="10" t="n">
        <f aca="false">AD65+1</f>
        <v>57</v>
      </c>
      <c r="AE66" s="10" t="n">
        <f aca="false">C66*L66</f>
        <v>6433519.74028682</v>
      </c>
      <c r="AF66" s="10" t="n">
        <f aca="false">L66</f>
        <v>77793.4701051227</v>
      </c>
      <c r="AG66" s="205" t="n">
        <f aca="false">IF(AF66&gt;0,AE66/AF66,0)</f>
        <v>82.6999969482422</v>
      </c>
      <c r="AJ66" s="10" t="n">
        <f aca="false">D66*L66</f>
        <v>3522191.14491344</v>
      </c>
      <c r="AK66" s="249" t="n">
        <f aca="false">IF(AF66&gt;0,AJ66/AF66,0)</f>
        <v>45.276179866432</v>
      </c>
    </row>
    <row r="67" customFormat="false" ht="12.75" hidden="false" customHeight="false" outlineLevel="0" collapsed="false">
      <c r="A67" s="180" t="n">
        <v>39.1858486760388</v>
      </c>
      <c r="B67" s="240" t="n">
        <f aca="false">'Revenues &amp; Expenses'!AX75</f>
        <v>38596</v>
      </c>
      <c r="C67" s="180" t="n">
        <f aca="false">'PJM Curve Simulation'!J75</f>
        <v>33.9249984741211</v>
      </c>
      <c r="D67" s="180" t="n">
        <f aca="false">F67+G67</f>
        <v>46.1484141876132</v>
      </c>
      <c r="F67" s="180" t="n">
        <f aca="false">('Fuel Curve Simulation'!J75*'Revenues &amp; Expenses'!$S$2/1000)</f>
        <v>43.8173187931035</v>
      </c>
      <c r="G67" s="180" t="n">
        <f aca="false">'Revenues &amp; Expenses'!$AM$5*1000*'Revenues &amp; Expenses'!O75</f>
        <v>2.33109539450979</v>
      </c>
      <c r="H67" s="204" t="n">
        <f aca="false">H66+1</f>
        <v>58</v>
      </c>
      <c r="I67" s="204" t="n">
        <f aca="false">IF(C67&gt;D67,1,0)</f>
        <v>0</v>
      </c>
      <c r="J67" s="204" t="n">
        <v>315</v>
      </c>
      <c r="K67" s="212" t="n">
        <f aca="false">IF(I67&gt;0,J67*'Revenues &amp; Expenses'!F75*16,0)</f>
        <v>0</v>
      </c>
      <c r="L67" s="211" t="n">
        <f aca="false">K67*'Revenues &amp; Expenses'!N75</f>
        <v>0</v>
      </c>
      <c r="M67" s="212"/>
      <c r="N67" s="212"/>
      <c r="AC67" s="248" t="n">
        <f aca="false">B67</f>
        <v>38596</v>
      </c>
      <c r="AD67" s="10" t="n">
        <f aca="false">AD66+1</f>
        <v>58</v>
      </c>
      <c r="AE67" s="10" t="n">
        <f aca="false">C67*L67</f>
        <v>0</v>
      </c>
      <c r="AF67" s="10" t="n">
        <f aca="false">L67</f>
        <v>0</v>
      </c>
      <c r="AG67" s="205" t="n">
        <f aca="false">IF(AF67&gt;0,AE67/AF67,0)</f>
        <v>0</v>
      </c>
      <c r="AJ67" s="10" t="n">
        <f aca="false">D67*L67</f>
        <v>0</v>
      </c>
      <c r="AK67" s="249" t="n">
        <f aca="false">IF(AF67&gt;0,AJ67/AF67,0)</f>
        <v>0</v>
      </c>
    </row>
    <row r="68" customFormat="false" ht="12.75" hidden="false" customHeight="false" outlineLevel="0" collapsed="false">
      <c r="A68" s="180" t="n">
        <v>32.393042323122</v>
      </c>
      <c r="B68" s="240" t="n">
        <f aca="false">'Revenues &amp; Expenses'!AX76</f>
        <v>38626</v>
      </c>
      <c r="C68" s="180" t="n">
        <f aca="false">'PJM Curve Simulation'!J76</f>
        <v>27.5750003814697</v>
      </c>
      <c r="D68" s="180" t="n">
        <f aca="false">F68+G68</f>
        <v>47.0074475852421</v>
      </c>
      <c r="F68" s="180" t="n">
        <f aca="false">('Fuel Curve Simulation'!J76*'Revenues &amp; Expenses'!$S$2/1000)</f>
        <v>44.6711710344828</v>
      </c>
      <c r="G68" s="180" t="n">
        <f aca="false">'Revenues &amp; Expenses'!$AM$5*1000*'Revenues &amp; Expenses'!O76</f>
        <v>2.33627655075937</v>
      </c>
      <c r="H68" s="204" t="n">
        <f aca="false">H67+1</f>
        <v>59</v>
      </c>
      <c r="I68" s="204" t="n">
        <f aca="false">IF(C68&gt;D68,1,0)</f>
        <v>0</v>
      </c>
      <c r="J68" s="204" t="n">
        <v>315</v>
      </c>
      <c r="K68" s="212" t="n">
        <f aca="false">IF(I68&gt;0,J68*'Revenues &amp; Expenses'!F76*16,0)</f>
        <v>0</v>
      </c>
      <c r="L68" s="211" t="n">
        <f aca="false">K68*'Revenues &amp; Expenses'!N76</f>
        <v>0</v>
      </c>
      <c r="M68" s="212"/>
      <c r="N68" s="212"/>
      <c r="AC68" s="248" t="n">
        <f aca="false">B68</f>
        <v>38626</v>
      </c>
      <c r="AD68" s="10" t="n">
        <f aca="false">AD67+1</f>
        <v>59</v>
      </c>
      <c r="AE68" s="10" t="n">
        <f aca="false">C68*L68</f>
        <v>0</v>
      </c>
      <c r="AF68" s="10" t="n">
        <f aca="false">L68</f>
        <v>0</v>
      </c>
      <c r="AG68" s="205" t="n">
        <f aca="false">IF(AF68&gt;0,AE68/AF68,0)</f>
        <v>0</v>
      </c>
      <c r="AJ68" s="10" t="n">
        <f aca="false">D68*L68</f>
        <v>0</v>
      </c>
      <c r="AK68" s="249" t="n">
        <f aca="false">IF(AF68&gt;0,AJ68/AF68,0)</f>
        <v>0</v>
      </c>
    </row>
    <row r="69" customFormat="false" ht="12.75" hidden="false" customHeight="false" outlineLevel="0" collapsed="false">
      <c r="A69" s="180" t="n">
        <v>32.4470030972672</v>
      </c>
      <c r="B69" s="240" t="n">
        <f aca="false">'Revenues &amp; Expenses'!AX77</f>
        <v>38657</v>
      </c>
      <c r="C69" s="180" t="n">
        <f aca="false">'PJM Curve Simulation'!J77</f>
        <v>27.2474990844727</v>
      </c>
      <c r="D69" s="180" t="n">
        <f aca="false">F69+G69</f>
        <v>47.8318099124434</v>
      </c>
      <c r="F69" s="180" t="n">
        <f aca="false">('Fuel Curve Simulation'!J77*'Revenues &amp; Expenses'!$S$2/1000)</f>
        <v>45.4903406896552</v>
      </c>
      <c r="G69" s="180" t="n">
        <f aca="false">'Revenues &amp; Expenses'!$AM$5*1000*'Revenues &amp; Expenses'!O77</f>
        <v>2.34146922278826</v>
      </c>
      <c r="H69" s="204" t="n">
        <f aca="false">H68+1</f>
        <v>60</v>
      </c>
      <c r="I69" s="204" t="n">
        <f aca="false">IF(C69&gt;D69,1,0)</f>
        <v>0</v>
      </c>
      <c r="J69" s="204" t="n">
        <v>315</v>
      </c>
      <c r="K69" s="212" t="n">
        <f aca="false">IF(I69&gt;0,J69*'Revenues &amp; Expenses'!F77*16,0)</f>
        <v>0</v>
      </c>
      <c r="L69" s="211" t="n">
        <f aca="false">K69*'Revenues &amp; Expenses'!N77</f>
        <v>0</v>
      </c>
      <c r="M69" s="212"/>
      <c r="N69" s="212"/>
      <c r="AC69" s="248" t="n">
        <f aca="false">B69</f>
        <v>38657</v>
      </c>
      <c r="AD69" s="10" t="n">
        <f aca="false">AD68+1</f>
        <v>60</v>
      </c>
      <c r="AE69" s="10" t="n">
        <f aca="false">C69*L69</f>
        <v>0</v>
      </c>
      <c r="AF69" s="10" t="n">
        <f aca="false">L69</f>
        <v>0</v>
      </c>
      <c r="AG69" s="205" t="n">
        <f aca="false">IF(AF69&gt;0,AE69/AF69,0)</f>
        <v>0</v>
      </c>
      <c r="AJ69" s="10" t="n">
        <f aca="false">D69*L69</f>
        <v>0</v>
      </c>
      <c r="AK69" s="249" t="n">
        <f aca="false">IF(AF69&gt;0,AJ69/AF69,0)</f>
        <v>0</v>
      </c>
    </row>
    <row r="70" customFormat="false" ht="12.75" hidden="false" customHeight="false" outlineLevel="0" collapsed="false">
      <c r="A70" s="180" t="n">
        <v>34.9729523584998</v>
      </c>
      <c r="B70" s="240" t="n">
        <f aca="false">'Revenues &amp; Expenses'!AX78</f>
        <v>38687</v>
      </c>
      <c r="C70" s="180" t="n">
        <f aca="false">'PJM Curve Simulation'!J78</f>
        <v>28.9999996185303</v>
      </c>
      <c r="D70" s="180" t="n">
        <f aca="false">F70+G70</f>
        <v>48.2251287810193</v>
      </c>
      <c r="F70" s="180" t="n">
        <f aca="false">('Fuel Curve Simulation'!J78*'Revenues &amp; Expenses'!$S$2/1000)</f>
        <v>45.8784553448276</v>
      </c>
      <c r="G70" s="180" t="n">
        <f aca="false">'Revenues &amp; Expenses'!$AM$5*1000*'Revenues &amp; Expenses'!O78</f>
        <v>2.34667343619172</v>
      </c>
      <c r="H70" s="204" t="n">
        <f aca="false">H69+1</f>
        <v>61</v>
      </c>
      <c r="I70" s="204" t="n">
        <f aca="false">IF(C70&gt;D70,1,0)</f>
        <v>0</v>
      </c>
      <c r="J70" s="204" t="n">
        <v>315</v>
      </c>
      <c r="K70" s="212" t="n">
        <f aca="false">IF(I70&gt;0,J70*'Revenues &amp; Expenses'!F78*16,0)</f>
        <v>0</v>
      </c>
      <c r="L70" s="211" t="n">
        <f aca="false">K70*'Revenues &amp; Expenses'!N78</f>
        <v>0</v>
      </c>
      <c r="M70" s="212" t="n">
        <f aca="false">SUM(L59:L70)</f>
        <v>224578.235451555</v>
      </c>
      <c r="N70" s="212" t="n">
        <f aca="false">SUM(K59:K70)</f>
        <v>332640</v>
      </c>
      <c r="AC70" s="248" t="n">
        <f aca="false">B70</f>
        <v>38687</v>
      </c>
      <c r="AD70" s="10" t="n">
        <f aca="false">AD69+1</f>
        <v>61</v>
      </c>
      <c r="AE70" s="10" t="n">
        <f aca="false">C70*L70</f>
        <v>0</v>
      </c>
      <c r="AF70" s="10" t="n">
        <f aca="false">L70</f>
        <v>0</v>
      </c>
      <c r="AG70" s="205" t="n">
        <f aca="false">IF(AF70&gt;0,AE70/AF70,0)</f>
        <v>0</v>
      </c>
      <c r="AH70" s="205" t="n">
        <f aca="false">IF(SUM(AF59:AF70)=0,0,SUM(AE59:AE70)/SUM(AF59:AF70))</f>
        <v>78.5974294083148</v>
      </c>
      <c r="AJ70" s="10" t="n">
        <f aca="false">D70*L70</f>
        <v>0</v>
      </c>
      <c r="AK70" s="249" t="n">
        <f aca="false">IF(AF70&gt;0,AJ70/AF70,0)</f>
        <v>0</v>
      </c>
      <c r="AL70" s="249" t="n">
        <f aca="false">IF(SUM(AF59:AF70)=0,0,SUM(AJ59:AJ70)/SUM(AF59:AF70))</f>
        <v>44.5652991158627</v>
      </c>
    </row>
    <row r="71" customFormat="false" ht="12.75" hidden="false" customHeight="false" outlineLevel="0" collapsed="false">
      <c r="A71" s="180" t="n">
        <v>46.3816844955022</v>
      </c>
      <c r="B71" s="240" t="n">
        <f aca="false">'Revenues &amp; Expenses'!AX79</f>
        <v>38718</v>
      </c>
      <c r="C71" s="180" t="n">
        <f aca="false">'PJM Curve Simulation'!J79</f>
        <v>37.8249984741211</v>
      </c>
      <c r="D71" s="180" t="n">
        <f aca="false">F71+G71</f>
        <v>47.6688169752426</v>
      </c>
      <c r="F71" s="180" t="n">
        <f aca="false">('Fuel Curve Simulation'!J79*'Revenues &amp; Expenses'!$S$2/1000)</f>
        <v>45.3169277586207</v>
      </c>
      <c r="G71" s="180" t="n">
        <f aca="false">'Revenues &amp; Expenses'!$AM$5*1000*'Revenues &amp; Expenses'!O79</f>
        <v>2.35188921662195</v>
      </c>
      <c r="H71" s="204" t="n">
        <f aca="false">H70+1</f>
        <v>62</v>
      </c>
      <c r="I71" s="204" t="n">
        <f aca="false">IF(C71&gt;D71,1,0)</f>
        <v>0</v>
      </c>
      <c r="J71" s="204" t="n">
        <v>315</v>
      </c>
      <c r="K71" s="212" t="n">
        <f aca="false">IF(I71&gt;0,J71*'Revenues &amp; Expenses'!F79*16,0)</f>
        <v>0</v>
      </c>
      <c r="L71" s="211" t="n">
        <f aca="false">K71*'Revenues &amp; Expenses'!N79</f>
        <v>0</v>
      </c>
      <c r="M71" s="212"/>
      <c r="N71" s="212"/>
      <c r="AC71" s="248" t="n">
        <f aca="false">B71</f>
        <v>38718</v>
      </c>
      <c r="AD71" s="10" t="n">
        <f aca="false">AD70+1</f>
        <v>62</v>
      </c>
      <c r="AE71" s="10" t="n">
        <f aca="false">C71*L71</f>
        <v>0</v>
      </c>
      <c r="AF71" s="10" t="n">
        <f aca="false">L71</f>
        <v>0</v>
      </c>
      <c r="AG71" s="205" t="n">
        <f aca="false">IF(AF71&gt;0,AE71/AF71,0)</f>
        <v>0</v>
      </c>
      <c r="AJ71" s="10" t="n">
        <f aca="false">D71*L71</f>
        <v>0</v>
      </c>
      <c r="AK71" s="249" t="n">
        <f aca="false">IF(AF71&gt;0,AJ71/AF71,0)</f>
        <v>0</v>
      </c>
    </row>
    <row r="72" customFormat="false" ht="12.75" hidden="false" customHeight="false" outlineLevel="0" collapsed="false">
      <c r="A72" s="180" t="n">
        <v>46.3816844955022</v>
      </c>
      <c r="B72" s="240" t="n">
        <f aca="false">'Revenues &amp; Expenses'!AX80</f>
        <v>38749</v>
      </c>
      <c r="C72" s="180" t="n">
        <f aca="false">'PJM Curve Simulation'!J80</f>
        <v>37.8249984741211</v>
      </c>
      <c r="D72" s="180" t="n">
        <f aca="false">F72+G72</f>
        <v>46.7029319346157</v>
      </c>
      <c r="F72" s="180" t="n">
        <f aca="false">('Fuel Curve Simulation'!J80*'Revenues &amp; Expenses'!$S$2/1000)</f>
        <v>44.3458153448276</v>
      </c>
      <c r="G72" s="180" t="n">
        <f aca="false">'Revenues &amp; Expenses'!$AM$5*1000*'Revenues &amp; Expenses'!O80</f>
        <v>2.35711658978811</v>
      </c>
      <c r="H72" s="204" t="n">
        <f aca="false">H71+1</f>
        <v>63</v>
      </c>
      <c r="I72" s="204" t="n">
        <f aca="false">IF(C72&gt;D72,1,0)</f>
        <v>0</v>
      </c>
      <c r="J72" s="204" t="n">
        <v>315</v>
      </c>
      <c r="K72" s="212" t="n">
        <f aca="false">IF(I72&gt;0,J72*'Revenues &amp; Expenses'!F80*16,0)</f>
        <v>0</v>
      </c>
      <c r="L72" s="211" t="n">
        <f aca="false">K72*'Revenues &amp; Expenses'!N80</f>
        <v>0</v>
      </c>
      <c r="M72" s="212"/>
      <c r="N72" s="212"/>
      <c r="AC72" s="248" t="n">
        <f aca="false">B72</f>
        <v>38749</v>
      </c>
      <c r="AD72" s="10" t="n">
        <f aca="false">AD71+1</f>
        <v>63</v>
      </c>
      <c r="AE72" s="10" t="n">
        <f aca="false">C72*L72</f>
        <v>0</v>
      </c>
      <c r="AF72" s="10" t="n">
        <f aca="false">L72</f>
        <v>0</v>
      </c>
      <c r="AG72" s="205" t="n">
        <f aca="false">IF(AF72&gt;0,AE72/AF72,0)</f>
        <v>0</v>
      </c>
      <c r="AJ72" s="10" t="n">
        <f aca="false">D72*L72</f>
        <v>0</v>
      </c>
      <c r="AK72" s="249" t="n">
        <f aca="false">IF(AF72&gt;0,AJ72/AF72,0)</f>
        <v>0</v>
      </c>
    </row>
    <row r="73" customFormat="false" ht="12.75" hidden="false" customHeight="false" outlineLevel="0" collapsed="false">
      <c r="A73" s="180" t="n">
        <v>33.506999677906</v>
      </c>
      <c r="B73" s="240" t="n">
        <f aca="false">'Revenues &amp; Expenses'!AX81</f>
        <v>38777</v>
      </c>
      <c r="C73" s="180" t="n">
        <f aca="false">'PJM Curve Simulation'!J81</f>
        <v>27.5500007629395</v>
      </c>
      <c r="D73" s="180" t="n">
        <f aca="false">F73+G73</f>
        <v>45.7634833400773</v>
      </c>
      <c r="F73" s="180" t="n">
        <f aca="false">('Fuel Curve Simulation'!J81*'Revenues &amp; Expenses'!$S$2/1000)</f>
        <v>43.4011277586207</v>
      </c>
      <c r="G73" s="180" t="n">
        <f aca="false">'Revenues &amp; Expenses'!$AM$5*1000*'Revenues &amp; Expenses'!O81</f>
        <v>2.36235558145656</v>
      </c>
      <c r="H73" s="204" t="n">
        <f aca="false">H72+1</f>
        <v>64</v>
      </c>
      <c r="I73" s="204" t="n">
        <f aca="false">IF(C73&gt;D73,1,0)</f>
        <v>0</v>
      </c>
      <c r="J73" s="204" t="n">
        <v>315</v>
      </c>
      <c r="K73" s="212" t="n">
        <f aca="false">IF(I73&gt;0,J73*'Revenues &amp; Expenses'!F81*16,0)</f>
        <v>0</v>
      </c>
      <c r="L73" s="211" t="n">
        <f aca="false">K73*'Revenues &amp; Expenses'!N81</f>
        <v>0</v>
      </c>
      <c r="M73" s="212"/>
      <c r="N73" s="212"/>
      <c r="AC73" s="248" t="n">
        <f aca="false">B73</f>
        <v>38777</v>
      </c>
      <c r="AD73" s="10" t="n">
        <f aca="false">AD72+1</f>
        <v>64</v>
      </c>
      <c r="AE73" s="10" t="n">
        <f aca="false">C73*L73</f>
        <v>0</v>
      </c>
      <c r="AF73" s="10" t="n">
        <f aca="false">L73</f>
        <v>0</v>
      </c>
      <c r="AG73" s="205" t="n">
        <f aca="false">IF(AF73&gt;0,AE73/AF73,0)</f>
        <v>0</v>
      </c>
      <c r="AJ73" s="10" t="n">
        <f aca="false">D73*L73</f>
        <v>0</v>
      </c>
      <c r="AK73" s="249" t="n">
        <f aca="false">IF(AF73&gt;0,AJ73/AF73,0)</f>
        <v>0</v>
      </c>
    </row>
    <row r="74" customFormat="false" ht="12.75" hidden="false" customHeight="false" outlineLevel="0" collapsed="false">
      <c r="A74" s="180" t="n">
        <v>30.9964504505439</v>
      </c>
      <c r="B74" s="240" t="n">
        <f aca="false">'Revenues &amp; Expenses'!AX82</f>
        <v>38808</v>
      </c>
      <c r="C74" s="180" t="n">
        <f aca="false">'PJM Curve Simulation'!J82</f>
        <v>27.3250007629395</v>
      </c>
      <c r="D74" s="180" t="n">
        <f aca="false">F74+G74</f>
        <v>44.7910153553819</v>
      </c>
      <c r="F74" s="180" t="n">
        <f aca="false">('Fuel Curve Simulation'!J82*'Revenues &amp; Expenses'!$S$2/1000)</f>
        <v>42.423409137931</v>
      </c>
      <c r="G74" s="180" t="n">
        <f aca="false">'Revenues &amp; Expenses'!$AM$5*1000*'Revenues &amp; Expenses'!O82</f>
        <v>2.36760621745088</v>
      </c>
      <c r="H74" s="204" t="n">
        <f aca="false">H73+1</f>
        <v>65</v>
      </c>
      <c r="I74" s="204" t="n">
        <f aca="false">IF(C74&gt;D74,1,0)</f>
        <v>0</v>
      </c>
      <c r="J74" s="204" t="n">
        <v>315</v>
      </c>
      <c r="K74" s="212" t="n">
        <f aca="false">IF(I74&gt;0,J74*'Revenues &amp; Expenses'!F82*16,0)</f>
        <v>0</v>
      </c>
      <c r="L74" s="211" t="n">
        <f aca="false">K74*'Revenues &amp; Expenses'!N82</f>
        <v>0</v>
      </c>
      <c r="M74" s="212"/>
      <c r="N74" s="212"/>
      <c r="AC74" s="248" t="n">
        <f aca="false">B74</f>
        <v>38808</v>
      </c>
      <c r="AD74" s="10" t="n">
        <f aca="false">AD73+1</f>
        <v>65</v>
      </c>
      <c r="AE74" s="10" t="n">
        <f aca="false">C74*L74</f>
        <v>0</v>
      </c>
      <c r="AF74" s="10" t="n">
        <f aca="false">L74</f>
        <v>0</v>
      </c>
      <c r="AG74" s="205" t="n">
        <f aca="false">IF(AF74&gt;0,AE74/AF74,0)</f>
        <v>0</v>
      </c>
      <c r="AJ74" s="10" t="n">
        <f aca="false">D74*L74</f>
        <v>0</v>
      </c>
      <c r="AK74" s="249" t="n">
        <f aca="false">IF(AF74&gt;0,AJ74/AF74,0)</f>
        <v>0</v>
      </c>
    </row>
    <row r="75" customFormat="false" ht="12.75" hidden="false" customHeight="false" outlineLevel="0" collapsed="false">
      <c r="A75" s="180" t="n">
        <v>35.7609713940906</v>
      </c>
      <c r="B75" s="240" t="n">
        <f aca="false">'Revenues &amp; Expenses'!AX83</f>
        <v>38838</v>
      </c>
      <c r="C75" s="180" t="n">
        <f aca="false">'PJM Curve Simulation'!J83</f>
        <v>32.575</v>
      </c>
      <c r="D75" s="180" t="n">
        <f aca="false">F75+G75</f>
        <v>44.1307023167555</v>
      </c>
      <c r="F75" s="180" t="n">
        <f aca="false">('Fuel Curve Simulation'!J83*'Revenues &amp; Expenses'!$S$2/1000)</f>
        <v>41.7578337931035</v>
      </c>
      <c r="G75" s="180" t="n">
        <f aca="false">'Revenues &amp; Expenses'!$AM$5*1000*'Revenues &amp; Expenses'!O83</f>
        <v>2.37286852365208</v>
      </c>
      <c r="H75" s="204" t="n">
        <f aca="false">H74+1</f>
        <v>66</v>
      </c>
      <c r="I75" s="204" t="n">
        <f aca="false">IF(C75&gt;D75,1,0)</f>
        <v>0</v>
      </c>
      <c r="J75" s="204" t="n">
        <v>315</v>
      </c>
      <c r="K75" s="212" t="n">
        <f aca="false">IF(I75&gt;0,J75*'Revenues &amp; Expenses'!F83*16,0)</f>
        <v>0</v>
      </c>
      <c r="L75" s="211" t="n">
        <f aca="false">K75*'Revenues &amp; Expenses'!N83</f>
        <v>0</v>
      </c>
      <c r="M75" s="212"/>
      <c r="N75" s="212"/>
      <c r="AC75" s="248" t="n">
        <f aca="false">B75</f>
        <v>38838</v>
      </c>
      <c r="AD75" s="10" t="n">
        <f aca="false">AD74+1</f>
        <v>66</v>
      </c>
      <c r="AE75" s="10" t="n">
        <f aca="false">C75*L75</f>
        <v>0</v>
      </c>
      <c r="AF75" s="10" t="n">
        <f aca="false">L75</f>
        <v>0</v>
      </c>
      <c r="AG75" s="205" t="n">
        <f aca="false">IF(AF75&gt;0,AE75/AF75,0)</f>
        <v>0</v>
      </c>
      <c r="AJ75" s="10" t="n">
        <f aca="false">D75*L75</f>
        <v>0</v>
      </c>
      <c r="AK75" s="249" t="n">
        <f aca="false">IF(AF75&gt;0,AJ75/AF75,0)</f>
        <v>0</v>
      </c>
    </row>
    <row r="76" customFormat="false" ht="12.75" hidden="false" customHeight="false" outlineLevel="0" collapsed="false">
      <c r="A76" s="180" t="n">
        <v>70.7683057965106</v>
      </c>
      <c r="B76" s="240" t="n">
        <f aca="false">'Revenues &amp; Expenses'!AX84</f>
        <v>38869</v>
      </c>
      <c r="C76" s="180" t="n">
        <f aca="false">'PJM Curve Simulation'!J84</f>
        <v>57.3499984741211</v>
      </c>
      <c r="D76" s="180" t="n">
        <f aca="false">F76+G76</f>
        <v>44.0600049397918</v>
      </c>
      <c r="F76" s="180" t="n">
        <f aca="false">('Fuel Curve Simulation'!J84*'Revenues &amp; Expenses'!$S$2/1000)</f>
        <v>41.6818624137931</v>
      </c>
      <c r="G76" s="180" t="n">
        <f aca="false">'Revenues &amp; Expenses'!$AM$5*1000*'Revenues &amp; Expenses'!O84</f>
        <v>2.37814252599867</v>
      </c>
      <c r="H76" s="204" t="n">
        <f aca="false">H75+1</f>
        <v>67</v>
      </c>
      <c r="I76" s="204" t="n">
        <f aca="false">IF(C76&gt;D76,1,0)</f>
        <v>1</v>
      </c>
      <c r="J76" s="204" t="n">
        <v>315</v>
      </c>
      <c r="K76" s="212" t="n">
        <f aca="false">IF(I76&gt;0,J76*'Revenues &amp; Expenses'!F84*16,0)</f>
        <v>100800</v>
      </c>
      <c r="L76" s="211" t="n">
        <f aca="false">K76*'Revenues &amp; Expenses'!N84</f>
        <v>63612.6651605494</v>
      </c>
      <c r="M76" s="212"/>
      <c r="N76" s="212"/>
      <c r="AC76" s="248" t="n">
        <f aca="false">B76</f>
        <v>38869</v>
      </c>
      <c r="AD76" s="10" t="n">
        <f aca="false">AD75+1</f>
        <v>67</v>
      </c>
      <c r="AE76" s="10" t="n">
        <f aca="false">C76*L76</f>
        <v>3648186.24989228</v>
      </c>
      <c r="AF76" s="10" t="n">
        <f aca="false">L76</f>
        <v>63612.6651605494</v>
      </c>
      <c r="AG76" s="205" t="n">
        <f aca="false">IF(AF76&gt;0,AE76/AF76,0)</f>
        <v>57.3499984741211</v>
      </c>
      <c r="AJ76" s="10" t="n">
        <f aca="false">D76*L76</f>
        <v>2802774.34120713</v>
      </c>
      <c r="AK76" s="249" t="n">
        <f aca="false">IF(AF76&gt;0,AJ76/AF76,0)</f>
        <v>44.0600049397918</v>
      </c>
    </row>
    <row r="77" customFormat="false" ht="12.75" hidden="false" customHeight="false" outlineLevel="0" collapsed="false">
      <c r="A77" s="180" t="n">
        <v>128.614787530468</v>
      </c>
      <c r="B77" s="240" t="n">
        <f aca="false">'Revenues &amp; Expenses'!AX85</f>
        <v>38899</v>
      </c>
      <c r="C77" s="180" t="n">
        <f aca="false">'PJM Curve Simulation'!J85</f>
        <v>97.9499969482422</v>
      </c>
      <c r="D77" s="180" t="n">
        <f aca="false">F77+G77</f>
        <v>44.5921356642799</v>
      </c>
      <c r="F77" s="180" t="n">
        <f aca="false">('Fuel Curve Simulation'!J85*'Revenues &amp; Expenses'!$S$2/1000)</f>
        <v>42.2087074137931</v>
      </c>
      <c r="G77" s="180" t="n">
        <f aca="false">'Revenues &amp; Expenses'!$AM$5*1000*'Revenues &amp; Expenses'!O85</f>
        <v>2.38342825048682</v>
      </c>
      <c r="H77" s="204" t="n">
        <f aca="false">H76+1</f>
        <v>68</v>
      </c>
      <c r="I77" s="204" t="n">
        <f aca="false">IF(C77&gt;D77,1,0)</f>
        <v>1</v>
      </c>
      <c r="J77" s="204" t="n">
        <v>315</v>
      </c>
      <c r="K77" s="212" t="n">
        <f aca="false">IF(I77&gt;0,J77*'Revenues &amp; Expenses'!F85*16,0)</f>
        <v>115920</v>
      </c>
      <c r="L77" s="211" t="n">
        <f aca="false">K77*'Revenues &amp; Expenses'!N85</f>
        <v>72710.5468808798</v>
      </c>
      <c r="M77" s="212"/>
      <c r="N77" s="212"/>
      <c r="AC77" s="248" t="n">
        <f aca="false">B77</f>
        <v>38899</v>
      </c>
      <c r="AD77" s="10" t="n">
        <f aca="false">AD76+1</f>
        <v>68</v>
      </c>
      <c r="AE77" s="10" t="n">
        <f aca="false">C77*L77</f>
        <v>7121997.8450872</v>
      </c>
      <c r="AF77" s="10" t="n">
        <f aca="false">L77</f>
        <v>72710.5468808798</v>
      </c>
      <c r="AG77" s="205" t="n">
        <f aca="false">IF(AF77&gt;0,AE77/AF77,0)</f>
        <v>97.9499969482422</v>
      </c>
      <c r="AJ77" s="10" t="n">
        <f aca="false">D77*L77</f>
        <v>3242318.57073618</v>
      </c>
      <c r="AK77" s="249" t="n">
        <f aca="false">IF(AF77&gt;0,AJ77/AF77,0)</f>
        <v>44.5921356642799</v>
      </c>
    </row>
    <row r="78" customFormat="false" ht="12.75" hidden="false" customHeight="false" outlineLevel="0" collapsed="false">
      <c r="A78" s="180" t="n">
        <v>104.262520001659</v>
      </c>
      <c r="B78" s="240" t="n">
        <f aca="false">'Revenues &amp; Expenses'!AX86</f>
        <v>38930</v>
      </c>
      <c r="C78" s="180" t="n">
        <f aca="false">'PJM Curve Simulation'!J86</f>
        <v>84.9499969482422</v>
      </c>
      <c r="D78" s="180" t="n">
        <f aca="false">F78+G78</f>
        <v>45.4430276197222</v>
      </c>
      <c r="F78" s="180" t="n">
        <f aca="false">('Fuel Curve Simulation'!J86*'Revenues &amp; Expenses'!$S$2/1000)</f>
        <v>43.0543018965517</v>
      </c>
      <c r="G78" s="180" t="n">
        <f aca="false">'Revenues &amp; Expenses'!$AM$5*1000*'Revenues &amp; Expenses'!O86</f>
        <v>2.3887257231705</v>
      </c>
      <c r="H78" s="204" t="n">
        <f aca="false">H77+1</f>
        <v>69</v>
      </c>
      <c r="I78" s="204" t="n">
        <f aca="false">IF(C78&gt;D78,1,0)</f>
        <v>1</v>
      </c>
      <c r="J78" s="204" t="n">
        <v>315</v>
      </c>
      <c r="K78" s="212" t="n">
        <f aca="false">IF(I78&gt;0,J78*'Revenues &amp; Expenses'!F86*16,0)</f>
        <v>110880</v>
      </c>
      <c r="L78" s="211" t="n">
        <f aca="false">K78*'Revenues &amp; Expenses'!N86</f>
        <v>69112.7869346952</v>
      </c>
      <c r="M78" s="212"/>
      <c r="N78" s="212"/>
      <c r="AC78" s="248" t="n">
        <f aca="false">B78</f>
        <v>38930</v>
      </c>
      <c r="AD78" s="10" t="n">
        <f aca="false">AD77+1</f>
        <v>69</v>
      </c>
      <c r="AE78" s="10" t="n">
        <f aca="false">C78*L78</f>
        <v>5871131.03918687</v>
      </c>
      <c r="AF78" s="10" t="n">
        <f aca="false">L78</f>
        <v>69112.7869346952</v>
      </c>
      <c r="AG78" s="205" t="n">
        <f aca="false">IF(AF78&gt;0,AE78/AF78,0)</f>
        <v>84.9499969482422</v>
      </c>
      <c r="AJ78" s="10" t="n">
        <f aca="false">D78*L78</f>
        <v>3140694.28554933</v>
      </c>
      <c r="AK78" s="249" t="n">
        <f aca="false">IF(AF78&gt;0,AJ78/AF78,0)</f>
        <v>45.4430276197222</v>
      </c>
    </row>
    <row r="79" customFormat="false" ht="12.75" hidden="false" customHeight="false" outlineLevel="0" collapsed="false">
      <c r="A79" s="180" t="n">
        <v>39.7633851600262</v>
      </c>
      <c r="B79" s="240" t="n">
        <f aca="false">'Revenues &amp; Expenses'!AX87</f>
        <v>38961</v>
      </c>
      <c r="C79" s="180" t="n">
        <f aca="false">'PJM Curve Simulation'!J87</f>
        <v>34.4249984741211</v>
      </c>
      <c r="D79" s="180" t="n">
        <f aca="false">F79+G79</f>
        <v>46.343477901196</v>
      </c>
      <c r="F79" s="180" t="n">
        <f aca="false">('Fuel Curve Simulation'!J87*'Revenues &amp; Expenses'!$S$2/1000)</f>
        <v>43.9494429310345</v>
      </c>
      <c r="G79" s="180" t="n">
        <f aca="false">'Revenues &amp; Expenses'!$AM$5*1000*'Revenues &amp; Expenses'!O87</f>
        <v>2.39403497016155</v>
      </c>
      <c r="H79" s="204" t="n">
        <f aca="false">H78+1</f>
        <v>70</v>
      </c>
      <c r="I79" s="204" t="n">
        <f aca="false">IF(C79&gt;D79,1,0)</f>
        <v>0</v>
      </c>
      <c r="J79" s="204" t="n">
        <v>315</v>
      </c>
      <c r="K79" s="212" t="n">
        <f aca="false">IF(I79&gt;0,J79*'Revenues &amp; Expenses'!F87*16,0)</f>
        <v>0</v>
      </c>
      <c r="L79" s="211" t="n">
        <f aca="false">K79*'Revenues &amp; Expenses'!N87</f>
        <v>0</v>
      </c>
      <c r="M79" s="212"/>
      <c r="N79" s="212"/>
      <c r="AC79" s="248" t="n">
        <f aca="false">B79</f>
        <v>38961</v>
      </c>
      <c r="AD79" s="10" t="n">
        <f aca="false">AD78+1</f>
        <v>70</v>
      </c>
      <c r="AE79" s="10" t="n">
        <f aca="false">C79*L79</f>
        <v>0</v>
      </c>
      <c r="AF79" s="10" t="n">
        <f aca="false">L79</f>
        <v>0</v>
      </c>
      <c r="AG79" s="205" t="n">
        <f aca="false">IF(AF79&gt;0,AE79/AF79,0)</f>
        <v>0</v>
      </c>
      <c r="AJ79" s="10" t="n">
        <f aca="false">D79*L79</f>
        <v>0</v>
      </c>
      <c r="AK79" s="249" t="n">
        <f aca="false">IF(AF79&gt;0,AJ79/AF79,0)</f>
        <v>0</v>
      </c>
    </row>
    <row r="80" customFormat="false" ht="12.75" hidden="false" customHeight="false" outlineLevel="0" collapsed="false">
      <c r="A80" s="180" t="n">
        <v>32.980404823122</v>
      </c>
      <c r="B80" s="240" t="n">
        <f aca="false">'Revenues &amp; Expenses'!AX88</f>
        <v>38991</v>
      </c>
      <c r="C80" s="180" t="n">
        <f aca="false">'PJM Curve Simulation'!J88</f>
        <v>28.0750003814697</v>
      </c>
      <c r="D80" s="180" t="n">
        <f aca="false">F80+G80</f>
        <v>47.2158636038368</v>
      </c>
      <c r="F80" s="180" t="n">
        <f aca="false">('Fuel Curve Simulation'!J88*'Revenues &amp; Expenses'!$S$2/1000)</f>
        <v>44.8165075862069</v>
      </c>
      <c r="G80" s="180" t="n">
        <f aca="false">'Revenues &amp; Expenses'!$AM$5*1000*'Revenues &amp; Expenses'!O88</f>
        <v>2.39935601762988</v>
      </c>
      <c r="H80" s="204" t="n">
        <f aca="false">H79+1</f>
        <v>71</v>
      </c>
      <c r="I80" s="204" t="n">
        <f aca="false">IF(C80&gt;D80,1,0)</f>
        <v>0</v>
      </c>
      <c r="J80" s="204" t="n">
        <v>315</v>
      </c>
      <c r="K80" s="212" t="n">
        <f aca="false">IF(I80&gt;0,J80*'Revenues &amp; Expenses'!F88*16,0)</f>
        <v>0</v>
      </c>
      <c r="L80" s="211" t="n">
        <f aca="false">K80*'Revenues &amp; Expenses'!N88</f>
        <v>0</v>
      </c>
      <c r="M80" s="212"/>
      <c r="N80" s="212"/>
      <c r="AC80" s="248" t="n">
        <f aca="false">B80</f>
        <v>38991</v>
      </c>
      <c r="AD80" s="10" t="n">
        <f aca="false">AD79+1</f>
        <v>71</v>
      </c>
      <c r="AE80" s="10" t="n">
        <f aca="false">C80*L80</f>
        <v>0</v>
      </c>
      <c r="AF80" s="10" t="n">
        <f aca="false">L80</f>
        <v>0</v>
      </c>
      <c r="AG80" s="205" t="n">
        <f aca="false">IF(AF80&gt;0,AE80/AF80,0)</f>
        <v>0</v>
      </c>
      <c r="AJ80" s="10" t="n">
        <f aca="false">D80*L80</f>
        <v>0</v>
      </c>
      <c r="AK80" s="249" t="n">
        <f aca="false">IF(AF80&gt;0,AJ80/AF80,0)</f>
        <v>0</v>
      </c>
    </row>
    <row r="81" customFormat="false" ht="12.75" hidden="false" customHeight="false" outlineLevel="0" collapsed="false">
      <c r="A81" s="180" t="n">
        <v>33.0424155972672</v>
      </c>
      <c r="B81" s="240" t="n">
        <f aca="false">'Revenues &amp; Expenses'!AX89</f>
        <v>39022</v>
      </c>
      <c r="C81" s="180" t="n">
        <f aca="false">'PJM Curve Simulation'!J89</f>
        <v>27.7474990844727</v>
      </c>
      <c r="D81" s="180" t="n">
        <f aca="false">F81+G81</f>
        <v>48.0684425124932</v>
      </c>
      <c r="F81" s="180" t="n">
        <f aca="false">('Fuel Curve Simulation'!J89*'Revenues &amp; Expenses'!$S$2/1000)</f>
        <v>45.6637536206897</v>
      </c>
      <c r="G81" s="180" t="n">
        <f aca="false">'Revenues &amp; Expenses'!$AM$5*1000*'Revenues &amp; Expenses'!O89</f>
        <v>2.40468889180354</v>
      </c>
      <c r="H81" s="204" t="n">
        <f aca="false">H80+1</f>
        <v>72</v>
      </c>
      <c r="I81" s="204" t="n">
        <f aca="false">IF(C81&gt;D81,1,0)</f>
        <v>0</v>
      </c>
      <c r="J81" s="204" t="n">
        <v>315</v>
      </c>
      <c r="K81" s="212" t="n">
        <f aca="false">IF(I81&gt;0,J81*'Revenues &amp; Expenses'!F89*16,0)</f>
        <v>0</v>
      </c>
      <c r="L81" s="211" t="n">
        <f aca="false">K81*'Revenues &amp; Expenses'!N89</f>
        <v>0</v>
      </c>
      <c r="M81" s="212"/>
      <c r="N81" s="212"/>
      <c r="AC81" s="248" t="n">
        <f aca="false">B81</f>
        <v>39022</v>
      </c>
      <c r="AD81" s="10" t="n">
        <f aca="false">AD80+1</f>
        <v>72</v>
      </c>
      <c r="AE81" s="10" t="n">
        <f aca="false">C81*L81</f>
        <v>0</v>
      </c>
      <c r="AF81" s="10" t="n">
        <f aca="false">L81</f>
        <v>0</v>
      </c>
      <c r="AG81" s="205" t="n">
        <f aca="false">IF(AF81&gt;0,AE81/AF81,0)</f>
        <v>0</v>
      </c>
      <c r="AJ81" s="10" t="n">
        <f aca="false">D81*L81</f>
        <v>0</v>
      </c>
      <c r="AK81" s="249" t="n">
        <f aca="false">IF(AF81&gt;0,AJ81/AF81,0)</f>
        <v>0</v>
      </c>
    </row>
    <row r="82" customFormat="false" ht="12.75" hidden="false" customHeight="false" outlineLevel="0" collapsed="false">
      <c r="A82" s="180" t="n">
        <v>35.575934303647</v>
      </c>
      <c r="B82" s="240" t="n">
        <f aca="false">'Revenues &amp; Expenses'!AX90</f>
        <v>39052</v>
      </c>
      <c r="C82" s="180" t="n">
        <f aca="false">'PJM Curve Simulation'!J90</f>
        <v>29.4999996185303</v>
      </c>
      <c r="D82" s="180" t="n">
        <f aca="false">F82+G82</f>
        <v>48.4751143086241</v>
      </c>
      <c r="F82" s="180" t="n">
        <f aca="false">('Fuel Curve Simulation'!J90*'Revenues &amp; Expenses'!$S$2/1000)</f>
        <v>46.0650806896552</v>
      </c>
      <c r="G82" s="180" t="n">
        <f aca="false">'Revenues &amp; Expenses'!$AM$5*1000*'Revenues &amp; Expenses'!O90</f>
        <v>2.4100336189689</v>
      </c>
      <c r="H82" s="204" t="n">
        <f aca="false">H81+1</f>
        <v>73</v>
      </c>
      <c r="I82" s="204" t="n">
        <f aca="false">IF(C82&gt;D82,1,0)</f>
        <v>0</v>
      </c>
      <c r="J82" s="204" t="n">
        <v>315</v>
      </c>
      <c r="K82" s="212" t="n">
        <f aca="false">IF(I82&gt;0,J82*'Revenues &amp; Expenses'!F90*16,0)</f>
        <v>0</v>
      </c>
      <c r="L82" s="211" t="n">
        <f aca="false">K82*'Revenues &amp; Expenses'!N90</f>
        <v>0</v>
      </c>
      <c r="M82" s="212" t="n">
        <f aca="false">SUM(L71:L82)</f>
        <v>205435.998976124</v>
      </c>
      <c r="N82" s="212" t="n">
        <f aca="false">SUM(K71:K82)</f>
        <v>327600</v>
      </c>
      <c r="AC82" s="248" t="n">
        <f aca="false">B82</f>
        <v>39052</v>
      </c>
      <c r="AD82" s="10" t="n">
        <f aca="false">AD81+1</f>
        <v>73</v>
      </c>
      <c r="AE82" s="10" t="n">
        <f aca="false">C82*L82</f>
        <v>0</v>
      </c>
      <c r="AF82" s="10" t="n">
        <f aca="false">L82</f>
        <v>0</v>
      </c>
      <c r="AG82" s="205" t="n">
        <f aca="false">IF(AF82&gt;0,AE82/AF82,0)</f>
        <v>0</v>
      </c>
      <c r="AH82" s="205" t="n">
        <f aca="false">IF(SUM(AF71:AF82)=0,0,SUM(AE71:AE82)/SUM(AF71:AF82))</f>
        <v>81.0048638851285</v>
      </c>
      <c r="AJ82" s="10" t="n">
        <f aca="false">D82*L82</f>
        <v>0</v>
      </c>
      <c r="AK82" s="249" t="n">
        <f aca="false">IF(AF82&gt;0,AJ82/AF82,0)</f>
        <v>0</v>
      </c>
      <c r="AL82" s="249" t="n">
        <f aca="false">IF(SUM(AF71:AF82)=0,0,SUM(AJ71:AJ82)/SUM(AF71:AF82))</f>
        <v>44.7136200241137</v>
      </c>
    </row>
    <row r="83" customFormat="false" ht="12.75" hidden="false" customHeight="false" outlineLevel="0" collapsed="false">
      <c r="A83" s="180" t="n">
        <v>46.9947933701428</v>
      </c>
      <c r="B83" s="240" t="n">
        <f aca="false">'Revenues &amp; Expenses'!AX91</f>
        <v>39083</v>
      </c>
      <c r="C83" s="180" t="n">
        <f aca="false">'PJM Curve Simulation'!J91</f>
        <v>38.3249984741211</v>
      </c>
      <c r="D83" s="180" t="n">
        <f aca="false">F83+G83</f>
        <v>47.9404135013328</v>
      </c>
      <c r="F83" s="180" t="n">
        <f aca="false">('Fuel Curve Simulation'!J91*'Revenues &amp; Expenses'!$S$2/1000)</f>
        <v>45.5250232758621</v>
      </c>
      <c r="G83" s="180" t="n">
        <f aca="false">'Revenues &amp; Expenses'!$AM$5*1000*'Revenues &amp; Expenses'!O91</f>
        <v>2.41539022547074</v>
      </c>
      <c r="H83" s="204" t="n">
        <f aca="false">H82+1</f>
        <v>74</v>
      </c>
      <c r="I83" s="204" t="n">
        <f aca="false">IF(C83&gt;D83,1,0)</f>
        <v>0</v>
      </c>
      <c r="J83" s="204" t="n">
        <v>315</v>
      </c>
      <c r="K83" s="212" t="n">
        <f aca="false">IF(I83&gt;0,J83*'Revenues &amp; Expenses'!F91*16,0)</f>
        <v>0</v>
      </c>
      <c r="L83" s="211" t="n">
        <f aca="false">K83*'Revenues &amp; Expenses'!N91</f>
        <v>0</v>
      </c>
      <c r="M83" s="212"/>
      <c r="N83" s="212"/>
      <c r="AC83" s="248" t="n">
        <f aca="false">B83</f>
        <v>39083</v>
      </c>
      <c r="AD83" s="10" t="n">
        <f aca="false">AD82+1</f>
        <v>74</v>
      </c>
      <c r="AE83" s="10" t="n">
        <f aca="false">C83*L83</f>
        <v>0</v>
      </c>
      <c r="AF83" s="10" t="n">
        <f aca="false">L83</f>
        <v>0</v>
      </c>
      <c r="AG83" s="205" t="n">
        <f aca="false">IF(AF83&gt;0,AE83/AF83,0)</f>
        <v>0</v>
      </c>
      <c r="AJ83" s="10" t="n">
        <f aca="false">D83*L83</f>
        <v>0</v>
      </c>
      <c r="AK83" s="249" t="n">
        <f aca="false">IF(AF83&gt;0,AJ83/AF83,0)</f>
        <v>0</v>
      </c>
    </row>
    <row r="84" customFormat="false" ht="12.75" hidden="false" customHeight="false" outlineLevel="0" collapsed="false">
      <c r="A84" s="180" t="n">
        <v>46.9947933701428</v>
      </c>
      <c r="B84" s="240" t="n">
        <f aca="false">'Revenues &amp; Expenses'!AX92</f>
        <v>39114</v>
      </c>
      <c r="C84" s="180" t="n">
        <f aca="false">'PJM Curve Simulation'!J92</f>
        <v>38.3249984741211</v>
      </c>
      <c r="D84" s="180" t="n">
        <f aca="false">F84+G84</f>
        <v>46.9878820135745</v>
      </c>
      <c r="F84" s="180" t="n">
        <f aca="false">('Fuel Curve Simulation'!J92*'Revenues &amp; Expenses'!$S$2/1000)</f>
        <v>44.5671232758621</v>
      </c>
      <c r="G84" s="180" t="n">
        <f aca="false">'Revenues &amp; Expenses'!$AM$5*1000*'Revenues &amp; Expenses'!O92</f>
        <v>2.42075873771239</v>
      </c>
      <c r="H84" s="204" t="n">
        <f aca="false">H83+1</f>
        <v>75</v>
      </c>
      <c r="I84" s="204" t="n">
        <f aca="false">IF(C84&gt;D84,1,0)</f>
        <v>0</v>
      </c>
      <c r="J84" s="204" t="n">
        <v>315</v>
      </c>
      <c r="K84" s="212" t="n">
        <f aca="false">IF(I84&gt;0,J84*'Revenues &amp; Expenses'!F92*16,0)</f>
        <v>0</v>
      </c>
      <c r="L84" s="211" t="n">
        <f aca="false">K84*'Revenues &amp; Expenses'!N92</f>
        <v>0</v>
      </c>
      <c r="M84" s="212"/>
      <c r="N84" s="212"/>
      <c r="AC84" s="248" t="n">
        <f aca="false">B84</f>
        <v>39114</v>
      </c>
      <c r="AD84" s="10" t="n">
        <f aca="false">AD83+1</f>
        <v>75</v>
      </c>
      <c r="AE84" s="10" t="n">
        <f aca="false">C84*L84</f>
        <v>0</v>
      </c>
      <c r="AF84" s="10" t="n">
        <f aca="false">L84</f>
        <v>0</v>
      </c>
      <c r="AG84" s="205" t="n">
        <f aca="false">IF(AF84&gt;0,AE84/AF84,0)</f>
        <v>0</v>
      </c>
      <c r="AJ84" s="10" t="n">
        <f aca="false">D84*L84</f>
        <v>0</v>
      </c>
      <c r="AK84" s="249" t="n">
        <f aca="false">IF(AF84&gt;0,AJ84/AF84,0)</f>
        <v>0</v>
      </c>
    </row>
    <row r="85" customFormat="false" ht="12.75" hidden="false" customHeight="false" outlineLevel="0" collapsed="false">
      <c r="A85" s="180" t="n">
        <v>34.115112177906</v>
      </c>
      <c r="B85" s="240" t="n">
        <f aca="false">'Revenues &amp; Expenses'!AX93</f>
        <v>39142</v>
      </c>
      <c r="C85" s="180" t="n">
        <f aca="false">'PJM Curve Simulation'!J93</f>
        <v>28.0500007629395</v>
      </c>
      <c r="D85" s="180" t="n">
        <f aca="false">F85+G85</f>
        <v>46.0634388373283</v>
      </c>
      <c r="F85" s="180" t="n">
        <f aca="false">('Fuel Curve Simulation'!J93*'Revenues &amp; Expenses'!$S$2/1000)</f>
        <v>43.6372996551724</v>
      </c>
      <c r="G85" s="180" t="n">
        <f aca="false">'Revenues &amp; Expenses'!$AM$5*1000*'Revenues &amp; Expenses'!O93</f>
        <v>2.42613918215589</v>
      </c>
      <c r="H85" s="204" t="n">
        <f aca="false">H84+1</f>
        <v>76</v>
      </c>
      <c r="I85" s="204" t="n">
        <f aca="false">IF(C85&gt;D85,1,0)</f>
        <v>0</v>
      </c>
      <c r="J85" s="204" t="n">
        <v>315</v>
      </c>
      <c r="K85" s="212" t="n">
        <f aca="false">IF(I85&gt;0,J85*'Revenues &amp; Expenses'!F93*16,0)</f>
        <v>0</v>
      </c>
      <c r="L85" s="211" t="n">
        <f aca="false">K85*'Revenues &amp; Expenses'!N93</f>
        <v>0</v>
      </c>
      <c r="M85" s="212"/>
      <c r="N85" s="212"/>
      <c r="AC85" s="248" t="n">
        <f aca="false">B85</f>
        <v>39142</v>
      </c>
      <c r="AD85" s="10" t="n">
        <f aca="false">AD84+1</f>
        <v>76</v>
      </c>
      <c r="AE85" s="10" t="n">
        <f aca="false">C85*L85</f>
        <v>0</v>
      </c>
      <c r="AF85" s="10" t="n">
        <f aca="false">L85</f>
        <v>0</v>
      </c>
      <c r="AG85" s="205" t="n">
        <f aca="false">IF(AF85&gt;0,AE85/AF85,0)</f>
        <v>0</v>
      </c>
      <c r="AJ85" s="10" t="n">
        <f aca="false">D85*L85</f>
        <v>0</v>
      </c>
      <c r="AK85" s="249" t="n">
        <f aca="false">IF(AF85&gt;0,AJ85/AF85,0)</f>
        <v>0</v>
      </c>
    </row>
    <row r="86" customFormat="false" ht="12.75" hidden="false" customHeight="false" outlineLevel="0" collapsed="false">
      <c r="A86" s="180" t="n">
        <v>31.5636315957423</v>
      </c>
      <c r="B86" s="240" t="n">
        <f aca="false">'Revenues &amp; Expenses'!AX94</f>
        <v>39173</v>
      </c>
      <c r="C86" s="180" t="n">
        <f aca="false">'PJM Curve Simulation'!J94</f>
        <v>27.8250007629395</v>
      </c>
      <c r="D86" s="180" t="n">
        <f aca="false">F86+G86</f>
        <v>45.1043250335979</v>
      </c>
      <c r="F86" s="180" t="n">
        <f aca="false">('Fuel Curve Simulation'!J94*'Revenues &amp; Expenses'!$S$2/1000)</f>
        <v>42.6727934482759</v>
      </c>
      <c r="G86" s="180" t="n">
        <f aca="false">'Revenues &amp; Expenses'!$AM$5*1000*'Revenues &amp; Expenses'!O94</f>
        <v>2.43153158532206</v>
      </c>
      <c r="H86" s="204" t="n">
        <f aca="false">H85+1</f>
        <v>77</v>
      </c>
      <c r="I86" s="204" t="n">
        <f aca="false">IF(C86&gt;D86,1,0)</f>
        <v>0</v>
      </c>
      <c r="J86" s="204" t="n">
        <v>315</v>
      </c>
      <c r="K86" s="212" t="n">
        <f aca="false">IF(I86&gt;0,J86*'Revenues &amp; Expenses'!F94*16,0)</f>
        <v>0</v>
      </c>
      <c r="L86" s="211" t="n">
        <f aca="false">K86*'Revenues &amp; Expenses'!N94</f>
        <v>0</v>
      </c>
      <c r="M86" s="212"/>
      <c r="N86" s="212"/>
      <c r="AC86" s="248" t="n">
        <f aca="false">B86</f>
        <v>39173</v>
      </c>
      <c r="AD86" s="10" t="n">
        <f aca="false">AD85+1</f>
        <v>77</v>
      </c>
      <c r="AE86" s="10" t="n">
        <f aca="false">C86*L86</f>
        <v>0</v>
      </c>
      <c r="AF86" s="10" t="n">
        <f aca="false">L86</f>
        <v>0</v>
      </c>
      <c r="AG86" s="205" t="n">
        <f aca="false">IF(AF86&gt;0,AE86/AF86,0)</f>
        <v>0</v>
      </c>
      <c r="AJ86" s="10" t="n">
        <f aca="false">D86*L86</f>
        <v>0</v>
      </c>
      <c r="AK86" s="249" t="n">
        <f aca="false">IF(AF86&gt;0,AJ86/AF86,0)</f>
        <v>0</v>
      </c>
    </row>
    <row r="87" customFormat="false" ht="12.75" hidden="false" customHeight="false" outlineLevel="0" collapsed="false">
      <c r="A87" s="180" t="n">
        <v>36.8587755811694</v>
      </c>
      <c r="B87" s="240" t="n">
        <f aca="false">'Revenues &amp; Expenses'!AX95</f>
        <v>39203</v>
      </c>
      <c r="C87" s="180" t="n">
        <f aca="false">'PJM Curve Simulation'!J95</f>
        <v>33.575</v>
      </c>
      <c r="D87" s="180" t="n">
        <f aca="false">F87+G87</f>
        <v>44.4656242496528</v>
      </c>
      <c r="F87" s="180" t="n">
        <f aca="false">('Fuel Curve Simulation'!J95*'Revenues &amp; Expenses'!$S$2/1000)</f>
        <v>42.0286882758621</v>
      </c>
      <c r="G87" s="180" t="n">
        <f aca="false">'Revenues &amp; Expenses'!$AM$5*1000*'Revenues &amp; Expenses'!O95</f>
        <v>2.43693597379068</v>
      </c>
      <c r="H87" s="204" t="n">
        <f aca="false">H86+1</f>
        <v>78</v>
      </c>
      <c r="I87" s="204" t="n">
        <f aca="false">IF(C87&gt;D87,1,0)</f>
        <v>0</v>
      </c>
      <c r="J87" s="204" t="n">
        <v>315</v>
      </c>
      <c r="K87" s="212" t="n">
        <f aca="false">IF(I87&gt;0,J87*'Revenues &amp; Expenses'!F95*16,0)</f>
        <v>0</v>
      </c>
      <c r="L87" s="211" t="n">
        <f aca="false">K87*'Revenues &amp; Expenses'!N95</f>
        <v>0</v>
      </c>
      <c r="M87" s="212"/>
      <c r="N87" s="212"/>
      <c r="AC87" s="248" t="n">
        <f aca="false">B87</f>
        <v>39203</v>
      </c>
      <c r="AD87" s="10" t="n">
        <f aca="false">AD86+1</f>
        <v>78</v>
      </c>
      <c r="AE87" s="10" t="n">
        <f aca="false">C87*L87</f>
        <v>0</v>
      </c>
      <c r="AF87" s="10" t="n">
        <f aca="false">L87</f>
        <v>0</v>
      </c>
      <c r="AG87" s="205" t="n">
        <f aca="false">IF(AF87&gt;0,AE87/AF87,0)</f>
        <v>0</v>
      </c>
      <c r="AJ87" s="10" t="n">
        <f aca="false">D87*L87</f>
        <v>0</v>
      </c>
      <c r="AK87" s="249" t="n">
        <f aca="false">IF(AF87&gt;0,AJ87/AF87,0)</f>
        <v>0</v>
      </c>
    </row>
    <row r="88" customFormat="false" ht="12.75" hidden="false" customHeight="false" outlineLevel="0" collapsed="false">
      <c r="A88" s="180" t="n">
        <v>72.3107710903075</v>
      </c>
      <c r="B88" s="240" t="n">
        <f aca="false">'Revenues &amp; Expenses'!AX96</f>
        <v>39234</v>
      </c>
      <c r="C88" s="180" t="n">
        <f aca="false">'PJM Curve Simulation'!J96</f>
        <v>58.5999984741211</v>
      </c>
      <c r="D88" s="180" t="n">
        <f aca="false">F88+G88</f>
        <v>44.414887891442</v>
      </c>
      <c r="F88" s="180" t="n">
        <f aca="false">('Fuel Curve Simulation'!J96*'Revenues &amp; Expenses'!$S$2/1000)</f>
        <v>41.9725355172414</v>
      </c>
      <c r="G88" s="180" t="n">
        <f aca="false">'Revenues &amp; Expenses'!$AM$5*1000*'Revenues &amp; Expenses'!O96</f>
        <v>2.44235237420063</v>
      </c>
      <c r="H88" s="204" t="n">
        <f aca="false">H87+1</f>
        <v>79</v>
      </c>
      <c r="I88" s="204" t="n">
        <f aca="false">IF(C88&gt;D88,1,0)</f>
        <v>1</v>
      </c>
      <c r="J88" s="204" t="n">
        <v>315</v>
      </c>
      <c r="K88" s="212" t="n">
        <f aca="false">IF(I88&gt;0,J88*'Revenues &amp; Expenses'!F96*16,0)</f>
        <v>105840</v>
      </c>
      <c r="L88" s="211" t="n">
        <f aca="false">K88*'Revenues &amp; Expenses'!N96</f>
        <v>62020.3920340309</v>
      </c>
      <c r="M88" s="212"/>
      <c r="N88" s="212"/>
      <c r="AC88" s="248" t="n">
        <f aca="false">B88</f>
        <v>39234</v>
      </c>
      <c r="AD88" s="10" t="n">
        <f aca="false">AD87+1</f>
        <v>79</v>
      </c>
      <c r="AE88" s="10" t="n">
        <f aca="false">C88*L88</f>
        <v>3634394.87855861</v>
      </c>
      <c r="AF88" s="10" t="n">
        <f aca="false">L88</f>
        <v>62020.3920340309</v>
      </c>
      <c r="AG88" s="205" t="n">
        <f aca="false">IF(AF88&gt;0,AE88/AF88,0)</f>
        <v>58.5999984741211</v>
      </c>
      <c r="AJ88" s="10" t="n">
        <f aca="false">D88*L88</f>
        <v>2754628.75917477</v>
      </c>
      <c r="AK88" s="249" t="n">
        <f aca="false">IF(AF88&gt;0,AJ88/AF88,0)</f>
        <v>44.414887891442</v>
      </c>
    </row>
    <row r="89" customFormat="false" ht="12.75" hidden="false" customHeight="false" outlineLevel="0" collapsed="false">
      <c r="A89" s="180" t="n">
        <v>131.569185498407</v>
      </c>
      <c r="B89" s="240" t="n">
        <f aca="false">'Revenues &amp; Expenses'!AX97</f>
        <v>39264</v>
      </c>
      <c r="C89" s="180" t="n">
        <f aca="false">'PJM Curve Simulation'!J97</f>
        <v>100.199996948242</v>
      </c>
      <c r="D89" s="180" t="n">
        <f aca="false">F89+G89</f>
        <v>44.9620252960086</v>
      </c>
      <c r="F89" s="180" t="n">
        <f aca="false">('Fuel Curve Simulation'!J97*'Revenues &amp; Expenses'!$S$2/1000)</f>
        <v>42.5142444827586</v>
      </c>
      <c r="G89" s="180" t="n">
        <f aca="false">'Revenues &amp; Expenses'!$AM$5*1000*'Revenues &amp; Expenses'!O97</f>
        <v>2.44778081324997</v>
      </c>
      <c r="H89" s="204" t="n">
        <f aca="false">H88+1</f>
        <v>80</v>
      </c>
      <c r="I89" s="204" t="n">
        <f aca="false">IF(C89&gt;D89,1,0)</f>
        <v>1</v>
      </c>
      <c r="J89" s="204" t="n">
        <v>315</v>
      </c>
      <c r="K89" s="212" t="n">
        <f aca="false">IF(I89&gt;0,J89*'Revenues &amp; Expenses'!F97*16,0)</f>
        <v>115920</v>
      </c>
      <c r="L89" s="211" t="n">
        <f aca="false">K89*'Revenues &amp; Expenses'!N97</f>
        <v>67516.2378376888</v>
      </c>
      <c r="M89" s="212"/>
      <c r="N89" s="212"/>
      <c r="AC89" s="248" t="n">
        <f aca="false">B89</f>
        <v>39264</v>
      </c>
      <c r="AD89" s="10" t="n">
        <f aca="false">AD88+1</f>
        <v>80</v>
      </c>
      <c r="AE89" s="10" t="n">
        <f aca="false">C89*L89</f>
        <v>6765126.82529321</v>
      </c>
      <c r="AF89" s="10" t="n">
        <f aca="false">L89</f>
        <v>67516.2378376888</v>
      </c>
      <c r="AG89" s="205" t="n">
        <f aca="false">IF(AF89&gt;0,AE89/AF89,0)</f>
        <v>100.199996948242</v>
      </c>
      <c r="AJ89" s="10" t="n">
        <f aca="false">D89*L89</f>
        <v>3035666.79354949</v>
      </c>
      <c r="AK89" s="249" t="n">
        <f aca="false">IF(AF89&gt;0,AJ89/AF89,0)</f>
        <v>44.9620252960086</v>
      </c>
    </row>
    <row r="90" customFormat="false" ht="12.75" hidden="false" customHeight="false" outlineLevel="0" collapsed="false">
      <c r="A90" s="180" t="n">
        <v>107.024034756588</v>
      </c>
      <c r="B90" s="240" t="n">
        <f aca="false">'Revenues &amp; Expenses'!AX98</f>
        <v>39295</v>
      </c>
      <c r="C90" s="180" t="n">
        <f aca="false">'PJM Curve Simulation'!J98</f>
        <v>87.1999969482422</v>
      </c>
      <c r="D90" s="180" t="n">
        <f aca="false">F90+G90</f>
        <v>45.8279242487306</v>
      </c>
      <c r="F90" s="180" t="n">
        <f aca="false">('Fuel Curve Simulation'!J98*'Revenues &amp; Expenses'!$S$2/1000)</f>
        <v>43.3747029310345</v>
      </c>
      <c r="G90" s="180" t="n">
        <f aca="false">'Revenues &amp; Expenses'!$AM$5*1000*'Revenues &amp; Expenses'!O98</f>
        <v>2.4532213176961</v>
      </c>
      <c r="H90" s="204" t="n">
        <f aca="false">H89+1</f>
        <v>81</v>
      </c>
      <c r="I90" s="204" t="n">
        <f aca="false">IF(C90&gt;D90,1,0)</f>
        <v>1</v>
      </c>
      <c r="J90" s="204" t="n">
        <v>315</v>
      </c>
      <c r="K90" s="212" t="n">
        <f aca="false">IF(I90&gt;0,J90*'Revenues &amp; Expenses'!F98*16,0)</f>
        <v>105840</v>
      </c>
      <c r="L90" s="211" t="n">
        <f aca="false">K90*'Revenues &amp; Expenses'!N98</f>
        <v>61259.8606194873</v>
      </c>
      <c r="M90" s="212"/>
      <c r="N90" s="212"/>
      <c r="AC90" s="248" t="n">
        <f aca="false">B90</f>
        <v>39295</v>
      </c>
      <c r="AD90" s="10" t="n">
        <f aca="false">AD89+1</f>
        <v>81</v>
      </c>
      <c r="AE90" s="10" t="n">
        <f aca="false">C90*L90</f>
        <v>5341859.65906904</v>
      </c>
      <c r="AF90" s="10" t="n">
        <f aca="false">L90</f>
        <v>61259.8606194873</v>
      </c>
      <c r="AG90" s="205" t="n">
        <f aca="false">IF(AF90&gt;0,AE90/AF90,0)</f>
        <v>87.1999969482422</v>
      </c>
      <c r="AJ90" s="10" t="n">
        <f aca="false">D90*L90</f>
        <v>2807412.25195766</v>
      </c>
      <c r="AK90" s="249" t="n">
        <f aca="false">IF(AF90&gt;0,AJ90/AF90,0)</f>
        <v>45.8279242487306</v>
      </c>
    </row>
    <row r="91" customFormat="false" ht="12.75" hidden="false" customHeight="false" outlineLevel="0" collapsed="false">
      <c r="A91" s="180" t="n">
        <v>40.3409216440135</v>
      </c>
      <c r="B91" s="240" t="n">
        <f aca="false">'Revenues &amp; Expenses'!AX99</f>
        <v>39326</v>
      </c>
      <c r="C91" s="180" t="n">
        <f aca="false">'PJM Curve Simulation'!J99</f>
        <v>34.9249984741211</v>
      </c>
      <c r="D91" s="180" t="n">
        <f aca="false">F91+G91</f>
        <v>46.7483365005628</v>
      </c>
      <c r="F91" s="180" t="n">
        <f aca="false">('Fuel Curve Simulation'!J99*'Revenues &amp; Expenses'!$S$2/1000)</f>
        <v>44.2896625862069</v>
      </c>
      <c r="G91" s="180" t="n">
        <f aca="false">'Revenues &amp; Expenses'!$AM$5*1000*'Revenues &amp; Expenses'!O99</f>
        <v>2.45867391435591</v>
      </c>
      <c r="H91" s="204" t="n">
        <f aca="false">H90+1</f>
        <v>82</v>
      </c>
      <c r="I91" s="204" t="n">
        <f aca="false">IF(C91&gt;D91,1,0)</f>
        <v>0</v>
      </c>
      <c r="J91" s="204" t="n">
        <v>315</v>
      </c>
      <c r="K91" s="212" t="n">
        <f aca="false">IF(I91&gt;0,J91*'Revenues &amp; Expenses'!F99*16,0)</f>
        <v>0</v>
      </c>
      <c r="L91" s="211" t="n">
        <f aca="false">K91*'Revenues &amp; Expenses'!N99</f>
        <v>0</v>
      </c>
      <c r="M91" s="212"/>
      <c r="N91" s="212"/>
      <c r="AC91" s="248" t="n">
        <f aca="false">B91</f>
        <v>39326</v>
      </c>
      <c r="AD91" s="10" t="n">
        <f aca="false">AD90+1</f>
        <v>82</v>
      </c>
      <c r="AE91" s="10" t="n">
        <f aca="false">C91*L91</f>
        <v>0</v>
      </c>
      <c r="AF91" s="10" t="n">
        <f aca="false">L91</f>
        <v>0</v>
      </c>
      <c r="AG91" s="205" t="n">
        <f aca="false">IF(AF91&gt;0,AE91/AF91,0)</f>
        <v>0</v>
      </c>
      <c r="AJ91" s="10" t="n">
        <f aca="false">D91*L91</f>
        <v>0</v>
      </c>
      <c r="AK91" s="249" t="n">
        <f aca="false">IF(AF91&gt;0,AJ91/AF91,0)</f>
        <v>0</v>
      </c>
    </row>
    <row r="92" customFormat="false" ht="12.75" hidden="false" customHeight="false" outlineLevel="0" collapsed="false">
      <c r="A92" s="180" t="n">
        <v>33.567767323122</v>
      </c>
      <c r="B92" s="240" t="n">
        <f aca="false">'Revenues &amp; Expenses'!AX100</f>
        <v>39356</v>
      </c>
      <c r="C92" s="180" t="n">
        <f aca="false">'PJM Curve Simulation'!J100</f>
        <v>28.5750003814697</v>
      </c>
      <c r="D92" s="180" t="n">
        <f aca="false">F92+G92</f>
        <v>47.6340782852783</v>
      </c>
      <c r="F92" s="180" t="n">
        <f aca="false">('Fuel Curve Simulation'!J100*'Revenues &amp; Expenses'!$S$2/1000)</f>
        <v>45.1699396551724</v>
      </c>
      <c r="G92" s="180" t="n">
        <f aca="false">'Revenues &amp; Expenses'!$AM$5*1000*'Revenues &amp; Expenses'!O100</f>
        <v>2.46413863010588</v>
      </c>
      <c r="H92" s="204" t="n">
        <f aca="false">H91+1</f>
        <v>83</v>
      </c>
      <c r="I92" s="204" t="n">
        <f aca="false">IF(C92&gt;D92,1,0)</f>
        <v>0</v>
      </c>
      <c r="J92" s="204" t="n">
        <v>315</v>
      </c>
      <c r="K92" s="212" t="n">
        <f aca="false">IF(I92&gt;0,J92*'Revenues &amp; Expenses'!F100*16,0)</f>
        <v>0</v>
      </c>
      <c r="L92" s="211" t="n">
        <f aca="false">K92*'Revenues &amp; Expenses'!N100</f>
        <v>0</v>
      </c>
      <c r="M92" s="212"/>
      <c r="N92" s="212"/>
      <c r="AC92" s="248" t="n">
        <f aca="false">B92</f>
        <v>39356</v>
      </c>
      <c r="AD92" s="10" t="n">
        <f aca="false">AD91+1</f>
        <v>83</v>
      </c>
      <c r="AE92" s="10" t="n">
        <f aca="false">C92*L92</f>
        <v>0</v>
      </c>
      <c r="AF92" s="10" t="n">
        <f aca="false">L92</f>
        <v>0</v>
      </c>
      <c r="AG92" s="205" t="n">
        <f aca="false">IF(AF92&gt;0,AE92/AF92,0)</f>
        <v>0</v>
      </c>
      <c r="AJ92" s="10" t="n">
        <f aca="false">D92*L92</f>
        <v>0</v>
      </c>
      <c r="AK92" s="249" t="n">
        <f aca="false">IF(AF92&gt;0,AJ92/AF92,0)</f>
        <v>0</v>
      </c>
    </row>
    <row r="93" customFormat="false" ht="12.75" hidden="false" customHeight="false" outlineLevel="0" collapsed="false">
      <c r="A93" s="180" t="n">
        <v>33.6378280972672</v>
      </c>
      <c r="B93" s="240" t="n">
        <f aca="false">'Revenues &amp; Expenses'!AX101</f>
        <v>39387</v>
      </c>
      <c r="C93" s="180" t="n">
        <f aca="false">'PJM Curve Simulation'!J101</f>
        <v>28.2474990844727</v>
      </c>
      <c r="D93" s="180" t="n">
        <f aca="false">F93+G93</f>
        <v>48.493407388434</v>
      </c>
      <c r="F93" s="180" t="n">
        <f aca="false">('Fuel Curve Simulation'!J101*'Revenues &amp; Expenses'!$S$2/1000)</f>
        <v>46.0237918965517</v>
      </c>
      <c r="G93" s="180" t="n">
        <f aca="false">'Revenues &amp; Expenses'!$AM$5*1000*'Revenues &amp; Expenses'!O101</f>
        <v>2.46961549188224</v>
      </c>
      <c r="H93" s="204" t="n">
        <f aca="false">H92+1</f>
        <v>84</v>
      </c>
      <c r="I93" s="204" t="n">
        <f aca="false">IF(C93&gt;D93,1,0)</f>
        <v>0</v>
      </c>
      <c r="J93" s="204" t="n">
        <v>315</v>
      </c>
      <c r="K93" s="212" t="n">
        <f aca="false">IF(I93&gt;0,J93*'Revenues &amp; Expenses'!F101*16,0)</f>
        <v>0</v>
      </c>
      <c r="L93" s="211" t="n">
        <f aca="false">K93*'Revenues &amp; Expenses'!N101</f>
        <v>0</v>
      </c>
      <c r="M93" s="212"/>
      <c r="N93" s="212"/>
      <c r="AC93" s="248" t="n">
        <f aca="false">B93</f>
        <v>39387</v>
      </c>
      <c r="AD93" s="10" t="n">
        <f aca="false">AD92+1</f>
        <v>84</v>
      </c>
      <c r="AE93" s="10" t="n">
        <f aca="false">C93*L93</f>
        <v>0</v>
      </c>
      <c r="AF93" s="10" t="n">
        <f aca="false">L93</f>
        <v>0</v>
      </c>
      <c r="AG93" s="205" t="n">
        <f aca="false">IF(AF93&gt;0,AE93/AF93,0)</f>
        <v>0</v>
      </c>
      <c r="AJ93" s="10" t="n">
        <f aca="false">D93*L93</f>
        <v>0</v>
      </c>
      <c r="AK93" s="249" t="n">
        <f aca="false">IF(AF93&gt;0,AJ93/AF93,0)</f>
        <v>0</v>
      </c>
    </row>
    <row r="94" customFormat="false" ht="12.75" hidden="false" customHeight="false" outlineLevel="0" collapsed="false">
      <c r="A94" s="180" t="n">
        <v>36.1789162487942</v>
      </c>
      <c r="B94" s="240" t="n">
        <f aca="false">'Revenues &amp; Expenses'!AX102</f>
        <v>39417</v>
      </c>
      <c r="C94" s="180" t="n">
        <f aca="false">'PJM Curve Simulation'!J102</f>
        <v>29.9999996185303</v>
      </c>
      <c r="D94" s="180" t="n">
        <f aca="false">F94+G94</f>
        <v>48.908481250819</v>
      </c>
      <c r="F94" s="180" t="n">
        <f aca="false">('Fuel Curve Simulation'!J102*'Revenues &amp; Expenses'!$S$2/1000)</f>
        <v>46.4333767241379</v>
      </c>
      <c r="G94" s="180" t="n">
        <f aca="false">'Revenues &amp; Expenses'!$AM$5*1000*'Revenues &amp; Expenses'!O102</f>
        <v>2.47510452668106</v>
      </c>
      <c r="H94" s="204" t="n">
        <f aca="false">H93+1</f>
        <v>85</v>
      </c>
      <c r="I94" s="204" t="n">
        <f aca="false">IF(C94&gt;D94,1,0)</f>
        <v>0</v>
      </c>
      <c r="J94" s="204" t="n">
        <v>315</v>
      </c>
      <c r="K94" s="212" t="n">
        <f aca="false">IF(I94&gt;0,J94*'Revenues &amp; Expenses'!F102*16,0)</f>
        <v>0</v>
      </c>
      <c r="L94" s="211" t="n">
        <f aca="false">K94*'Revenues &amp; Expenses'!N102</f>
        <v>0</v>
      </c>
      <c r="M94" s="212" t="n">
        <f aca="false">SUM(L83:L94)</f>
        <v>190796.490491207</v>
      </c>
      <c r="N94" s="212" t="n">
        <f aca="false">SUM(K83:K94)</f>
        <v>327600</v>
      </c>
      <c r="AC94" s="248" t="n">
        <f aca="false">B94</f>
        <v>39417</v>
      </c>
      <c r="AD94" s="10" t="n">
        <f aca="false">AD93+1</f>
        <v>85</v>
      </c>
      <c r="AE94" s="10" t="n">
        <f aca="false">C94*L94</f>
        <v>0</v>
      </c>
      <c r="AF94" s="10" t="n">
        <f aca="false">L94</f>
        <v>0</v>
      </c>
      <c r="AG94" s="205" t="n">
        <f aca="false">IF(AF94&gt;0,AE94/AF94,0)</f>
        <v>0</v>
      </c>
      <c r="AH94" s="205" t="n">
        <f aca="false">IF(SUM(AF83:AF94)=0,0,SUM(AE83:AE94)/SUM(AF83:AF94))</f>
        <v>82.5035162984106</v>
      </c>
      <c r="AJ94" s="10" t="n">
        <f aca="false">D94*L94</f>
        <v>0</v>
      </c>
      <c r="AK94" s="249" t="n">
        <f aca="false">IF(AF94&gt;0,AJ94/AF94,0)</f>
        <v>0</v>
      </c>
      <c r="AL94" s="249" t="n">
        <f aca="false">IF(SUM(AF83:AF94)=0,0,SUM(AJ83:AJ94)/SUM(AF83:AF94))</f>
        <v>45.0621905180072</v>
      </c>
    </row>
    <row r="95" customFormat="false" ht="12.75" hidden="false" customHeight="false" outlineLevel="0" collapsed="false">
      <c r="A95" s="180" t="n">
        <v>47.6079022447834</v>
      </c>
      <c r="B95" s="240" t="n">
        <f aca="false">'Revenues &amp; Expenses'!AX103</f>
        <v>39448</v>
      </c>
      <c r="C95" s="180" t="n">
        <f aca="false">'PJM Curve Simulation'!J103</f>
        <v>38.8249984741211</v>
      </c>
      <c r="D95" s="180" t="n">
        <f aca="false">F95+G95</f>
        <v>48.3656673132826</v>
      </c>
      <c r="F95" s="180" t="n">
        <f aca="false">('Fuel Curve Simulation'!J103*'Revenues &amp; Expenses'!$S$2/1000)</f>
        <v>45.8850615517242</v>
      </c>
      <c r="G95" s="180" t="n">
        <f aca="false">'Revenues &amp; Expenses'!$AM$5*1000*'Revenues &amp; Expenses'!O103</f>
        <v>2.48060576155845</v>
      </c>
      <c r="H95" s="204" t="n">
        <f aca="false">H94+1</f>
        <v>86</v>
      </c>
      <c r="I95" s="204" t="n">
        <f aca="false">IF(C95&gt;D95,1,0)</f>
        <v>0</v>
      </c>
      <c r="J95" s="204" t="n">
        <v>315</v>
      </c>
      <c r="K95" s="212" t="n">
        <f aca="false">IF(I95&gt;0,J95*'Revenues &amp; Expenses'!F103*16,0)</f>
        <v>0</v>
      </c>
      <c r="L95" s="211" t="n">
        <f aca="false">K95*'Revenues &amp; Expenses'!N103</f>
        <v>0</v>
      </c>
      <c r="M95" s="212"/>
      <c r="N95" s="212"/>
      <c r="AC95" s="248" t="n">
        <f aca="false">B95</f>
        <v>39448</v>
      </c>
      <c r="AD95" s="10" t="n">
        <f aca="false">AD94+1</f>
        <v>86</v>
      </c>
      <c r="AE95" s="10" t="n">
        <f aca="false">C95*L95</f>
        <v>0</v>
      </c>
      <c r="AF95" s="10" t="n">
        <f aca="false">L95</f>
        <v>0</v>
      </c>
      <c r="AG95" s="205" t="n">
        <f aca="false">IF(AF95&gt;0,AE95/AF95,0)</f>
        <v>0</v>
      </c>
      <c r="AJ95" s="10" t="n">
        <f aca="false">D95*L95</f>
        <v>0</v>
      </c>
      <c r="AK95" s="249" t="n">
        <f aca="false">IF(AF95&gt;0,AJ95/AF95,0)</f>
        <v>0</v>
      </c>
    </row>
    <row r="96" customFormat="false" ht="12.75" hidden="false" customHeight="false" outlineLevel="0" collapsed="false">
      <c r="A96" s="180" t="n">
        <v>47.6079022447834</v>
      </c>
      <c r="B96" s="240" t="n">
        <f aca="false">'Revenues &amp; Expenses'!AX104</f>
        <v>39479</v>
      </c>
      <c r="C96" s="180" t="n">
        <f aca="false">'PJM Curve Simulation'!J104</f>
        <v>38.8249984741211</v>
      </c>
      <c r="D96" s="180" t="n">
        <f aca="false">F96+G96</f>
        <v>47.4215385339755</v>
      </c>
      <c r="F96" s="180" t="n">
        <f aca="false">('Fuel Curve Simulation'!J104*'Revenues &amp; Expenses'!$S$2/1000)</f>
        <v>44.9354193103448</v>
      </c>
      <c r="G96" s="180" t="n">
        <f aca="false">'Revenues &amp; Expenses'!$AM$5*1000*'Revenues &amp; Expenses'!O104</f>
        <v>2.48611922363063</v>
      </c>
      <c r="H96" s="204" t="n">
        <f aca="false">H95+1</f>
        <v>87</v>
      </c>
      <c r="I96" s="204" t="n">
        <f aca="false">IF(C96&gt;D96,1,0)</f>
        <v>0</v>
      </c>
      <c r="J96" s="204" t="n">
        <v>315</v>
      </c>
      <c r="K96" s="212" t="n">
        <f aca="false">IF(I96&gt;0,J96*'Revenues &amp; Expenses'!F104*16,0)</f>
        <v>0</v>
      </c>
      <c r="L96" s="211" t="n">
        <f aca="false">K96*'Revenues &amp; Expenses'!N104</f>
        <v>0</v>
      </c>
      <c r="M96" s="212"/>
      <c r="N96" s="212"/>
      <c r="AC96" s="248" t="n">
        <f aca="false">B96</f>
        <v>39479</v>
      </c>
      <c r="AD96" s="10" t="n">
        <f aca="false">AD95+1</f>
        <v>87</v>
      </c>
      <c r="AE96" s="10" t="n">
        <f aca="false">C96*L96</f>
        <v>0</v>
      </c>
      <c r="AF96" s="10" t="n">
        <f aca="false">L96</f>
        <v>0</v>
      </c>
      <c r="AG96" s="205" t="n">
        <f aca="false">IF(AF96&gt;0,AE96/AF96,0)</f>
        <v>0</v>
      </c>
      <c r="AJ96" s="10" t="n">
        <f aca="false">D96*L96</f>
        <v>0</v>
      </c>
      <c r="AK96" s="249" t="n">
        <f aca="false">IF(AF96&gt;0,AJ96/AF96,0)</f>
        <v>0</v>
      </c>
    </row>
    <row r="97" customFormat="false" ht="12.75" hidden="false" customHeight="false" outlineLevel="0" collapsed="false">
      <c r="A97" s="180" t="n">
        <v>34.723224677906</v>
      </c>
      <c r="B97" s="240" t="n">
        <f aca="false">'Revenues &amp; Expenses'!AX105</f>
        <v>39508</v>
      </c>
      <c r="C97" s="180" t="n">
        <f aca="false">'PJM Curve Simulation'!J105</f>
        <v>28.5500007629395</v>
      </c>
      <c r="D97" s="180" t="n">
        <f aca="false">F97+G97</f>
        <v>46.4972406297293</v>
      </c>
      <c r="F97" s="180" t="n">
        <f aca="false">('Fuel Curve Simulation'!J105*'Revenues &amp; Expenses'!$S$2/1000)</f>
        <v>44.0055956896552</v>
      </c>
      <c r="G97" s="180" t="n">
        <f aca="false">'Revenues &amp; Expenses'!$AM$5*1000*'Revenues &amp; Expenses'!O105</f>
        <v>2.4916449400741</v>
      </c>
      <c r="H97" s="204" t="n">
        <f aca="false">H96+1</f>
        <v>88</v>
      </c>
      <c r="I97" s="204" t="n">
        <f aca="false">IF(C97&gt;D97,1,0)</f>
        <v>0</v>
      </c>
      <c r="J97" s="204" t="n">
        <v>315</v>
      </c>
      <c r="K97" s="212" t="n">
        <f aca="false">IF(I97&gt;0,J97*'Revenues &amp; Expenses'!F105*16,0)</f>
        <v>0</v>
      </c>
      <c r="L97" s="211" t="n">
        <f aca="false">K97*'Revenues &amp; Expenses'!N105</f>
        <v>0</v>
      </c>
      <c r="M97" s="212"/>
      <c r="N97" s="212"/>
      <c r="AC97" s="248" t="n">
        <f aca="false">B97</f>
        <v>39508</v>
      </c>
      <c r="AD97" s="10" t="n">
        <f aca="false">AD96+1</f>
        <v>88</v>
      </c>
      <c r="AE97" s="10" t="n">
        <f aca="false">C97*L97</f>
        <v>0</v>
      </c>
      <c r="AF97" s="10" t="n">
        <f aca="false">L97</f>
        <v>0</v>
      </c>
      <c r="AG97" s="205" t="n">
        <f aca="false">IF(AF97&gt;0,AE97/AF97,0)</f>
        <v>0</v>
      </c>
      <c r="AJ97" s="10" t="n">
        <f aca="false">D97*L97</f>
        <v>0</v>
      </c>
      <c r="AK97" s="249" t="n">
        <f aca="false">IF(AF97&gt;0,AJ97/AF97,0)</f>
        <v>0</v>
      </c>
    </row>
    <row r="98" customFormat="false" ht="12.75" hidden="false" customHeight="false" outlineLevel="0" collapsed="false">
      <c r="A98" s="180" t="n">
        <v>32.1308127409408</v>
      </c>
      <c r="B98" s="240" t="n">
        <f aca="false">'Revenues &amp; Expenses'!AX106</f>
        <v>39539</v>
      </c>
      <c r="C98" s="180" t="n">
        <f aca="false">'PJM Curve Simulation'!J106</f>
        <v>28.3250007629395</v>
      </c>
      <c r="D98" s="180" t="n">
        <f aca="false">F98+G98</f>
        <v>45.5448786277809</v>
      </c>
      <c r="F98" s="180" t="n">
        <f aca="false">('Fuel Curve Simulation'!J106*'Revenues &amp; Expenses'!$S$2/1000)</f>
        <v>43.0476956896552</v>
      </c>
      <c r="G98" s="180" t="n">
        <f aca="false">'Revenues &amp; Expenses'!$AM$5*1000*'Revenues &amp; Expenses'!O106</f>
        <v>2.49718293812575</v>
      </c>
      <c r="H98" s="204" t="n">
        <f aca="false">H97+1</f>
        <v>89</v>
      </c>
      <c r="I98" s="204" t="n">
        <f aca="false">IF(C98&gt;D98,1,0)</f>
        <v>0</v>
      </c>
      <c r="J98" s="204" t="n">
        <v>315</v>
      </c>
      <c r="K98" s="212" t="n">
        <f aca="false">IF(I98&gt;0,J98*'Revenues &amp; Expenses'!F106*16,0)</f>
        <v>0</v>
      </c>
      <c r="L98" s="211" t="n">
        <f aca="false">K98*'Revenues &amp; Expenses'!N106</f>
        <v>0</v>
      </c>
      <c r="M98" s="212"/>
      <c r="N98" s="212"/>
      <c r="AC98" s="248" t="n">
        <f aca="false">B98</f>
        <v>39539</v>
      </c>
      <c r="AD98" s="10" t="n">
        <f aca="false">AD97+1</f>
        <v>89</v>
      </c>
      <c r="AE98" s="10" t="n">
        <f aca="false">C98*L98</f>
        <v>0</v>
      </c>
      <c r="AF98" s="10" t="n">
        <f aca="false">L98</f>
        <v>0</v>
      </c>
      <c r="AG98" s="205" t="n">
        <f aca="false">IF(AF98&gt;0,AE98/AF98,0)</f>
        <v>0</v>
      </c>
      <c r="AJ98" s="10" t="n">
        <f aca="false">D98*L98</f>
        <v>0</v>
      </c>
      <c r="AK98" s="249" t="n">
        <f aca="false">IF(AF98&gt;0,AJ98/AF98,0)</f>
        <v>0</v>
      </c>
    </row>
    <row r="99" customFormat="false" ht="12.75" hidden="false" customHeight="false" outlineLevel="0" collapsed="false">
      <c r="A99" s="180" t="n">
        <v>38.2310308150178</v>
      </c>
      <c r="B99" s="240" t="n">
        <f aca="false">'Revenues &amp; Expenses'!AX107</f>
        <v>39569</v>
      </c>
      <c r="C99" s="180" t="n">
        <f aca="false">'PJM Curve Simulation'!J107</f>
        <v>34.825</v>
      </c>
      <c r="D99" s="180" t="n">
        <f aca="false">F99+G99</f>
        <v>44.9063237623244</v>
      </c>
      <c r="F99" s="180" t="n">
        <f aca="false">('Fuel Curve Simulation'!J107*'Revenues &amp; Expenses'!$S$2/1000)</f>
        <v>42.4035905172414</v>
      </c>
      <c r="G99" s="180" t="n">
        <f aca="false">'Revenues &amp; Expenses'!$AM$5*1000*'Revenues &amp; Expenses'!O107</f>
        <v>2.50273324508303</v>
      </c>
      <c r="H99" s="204" t="n">
        <f aca="false">H98+1</f>
        <v>90</v>
      </c>
      <c r="I99" s="204" t="n">
        <f aca="false">IF(C99&gt;D99,1,0)</f>
        <v>0</v>
      </c>
      <c r="J99" s="204" t="n">
        <v>315</v>
      </c>
      <c r="K99" s="212" t="n">
        <f aca="false">IF(I99&gt;0,J99*'Revenues &amp; Expenses'!F107*16,0)</f>
        <v>0</v>
      </c>
      <c r="L99" s="211" t="n">
        <f aca="false">K99*'Revenues &amp; Expenses'!N107</f>
        <v>0</v>
      </c>
      <c r="M99" s="212"/>
      <c r="N99" s="212"/>
      <c r="AC99" s="248" t="n">
        <f aca="false">B99</f>
        <v>39569</v>
      </c>
      <c r="AD99" s="10" t="n">
        <f aca="false">AD98+1</f>
        <v>90</v>
      </c>
      <c r="AE99" s="10" t="n">
        <f aca="false">C99*L99</f>
        <v>0</v>
      </c>
      <c r="AF99" s="10" t="n">
        <f aca="false">L99</f>
        <v>0</v>
      </c>
      <c r="AG99" s="205" t="n">
        <f aca="false">IF(AF99&gt;0,AE99/AF99,0)</f>
        <v>0</v>
      </c>
      <c r="AJ99" s="10" t="n">
        <f aca="false">D99*L99</f>
        <v>0</v>
      </c>
      <c r="AK99" s="249" t="n">
        <f aca="false">IF(AF99&gt;0,AJ99/AF99,0)</f>
        <v>0</v>
      </c>
    </row>
    <row r="100" customFormat="false" ht="12.75" hidden="false" customHeight="false" outlineLevel="0" collapsed="false">
      <c r="A100" s="180" t="n">
        <v>73.8532363841044</v>
      </c>
      <c r="B100" s="240" t="n">
        <f aca="false">'Revenues &amp; Expenses'!AX108</f>
        <v>39600</v>
      </c>
      <c r="C100" s="180" t="n">
        <f aca="false">'PJM Curve Simulation'!J108</f>
        <v>59.8499984741211</v>
      </c>
      <c r="D100" s="180" t="n">
        <f aca="false">F100+G100</f>
        <v>44.8491274400282</v>
      </c>
      <c r="F100" s="180" t="n">
        <f aca="false">('Fuel Curve Simulation'!J108*'Revenues &amp; Expenses'!$S$2/1000)</f>
        <v>42.3408315517242</v>
      </c>
      <c r="G100" s="180" t="n">
        <f aca="false">'Revenues &amp; Expenses'!$AM$5*1000*'Revenues &amp; Expenses'!O108</f>
        <v>2.50829588830405</v>
      </c>
      <c r="H100" s="204" t="n">
        <f aca="false">H99+1</f>
        <v>91</v>
      </c>
      <c r="I100" s="204" t="n">
        <f aca="false">IF(C100&gt;D100,1,0)</f>
        <v>1</v>
      </c>
      <c r="J100" s="204" t="n">
        <v>315</v>
      </c>
      <c r="K100" s="212" t="n">
        <f aca="false">IF(I100&gt;0,J100*'Revenues &amp; Expenses'!F108*16,0)</f>
        <v>110880</v>
      </c>
      <c r="L100" s="211" t="n">
        <f aca="false">K100*'Revenues &amp; Expenses'!N108</f>
        <v>60328.8484454971</v>
      </c>
      <c r="M100" s="212"/>
      <c r="N100" s="212"/>
      <c r="AC100" s="248" t="n">
        <f aca="false">B100</f>
        <v>39600</v>
      </c>
      <c r="AD100" s="10" t="n">
        <f aca="false">AD99+1</f>
        <v>91</v>
      </c>
      <c r="AE100" s="10" t="n">
        <f aca="false">C100*L100</f>
        <v>3610681.48740848</v>
      </c>
      <c r="AF100" s="10" t="n">
        <f aca="false">L100</f>
        <v>60328.8484454971</v>
      </c>
      <c r="AG100" s="205" t="n">
        <f aca="false">IF(AF100&gt;0,AE100/AF100,0)</f>
        <v>59.8499984741211</v>
      </c>
      <c r="AJ100" s="10" t="n">
        <f aca="false">D100*L100</f>
        <v>2705696.21224224</v>
      </c>
      <c r="AK100" s="249" t="n">
        <f aca="false">IF(AF100&gt;0,AJ100/AF100,0)</f>
        <v>44.8491274400282</v>
      </c>
    </row>
    <row r="101" customFormat="false" ht="12.75" hidden="false" customHeight="false" outlineLevel="0" collapsed="false">
      <c r="A101" s="180" t="n">
        <v>134.523583466347</v>
      </c>
      <c r="B101" s="240" t="n">
        <f aca="false">'Revenues &amp; Expenses'!AX109</f>
        <v>39630</v>
      </c>
      <c r="C101" s="180" t="n">
        <f aca="false">'PJM Curve Simulation'!J109</f>
        <v>102.449996948242</v>
      </c>
      <c r="D101" s="180" t="n">
        <f aca="false">F101+G101</f>
        <v>45.4030176193457</v>
      </c>
      <c r="F101" s="180" t="n">
        <f aca="false">('Fuel Curve Simulation'!J109*'Revenues &amp; Expenses'!$S$2/1000)</f>
        <v>42.8891467241379</v>
      </c>
      <c r="G101" s="180" t="n">
        <f aca="false">'Revenues &amp; Expenses'!$AM$5*1000*'Revenues &amp; Expenses'!O109</f>
        <v>2.51387089520772</v>
      </c>
      <c r="H101" s="204" t="n">
        <f aca="false">H100+1</f>
        <v>92</v>
      </c>
      <c r="I101" s="204" t="n">
        <f aca="false">IF(C101&gt;D101,1,0)</f>
        <v>1</v>
      </c>
      <c r="J101" s="204" t="n">
        <v>315</v>
      </c>
      <c r="K101" s="212" t="n">
        <f aca="false">IF(I101&gt;0,J101*'Revenues &amp; Expenses'!F109*16,0)</f>
        <v>110880</v>
      </c>
      <c r="L101" s="211" t="n">
        <f aca="false">K101*'Revenues &amp; Expenses'!N109</f>
        <v>59962.2687227876</v>
      </c>
      <c r="M101" s="212"/>
      <c r="N101" s="212"/>
      <c r="AC101" s="248" t="n">
        <f aca="false">B101</f>
        <v>39630</v>
      </c>
      <c r="AD101" s="10" t="n">
        <f aca="false">AD100+1</f>
        <v>92</v>
      </c>
      <c r="AE101" s="10" t="n">
        <f aca="false">C101*L101</f>
        <v>6143134.24765927</v>
      </c>
      <c r="AF101" s="10" t="n">
        <f aca="false">L101</f>
        <v>59962.2687227876</v>
      </c>
      <c r="AG101" s="205" t="n">
        <f aca="false">IF(AF101&gt;0,AE101/AF101,0)</f>
        <v>102.449996948242</v>
      </c>
      <c r="AJ101" s="10" t="n">
        <f aca="false">D101*L101</f>
        <v>2722467.94331667</v>
      </c>
      <c r="AK101" s="249" t="n">
        <f aca="false">IF(AF101&gt;0,AJ101/AF101,0)</f>
        <v>45.4030176193457</v>
      </c>
    </row>
    <row r="102" customFormat="false" ht="12.75" hidden="false" customHeight="false" outlineLevel="0" collapsed="false">
      <c r="A102" s="180" t="n">
        <v>109.785549511517</v>
      </c>
      <c r="B102" s="240" t="n">
        <f aca="false">'Revenues &amp; Expenses'!AX110</f>
        <v>39661</v>
      </c>
      <c r="C102" s="180" t="n">
        <f aca="false">'PJM Curve Simulation'!J110</f>
        <v>89.4499969482422</v>
      </c>
      <c r="D102" s="180" t="n">
        <f aca="false">F102+G102</f>
        <v>46.2756696725843</v>
      </c>
      <c r="F102" s="180" t="n">
        <f aca="false">('Fuel Curve Simulation'!J110*'Revenues &amp; Expenses'!$S$2/1000)</f>
        <v>43.7562113793104</v>
      </c>
      <c r="G102" s="180" t="n">
        <f aca="false">'Revenues &amp; Expenses'!$AM$5*1000*'Revenues &amp; Expenses'!O110</f>
        <v>2.5194582932739</v>
      </c>
      <c r="H102" s="204" t="n">
        <f aca="false">H101+1</f>
        <v>93</v>
      </c>
      <c r="I102" s="204" t="n">
        <f aca="false">IF(C102&gt;D102,1,0)</f>
        <v>1</v>
      </c>
      <c r="J102" s="204" t="n">
        <v>315</v>
      </c>
      <c r="K102" s="212" t="n">
        <f aca="false">IF(I102&gt;0,J102*'Revenues &amp; Expenses'!F110*16,0)</f>
        <v>110880</v>
      </c>
      <c r="L102" s="211" t="n">
        <f aca="false">K102*'Revenues &amp; Expenses'!N110</f>
        <v>59585.6658820203</v>
      </c>
      <c r="M102" s="212"/>
      <c r="N102" s="212"/>
      <c r="AC102" s="248" t="n">
        <f aca="false">B102</f>
        <v>39661</v>
      </c>
      <c r="AD102" s="10" t="n">
        <f aca="false">AD101+1</f>
        <v>93</v>
      </c>
      <c r="AE102" s="10" t="n">
        <f aca="false">C102*L102</f>
        <v>5329937.63130569</v>
      </c>
      <c r="AF102" s="10" t="n">
        <f aca="false">L102</f>
        <v>59585.6658820203</v>
      </c>
      <c r="AG102" s="205" t="n">
        <f aca="false">IF(AF102&gt;0,AE102/AF102,0)</f>
        <v>89.4499969482422</v>
      </c>
      <c r="AJ102" s="10" t="n">
        <f aca="false">D102*L102</f>
        <v>2757366.59157734</v>
      </c>
      <c r="AK102" s="249" t="n">
        <f aca="false">IF(AF102&gt;0,AJ102/AF102,0)</f>
        <v>46.2756696725843</v>
      </c>
    </row>
    <row r="103" customFormat="false" ht="12.75" hidden="false" customHeight="false" outlineLevel="0" collapsed="false">
      <c r="A103" s="180" t="n">
        <v>40.9184581280008</v>
      </c>
      <c r="B103" s="240" t="n">
        <f aca="false">'Revenues &amp; Expenses'!AX111</f>
        <v>39692</v>
      </c>
      <c r="C103" s="180" t="n">
        <f aca="false">'PJM Curve Simulation'!J111</f>
        <v>35.4249984741211</v>
      </c>
      <c r="D103" s="180" t="n">
        <f aca="false">F103+G103</f>
        <v>47.1896229376297</v>
      </c>
      <c r="F103" s="180" t="n">
        <f aca="false">('Fuel Curve Simulation'!J111*'Revenues &amp; Expenses'!$S$2/1000)</f>
        <v>44.6645648275862</v>
      </c>
      <c r="G103" s="180" t="n">
        <f aca="false">'Revenues &amp; Expenses'!$AM$5*1000*'Revenues &amp; Expenses'!O111</f>
        <v>2.52505811004352</v>
      </c>
      <c r="H103" s="204" t="n">
        <f aca="false">H102+1</f>
        <v>94</v>
      </c>
      <c r="I103" s="204" t="n">
        <f aca="false">IF(C103&gt;D103,1,0)</f>
        <v>0</v>
      </c>
      <c r="J103" s="204" t="n">
        <v>315</v>
      </c>
      <c r="K103" s="212" t="n">
        <f aca="false">IF(I103&gt;0,J103*'Revenues &amp; Expenses'!F111*16,0)</f>
        <v>0</v>
      </c>
      <c r="L103" s="211" t="n">
        <f aca="false">K103*'Revenues &amp; Expenses'!N111</f>
        <v>0</v>
      </c>
      <c r="M103" s="212"/>
      <c r="N103" s="212"/>
      <c r="AC103" s="248" t="n">
        <f aca="false">B103</f>
        <v>39692</v>
      </c>
      <c r="AD103" s="10" t="n">
        <f aca="false">AD102+1</f>
        <v>94</v>
      </c>
      <c r="AE103" s="10" t="n">
        <f aca="false">C103*L103</f>
        <v>0</v>
      </c>
      <c r="AF103" s="10" t="n">
        <f aca="false">L103</f>
        <v>0</v>
      </c>
      <c r="AG103" s="205" t="n">
        <f aca="false">IF(AF103&gt;0,AE103/AF103,0)</f>
        <v>0</v>
      </c>
      <c r="AJ103" s="10" t="n">
        <f aca="false">D103*L103</f>
        <v>0</v>
      </c>
      <c r="AK103" s="249" t="n">
        <f aca="false">IF(AF103&gt;0,AJ103/AF103,0)</f>
        <v>0</v>
      </c>
    </row>
    <row r="104" customFormat="false" ht="12.75" hidden="false" customHeight="false" outlineLevel="0" collapsed="false">
      <c r="A104" s="180" t="n">
        <v>34.155129823122</v>
      </c>
      <c r="B104" s="240" t="n">
        <f aca="false">'Revenues &amp; Expenses'!AX112</f>
        <v>39722</v>
      </c>
      <c r="C104" s="180" t="n">
        <f aca="false">'PJM Curve Simulation'!J112</f>
        <v>29.0750003814697</v>
      </c>
      <c r="D104" s="180" t="n">
        <f aca="false">F104+G104</f>
        <v>48.082118476567</v>
      </c>
      <c r="F104" s="180" t="n">
        <f aca="false">('Fuel Curve Simulation'!J112*'Revenues &amp; Expenses'!$S$2/1000)</f>
        <v>45.5514481034483</v>
      </c>
      <c r="G104" s="180" t="n">
        <f aca="false">'Revenues &amp; Expenses'!$AM$5*1000*'Revenues &amp; Expenses'!O112</f>
        <v>2.53067037311874</v>
      </c>
      <c r="H104" s="204" t="n">
        <f aca="false">H103+1</f>
        <v>95</v>
      </c>
      <c r="I104" s="204" t="n">
        <f aca="false">IF(C104&gt;D104,1,0)</f>
        <v>0</v>
      </c>
      <c r="J104" s="204" t="n">
        <v>315</v>
      </c>
      <c r="K104" s="212" t="n">
        <f aca="false">IF(I104&gt;0,J104*'Revenues &amp; Expenses'!F112*16,0)</f>
        <v>0</v>
      </c>
      <c r="L104" s="211" t="n">
        <f aca="false">K104*'Revenues &amp; Expenses'!N112</f>
        <v>0</v>
      </c>
      <c r="M104" s="212"/>
      <c r="N104" s="212"/>
      <c r="AC104" s="248" t="n">
        <f aca="false">B104</f>
        <v>39722</v>
      </c>
      <c r="AD104" s="10" t="n">
        <f aca="false">AD103+1</f>
        <v>95</v>
      </c>
      <c r="AE104" s="10" t="n">
        <f aca="false">C104*L104</f>
        <v>0</v>
      </c>
      <c r="AF104" s="10" t="n">
        <f aca="false">L104</f>
        <v>0</v>
      </c>
      <c r="AG104" s="205" t="n">
        <f aca="false">IF(AF104&gt;0,AE104/AF104,0)</f>
        <v>0</v>
      </c>
      <c r="AJ104" s="10" t="n">
        <f aca="false">D104*L104</f>
        <v>0</v>
      </c>
      <c r="AK104" s="249" t="n">
        <f aca="false">IF(AF104&gt;0,AJ104/AF104,0)</f>
        <v>0</v>
      </c>
    </row>
    <row r="105" customFormat="false" ht="12.75" hidden="false" customHeight="false" outlineLevel="0" collapsed="false">
      <c r="A105" s="180" t="n">
        <v>34.2332405972672</v>
      </c>
      <c r="B105" s="240" t="n">
        <f aca="false">'Revenues &amp; Expenses'!AX113</f>
        <v>39753</v>
      </c>
      <c r="C105" s="180" t="n">
        <f aca="false">'PJM Curve Simulation'!J113</f>
        <v>28.7474990844727</v>
      </c>
      <c r="D105" s="180" t="n">
        <f aca="false">F105+G105</f>
        <v>48.5600870067148</v>
      </c>
      <c r="F105" s="180" t="n">
        <f aca="false">('Fuel Curve Simulation'!J113*'Revenues &amp; Expenses'!$S$2/1000)</f>
        <v>46.0237918965517</v>
      </c>
      <c r="G105" s="180" t="n">
        <f aca="false">'Revenues &amp; Expenses'!$AM$5*1000*'Revenues &amp; Expenses'!O113</f>
        <v>2.53629511016306</v>
      </c>
      <c r="H105" s="204" t="n">
        <f aca="false">H104+1</f>
        <v>96</v>
      </c>
      <c r="I105" s="204" t="n">
        <f aca="false">IF(C105&gt;D105,1,0)</f>
        <v>0</v>
      </c>
      <c r="J105" s="204" t="n">
        <v>315</v>
      </c>
      <c r="K105" s="212" t="n">
        <f aca="false">IF(I105&gt;0,J105*'Revenues &amp; Expenses'!F113*16,0)</f>
        <v>0</v>
      </c>
      <c r="L105" s="211" t="n">
        <f aca="false">K105*'Revenues &amp; Expenses'!N113</f>
        <v>0</v>
      </c>
      <c r="M105" s="212"/>
      <c r="N105" s="212"/>
      <c r="AC105" s="248" t="n">
        <f aca="false">B105</f>
        <v>39753</v>
      </c>
      <c r="AD105" s="10" t="n">
        <f aca="false">AD104+1</f>
        <v>96</v>
      </c>
      <c r="AE105" s="10" t="n">
        <f aca="false">C105*L105</f>
        <v>0</v>
      </c>
      <c r="AF105" s="10" t="n">
        <f aca="false">L105</f>
        <v>0</v>
      </c>
      <c r="AG105" s="205" t="n">
        <f aca="false">IF(AF105&gt;0,AE105/AF105,0)</f>
        <v>0</v>
      </c>
      <c r="AJ105" s="10" t="n">
        <f aca="false">D105*L105</f>
        <v>0</v>
      </c>
      <c r="AK105" s="249" t="n">
        <f aca="false">IF(AF105&gt;0,AJ105/AF105,0)</f>
        <v>0</v>
      </c>
    </row>
    <row r="106" customFormat="false" ht="12.75" hidden="false" customHeight="false" outlineLevel="0" collapsed="false">
      <c r="A106" s="180" t="n">
        <v>36.7818981939414</v>
      </c>
      <c r="B106" s="240" t="n">
        <f aca="false">'Revenues &amp; Expenses'!AX114</f>
        <v>39783</v>
      </c>
      <c r="C106" s="180" t="n">
        <f aca="false">'PJM Curve Simulation'!J114</f>
        <v>30.4999996185303</v>
      </c>
      <c r="D106" s="180" t="n">
        <f aca="false">F106+G106</f>
        <v>48.9753090730394</v>
      </c>
      <c r="F106" s="180" t="n">
        <f aca="false">('Fuel Curve Simulation'!J114*'Revenues &amp; Expenses'!$S$2/1000)</f>
        <v>46.4333767241379</v>
      </c>
      <c r="G106" s="180" t="n">
        <f aca="false">'Revenues &amp; Expenses'!$AM$5*1000*'Revenues &amp; Expenses'!O114</f>
        <v>2.54193234890145</v>
      </c>
      <c r="H106" s="204" t="n">
        <f aca="false">H105+1</f>
        <v>97</v>
      </c>
      <c r="I106" s="204" t="n">
        <f aca="false">IF(C106&gt;D106,1,0)</f>
        <v>0</v>
      </c>
      <c r="J106" s="204" t="n">
        <v>315</v>
      </c>
      <c r="K106" s="212" t="n">
        <f aca="false">IF(I106&gt;0,J106*'Revenues &amp; Expenses'!F114*16,0)</f>
        <v>0</v>
      </c>
      <c r="L106" s="211" t="n">
        <f aca="false">K106*'Revenues &amp; Expenses'!N114</f>
        <v>0</v>
      </c>
      <c r="M106" s="212" t="n">
        <f aca="false">SUM(L95:L106)</f>
        <v>179876.783050305</v>
      </c>
      <c r="N106" s="212" t="n">
        <f aca="false">SUM(K95:K106)</f>
        <v>332640</v>
      </c>
      <c r="AC106" s="248" t="n">
        <f aca="false">B106</f>
        <v>39783</v>
      </c>
      <c r="AD106" s="10" t="n">
        <f aca="false">AD105+1</f>
        <v>97</v>
      </c>
      <c r="AE106" s="10" t="n">
        <f aca="false">C106*L106</f>
        <v>0</v>
      </c>
      <c r="AF106" s="10" t="n">
        <f aca="false">L106</f>
        <v>0</v>
      </c>
      <c r="AG106" s="205" t="n">
        <f aca="false">IF(AF106&gt;0,AE106/AF106,0)</f>
        <v>0</v>
      </c>
      <c r="AH106" s="205" t="n">
        <f aca="false">IF(SUM(AF95:AF106)=0,0,SUM(AE95:AE106)/SUM(AF95:AF106))</f>
        <v>83.856032505068</v>
      </c>
      <c r="AJ106" s="10" t="n">
        <f aca="false">D106*L106</f>
        <v>0</v>
      </c>
      <c r="AK106" s="249" t="n">
        <f aca="false">IF(AF106&gt;0,AJ106/AF106,0)</f>
        <v>0</v>
      </c>
      <c r="AL106" s="249" t="n">
        <f aca="false">IF(SUM(AF95:AF106)=0,0,SUM(AJ95:AJ106)/SUM(AF95:AF106))</f>
        <v>45.5063216515667</v>
      </c>
    </row>
    <row r="107" customFormat="false" ht="12.75" hidden="false" customHeight="false" outlineLevel="0" collapsed="false">
      <c r="A107" s="180" t="n">
        <v>48.221011119424</v>
      </c>
      <c r="B107" s="240" t="n">
        <f aca="false">'Revenues &amp; Expenses'!AX115</f>
        <v>39814</v>
      </c>
      <c r="C107" s="180" t="n">
        <f aca="false">'PJM Curve Simulation'!J115</f>
        <v>39.3249984741211</v>
      </c>
      <c r="D107" s="180" t="n">
        <f aca="false">F107+G107</f>
        <v>48.4326436688447</v>
      </c>
      <c r="F107" s="180" t="n">
        <f aca="false">('Fuel Curve Simulation'!J115*'Revenues &amp; Expenses'!$S$2/1000)</f>
        <v>45.8850615517242</v>
      </c>
      <c r="G107" s="180" t="n">
        <f aca="false">'Revenues &amp; Expenses'!$AM$5*1000*'Revenues &amp; Expenses'!O115</f>
        <v>2.54758211712053</v>
      </c>
      <c r="H107" s="204" t="n">
        <f aca="false">H106+1</f>
        <v>98</v>
      </c>
      <c r="I107" s="204" t="n">
        <f aca="false">IF(C107&gt;D107,1,0)</f>
        <v>0</v>
      </c>
      <c r="J107" s="204" t="n">
        <v>315</v>
      </c>
      <c r="K107" s="212" t="n">
        <f aca="false">IF(I107&gt;0,J107*'Revenues &amp; Expenses'!F115*16,0)</f>
        <v>0</v>
      </c>
      <c r="L107" s="211" t="n">
        <f aca="false">K107*'Revenues &amp; Expenses'!N115</f>
        <v>0</v>
      </c>
      <c r="M107" s="212"/>
      <c r="N107" s="212"/>
      <c r="AC107" s="248" t="n">
        <f aca="false">B107</f>
        <v>39814</v>
      </c>
      <c r="AD107" s="10" t="n">
        <f aca="false">AD106+1</f>
        <v>98</v>
      </c>
      <c r="AE107" s="10" t="n">
        <f aca="false">C107*L107</f>
        <v>0</v>
      </c>
      <c r="AF107" s="10" t="n">
        <f aca="false">L107</f>
        <v>0</v>
      </c>
      <c r="AG107" s="205" t="n">
        <f aca="false">IF(AF107&gt;0,AE107/AF107,0)</f>
        <v>0</v>
      </c>
      <c r="AJ107" s="10" t="n">
        <f aca="false">D107*L107</f>
        <v>0</v>
      </c>
      <c r="AK107" s="249" t="n">
        <f aca="false">IF(AF107&gt;0,AJ107/AF107,0)</f>
        <v>0</v>
      </c>
    </row>
    <row r="108" customFormat="false" ht="12.75" hidden="false" customHeight="false" outlineLevel="0" collapsed="false">
      <c r="A108" s="180" t="n">
        <v>48.221011119424</v>
      </c>
      <c r="B108" s="240" t="n">
        <f aca="false">'Revenues &amp; Expenses'!AX116</f>
        <v>39845</v>
      </c>
      <c r="C108" s="180" t="n">
        <f aca="false">'PJM Curve Simulation'!J116</f>
        <v>39.3249984741211</v>
      </c>
      <c r="D108" s="180" t="n">
        <f aca="false">F108+G108</f>
        <v>47.4886637530135</v>
      </c>
      <c r="F108" s="180" t="n">
        <f aca="false">('Fuel Curve Simulation'!J116*'Revenues &amp; Expenses'!$S$2/1000)</f>
        <v>44.9354193103448</v>
      </c>
      <c r="G108" s="180" t="n">
        <f aca="false">'Revenues &amp; Expenses'!$AM$5*1000*'Revenues &amp; Expenses'!O116</f>
        <v>2.55324444266865</v>
      </c>
      <c r="H108" s="204" t="n">
        <f aca="false">H107+1</f>
        <v>99</v>
      </c>
      <c r="I108" s="204" t="n">
        <f aca="false">IF(C108&gt;D108,1,0)</f>
        <v>0</v>
      </c>
      <c r="J108" s="204" t="n">
        <v>315</v>
      </c>
      <c r="K108" s="212" t="n">
        <f aca="false">IF(I108&gt;0,J108*'Revenues &amp; Expenses'!F116*16,0)</f>
        <v>0</v>
      </c>
      <c r="L108" s="211" t="n">
        <f aca="false">K108*'Revenues &amp; Expenses'!N116</f>
        <v>0</v>
      </c>
      <c r="M108" s="212"/>
      <c r="N108" s="212"/>
      <c r="AC108" s="248" t="n">
        <f aca="false">B108</f>
        <v>39845</v>
      </c>
      <c r="AD108" s="10" t="n">
        <f aca="false">AD107+1</f>
        <v>99</v>
      </c>
      <c r="AE108" s="10" t="n">
        <f aca="false">C108*L108</f>
        <v>0</v>
      </c>
      <c r="AF108" s="10" t="n">
        <f aca="false">L108</f>
        <v>0</v>
      </c>
      <c r="AG108" s="205" t="n">
        <f aca="false">IF(AF108&gt;0,AE108/AF108,0)</f>
        <v>0</v>
      </c>
      <c r="AJ108" s="10" t="n">
        <f aca="false">D108*L108</f>
        <v>0</v>
      </c>
      <c r="AK108" s="249" t="n">
        <f aca="false">IF(AF108&gt;0,AJ108/AF108,0)</f>
        <v>0</v>
      </c>
    </row>
    <row r="109" customFormat="false" ht="12.75" hidden="false" customHeight="false" outlineLevel="0" collapsed="false">
      <c r="A109" s="180" t="n">
        <v>35.331337177906</v>
      </c>
      <c r="B109" s="240" t="n">
        <f aca="false">'Revenues &amp; Expenses'!AX117</f>
        <v>39873</v>
      </c>
      <c r="C109" s="180" t="n">
        <f aca="false">'PJM Curve Simulation'!J117</f>
        <v>29.0500007629395</v>
      </c>
      <c r="D109" s="180" t="n">
        <f aca="false">F109+G109</f>
        <v>46.5645150431113</v>
      </c>
      <c r="F109" s="180" t="n">
        <f aca="false">('Fuel Curve Simulation'!J117*'Revenues &amp; Expenses'!$S$2/1000)</f>
        <v>44.0055956896552</v>
      </c>
      <c r="G109" s="180" t="n">
        <f aca="false">'Revenues &amp; Expenses'!$AM$5*1000*'Revenues &amp; Expenses'!O117</f>
        <v>2.5589193534561</v>
      </c>
      <c r="H109" s="204" t="n">
        <f aca="false">H108+1</f>
        <v>100</v>
      </c>
      <c r="I109" s="204" t="n">
        <f aca="false">IF(C109&gt;D109,1,0)</f>
        <v>0</v>
      </c>
      <c r="J109" s="204" t="n">
        <v>315</v>
      </c>
      <c r="K109" s="212" t="n">
        <f aca="false">IF(I109&gt;0,J109*'Revenues &amp; Expenses'!F117*16,0)</f>
        <v>0</v>
      </c>
      <c r="L109" s="211" t="n">
        <f aca="false">K109*'Revenues &amp; Expenses'!N117</f>
        <v>0</v>
      </c>
      <c r="M109" s="212"/>
      <c r="N109" s="212"/>
      <c r="AC109" s="248" t="n">
        <f aca="false">B109</f>
        <v>39873</v>
      </c>
      <c r="AD109" s="10" t="n">
        <f aca="false">AD108+1</f>
        <v>100</v>
      </c>
      <c r="AE109" s="10" t="n">
        <f aca="false">C109*L109</f>
        <v>0</v>
      </c>
      <c r="AF109" s="10" t="n">
        <f aca="false">L109</f>
        <v>0</v>
      </c>
      <c r="AG109" s="205" t="n">
        <f aca="false">IF(AF109&gt;0,AE109/AF109,0)</f>
        <v>0</v>
      </c>
      <c r="AJ109" s="10" t="n">
        <f aca="false">D109*L109</f>
        <v>0</v>
      </c>
      <c r="AK109" s="249" t="n">
        <f aca="false">IF(AF109&gt;0,AJ109/AF109,0)</f>
        <v>0</v>
      </c>
    </row>
    <row r="110" customFormat="false" ht="12.75" hidden="false" customHeight="false" outlineLevel="0" collapsed="false">
      <c r="A110" s="180" t="n">
        <v>32.6979938861392</v>
      </c>
      <c r="B110" s="240" t="n">
        <f aca="false">'Revenues &amp; Expenses'!AX118</f>
        <v>39904</v>
      </c>
      <c r="C110" s="180" t="n">
        <f aca="false">'PJM Curve Simulation'!J118</f>
        <v>28.8250007629395</v>
      </c>
      <c r="D110" s="180" t="n">
        <f aca="false">F110+G110</f>
        <v>45.6123025671103</v>
      </c>
      <c r="F110" s="180" t="n">
        <f aca="false">('Fuel Curve Simulation'!J118*'Revenues &amp; Expenses'!$S$2/1000)</f>
        <v>43.0476956896552</v>
      </c>
      <c r="G110" s="180" t="n">
        <f aca="false">'Revenues &amp; Expenses'!$AM$5*1000*'Revenues &amp; Expenses'!O118</f>
        <v>2.56460687745515</v>
      </c>
      <c r="H110" s="204" t="n">
        <f aca="false">H109+1</f>
        <v>101</v>
      </c>
      <c r="I110" s="204" t="n">
        <f aca="false">IF(C110&gt;D110,1,0)</f>
        <v>0</v>
      </c>
      <c r="J110" s="204" t="n">
        <v>315</v>
      </c>
      <c r="K110" s="212" t="n">
        <f aca="false">IF(I110&gt;0,J110*'Revenues &amp; Expenses'!F118*16,0)</f>
        <v>0</v>
      </c>
      <c r="L110" s="211" t="n">
        <f aca="false">K110*'Revenues &amp; Expenses'!N118</f>
        <v>0</v>
      </c>
      <c r="M110" s="212"/>
      <c r="N110" s="212"/>
      <c r="AC110" s="248" t="n">
        <f aca="false">B110</f>
        <v>39904</v>
      </c>
      <c r="AD110" s="10" t="n">
        <f aca="false">AD109+1</f>
        <v>101</v>
      </c>
      <c r="AE110" s="10" t="n">
        <f aca="false">C110*L110</f>
        <v>0</v>
      </c>
      <c r="AF110" s="10" t="n">
        <f aca="false">L110</f>
        <v>0</v>
      </c>
      <c r="AG110" s="205" t="n">
        <f aca="false">IF(AF110&gt;0,AE110/AF110,0)</f>
        <v>0</v>
      </c>
      <c r="AJ110" s="10" t="n">
        <f aca="false">D110*L110</f>
        <v>0</v>
      </c>
      <c r="AK110" s="249" t="n">
        <f aca="false">IF(AF110&gt;0,AJ110/AF110,0)</f>
        <v>0</v>
      </c>
    </row>
    <row r="111" customFormat="false" ht="12.75" hidden="false" customHeight="false" outlineLevel="0" collapsed="false">
      <c r="A111" s="180" t="n">
        <v>39.6032860488663</v>
      </c>
      <c r="B111" s="240" t="n">
        <f aca="false">'Revenues &amp; Expenses'!AX119</f>
        <v>39934</v>
      </c>
      <c r="C111" s="180" t="n">
        <f aca="false">'PJM Curve Simulation'!J119</f>
        <v>36.075</v>
      </c>
      <c r="D111" s="180" t="n">
        <f aca="false">F111+G111</f>
        <v>44.9738975599417</v>
      </c>
      <c r="F111" s="180" t="n">
        <f aca="false">('Fuel Curve Simulation'!J119*'Revenues &amp; Expenses'!$S$2/1000)</f>
        <v>42.4035905172414</v>
      </c>
      <c r="G111" s="180" t="n">
        <f aca="false">'Revenues &amp; Expenses'!$AM$5*1000*'Revenues &amp; Expenses'!O119</f>
        <v>2.57030704270027</v>
      </c>
      <c r="H111" s="204" t="n">
        <f aca="false">H110+1</f>
        <v>102</v>
      </c>
      <c r="I111" s="204" t="n">
        <f aca="false">IF(C111&gt;D111,1,0)</f>
        <v>0</v>
      </c>
      <c r="J111" s="204" t="n">
        <v>315</v>
      </c>
      <c r="K111" s="212" t="n">
        <f aca="false">IF(I111&gt;0,J111*'Revenues &amp; Expenses'!F119*16,0)</f>
        <v>0</v>
      </c>
      <c r="L111" s="211" t="n">
        <f aca="false">K111*'Revenues &amp; Expenses'!N119</f>
        <v>0</v>
      </c>
      <c r="M111" s="212"/>
      <c r="N111" s="212"/>
      <c r="AC111" s="248" t="n">
        <f aca="false">B111</f>
        <v>39934</v>
      </c>
      <c r="AD111" s="10" t="n">
        <f aca="false">AD110+1</f>
        <v>102</v>
      </c>
      <c r="AE111" s="10" t="n">
        <f aca="false">C111*L111</f>
        <v>0</v>
      </c>
      <c r="AF111" s="10" t="n">
        <f aca="false">L111</f>
        <v>0</v>
      </c>
      <c r="AG111" s="205" t="n">
        <f aca="false">IF(AF111&gt;0,AE111/AF111,0)</f>
        <v>0</v>
      </c>
      <c r="AJ111" s="10" t="n">
        <f aca="false">D111*L111</f>
        <v>0</v>
      </c>
      <c r="AK111" s="249" t="n">
        <f aca="false">IF(AF111&gt;0,AJ111/AF111,0)</f>
        <v>0</v>
      </c>
    </row>
    <row r="112" customFormat="false" ht="12.75" hidden="false" customHeight="false" outlineLevel="0" collapsed="false">
      <c r="A112" s="180" t="n">
        <v>75.3957016779013</v>
      </c>
      <c r="B112" s="240" t="n">
        <f aca="false">'Revenues &amp; Expenses'!AX120</f>
        <v>39965</v>
      </c>
      <c r="C112" s="180" t="n">
        <f aca="false">'PJM Curve Simulation'!J120</f>
        <v>61.0999984741211</v>
      </c>
      <c r="D112" s="180" t="n">
        <f aca="false">F112+G112</f>
        <v>44.9168514290124</v>
      </c>
      <c r="F112" s="180" t="n">
        <f aca="false">('Fuel Curve Simulation'!J120*'Revenues &amp; Expenses'!$S$2/1000)</f>
        <v>42.3408315517242</v>
      </c>
      <c r="G112" s="180" t="n">
        <f aca="false">'Revenues &amp; Expenses'!$AM$5*1000*'Revenues &amp; Expenses'!O120</f>
        <v>2.57601987728826</v>
      </c>
      <c r="H112" s="204" t="n">
        <f aca="false">H111+1</f>
        <v>103</v>
      </c>
      <c r="I112" s="204" t="n">
        <f aca="false">IF(C112&gt;D112,1,0)</f>
        <v>1</v>
      </c>
      <c r="J112" s="204" t="n">
        <v>315</v>
      </c>
      <c r="K112" s="212" t="n">
        <f aca="false">IF(I112&gt;0,J112*'Revenues &amp; Expenses'!F120*16,0)</f>
        <v>105840</v>
      </c>
      <c r="L112" s="211" t="n">
        <f aca="false">K112*'Revenues &amp; Expenses'!N120</f>
        <v>53462.4683195555</v>
      </c>
      <c r="M112" s="212"/>
      <c r="N112" s="212"/>
      <c r="AC112" s="248" t="n">
        <f aca="false">B112</f>
        <v>39965</v>
      </c>
      <c r="AD112" s="10" t="n">
        <f aca="false">AD111+1</f>
        <v>103</v>
      </c>
      <c r="AE112" s="10" t="n">
        <f aca="false">C112*L112</f>
        <v>3266556.73274759</v>
      </c>
      <c r="AF112" s="10" t="n">
        <f aca="false">L112</f>
        <v>53462.4683195555</v>
      </c>
      <c r="AG112" s="205" t="n">
        <f aca="false">IF(AF112&gt;0,AE112/AF112,0)</f>
        <v>61.0999984741211</v>
      </c>
      <c r="AJ112" s="10" t="n">
        <f aca="false">D112*L112</f>
        <v>2401365.74653776</v>
      </c>
      <c r="AK112" s="249" t="n">
        <f aca="false">IF(AF112&gt;0,AJ112/AF112,0)</f>
        <v>44.9168514290124</v>
      </c>
    </row>
    <row r="113" customFormat="false" ht="12.75" hidden="false" customHeight="false" outlineLevel="0" collapsed="false">
      <c r="A113" s="180" t="n">
        <v>137.477981434286</v>
      </c>
      <c r="B113" s="240" t="n">
        <f aca="false">'Revenues &amp; Expenses'!AX121</f>
        <v>39995</v>
      </c>
      <c r="C113" s="180" t="n">
        <f aca="false">'PJM Curve Simulation'!J121</f>
        <v>104.699996948242</v>
      </c>
      <c r="D113" s="180" t="n">
        <f aca="false">F113+G113</f>
        <v>45.4708921335163</v>
      </c>
      <c r="F113" s="180" t="n">
        <f aca="false">('Fuel Curve Simulation'!J121*'Revenues &amp; Expenses'!$S$2/1000)</f>
        <v>42.8891467241379</v>
      </c>
      <c r="G113" s="180" t="n">
        <f aca="false">'Revenues &amp; Expenses'!$AM$5*1000*'Revenues &amp; Expenses'!O121</f>
        <v>2.58174540937833</v>
      </c>
      <c r="H113" s="204" t="n">
        <f aca="false">H112+1</f>
        <v>104</v>
      </c>
      <c r="I113" s="204" t="n">
        <f aca="false">IF(C113&gt;D113,1,0)</f>
        <v>1</v>
      </c>
      <c r="J113" s="204" t="n">
        <v>315</v>
      </c>
      <c r="K113" s="212" t="n">
        <f aca="false">IF(I113&gt;0,J113*'Revenues &amp; Expenses'!F121*16,0)</f>
        <v>110880</v>
      </c>
      <c r="L113" s="211" t="n">
        <f aca="false">K113*'Revenues &amp; Expenses'!N121</f>
        <v>55666.4187631031</v>
      </c>
      <c r="M113" s="212"/>
      <c r="N113" s="212"/>
      <c r="AC113" s="248" t="n">
        <f aca="false">B113</f>
        <v>39995</v>
      </c>
      <c r="AD113" s="10" t="n">
        <f aca="false">AD112+1</f>
        <v>104</v>
      </c>
      <c r="AE113" s="10" t="n">
        <f aca="false">C113*L113</f>
        <v>5828273.87461647</v>
      </c>
      <c r="AF113" s="10" t="n">
        <f aca="false">L113</f>
        <v>55666.4187631031</v>
      </c>
      <c r="AG113" s="205" t="n">
        <f aca="false">IF(AF113&gt;0,AE113/AF113,0)</f>
        <v>104.699996948242</v>
      </c>
      <c r="AJ113" s="10" t="n">
        <f aca="false">D113*L113</f>
        <v>2531201.72303621</v>
      </c>
      <c r="AK113" s="249" t="n">
        <f aca="false">IF(AF113&gt;0,AJ113/AF113,0)</f>
        <v>45.4708921335163</v>
      </c>
    </row>
    <row r="114" customFormat="false" ht="12.75" hidden="false" customHeight="false" outlineLevel="0" collapsed="false">
      <c r="A114" s="180" t="n">
        <v>112.547064266446</v>
      </c>
      <c r="B114" s="240" t="n">
        <f aca="false">'Revenues &amp; Expenses'!AX122</f>
        <v>40026</v>
      </c>
      <c r="C114" s="180" t="n">
        <f aca="false">'PJM Curve Simulation'!J122</f>
        <v>91.6999969482422</v>
      </c>
      <c r="D114" s="180" t="n">
        <f aca="false">F114+G114</f>
        <v>46.3436950465026</v>
      </c>
      <c r="F114" s="180" t="n">
        <f aca="false">('Fuel Curve Simulation'!J122*'Revenues &amp; Expenses'!$S$2/1000)</f>
        <v>43.7562113793104</v>
      </c>
      <c r="G114" s="180" t="n">
        <f aca="false">'Revenues &amp; Expenses'!$AM$5*1000*'Revenues &amp; Expenses'!O122</f>
        <v>2.58748366719229</v>
      </c>
      <c r="H114" s="204" t="n">
        <f aca="false">H113+1</f>
        <v>105</v>
      </c>
      <c r="I114" s="204" t="n">
        <f aca="false">IF(C114&gt;D114,1,0)</f>
        <v>1</v>
      </c>
      <c r="J114" s="204" t="n">
        <v>315</v>
      </c>
      <c r="K114" s="212" t="n">
        <f aca="false">IF(I114&gt;0,J114*'Revenues &amp; Expenses'!F122*16,0)</f>
        <v>115920</v>
      </c>
      <c r="L114" s="211" t="n">
        <f aca="false">K114*'Revenues &amp; Expenses'!N122</f>
        <v>57829.5274567377</v>
      </c>
      <c r="M114" s="212"/>
      <c r="N114" s="212"/>
      <c r="AC114" s="248" t="n">
        <f aca="false">B114</f>
        <v>40026</v>
      </c>
      <c r="AD114" s="10" t="n">
        <f aca="false">AD113+1</f>
        <v>105</v>
      </c>
      <c r="AE114" s="10" t="n">
        <f aca="false">C114*L114</f>
        <v>5302967.49130113</v>
      </c>
      <c r="AF114" s="10" t="n">
        <f aca="false">L114</f>
        <v>57829.5274567377</v>
      </c>
      <c r="AG114" s="205" t="n">
        <f aca="false">IF(AF114&gt;0,AE114/AF114,0)</f>
        <v>91.6999969482422</v>
      </c>
      <c r="AJ114" s="10" t="n">
        <f aca="false">D114*L114</f>
        <v>2680033.9851384</v>
      </c>
      <c r="AK114" s="249" t="n">
        <f aca="false">IF(AF114&gt;0,AJ114/AF114,0)</f>
        <v>46.3436950465026</v>
      </c>
    </row>
    <row r="115" customFormat="false" ht="12.75" hidden="false" customHeight="false" outlineLevel="0" collapsed="false">
      <c r="A115" s="180" t="n">
        <v>41.4959946119881</v>
      </c>
      <c r="B115" s="240" t="n">
        <f aca="false">'Revenues &amp; Expenses'!AX123</f>
        <v>40057</v>
      </c>
      <c r="C115" s="180" t="n">
        <f aca="false">'PJM Curve Simulation'!J123</f>
        <v>35.9249984741211</v>
      </c>
      <c r="D115" s="180" t="n">
        <f aca="false">F115+G115</f>
        <v>47.2577995066009</v>
      </c>
      <c r="F115" s="180" t="n">
        <f aca="false">('Fuel Curve Simulation'!J123*'Revenues &amp; Expenses'!$S$2/1000)</f>
        <v>44.6645648275862</v>
      </c>
      <c r="G115" s="180" t="n">
        <f aca="false">'Revenues &amp; Expenses'!$AM$5*1000*'Revenues &amp; Expenses'!O123</f>
        <v>2.5932346790147</v>
      </c>
      <c r="H115" s="204" t="n">
        <f aca="false">H114+1</f>
        <v>106</v>
      </c>
      <c r="I115" s="204" t="n">
        <f aca="false">IF(C115&gt;D115,1,0)</f>
        <v>0</v>
      </c>
      <c r="J115" s="204" t="n">
        <v>315</v>
      </c>
      <c r="K115" s="212" t="n">
        <f aca="false">IF(I115&gt;0,J115*'Revenues &amp; Expenses'!F123*16,0)</f>
        <v>0</v>
      </c>
      <c r="L115" s="211" t="n">
        <f aca="false">K115*'Revenues &amp; Expenses'!N123</f>
        <v>0</v>
      </c>
      <c r="M115" s="212"/>
      <c r="N115" s="212"/>
      <c r="AC115" s="248" t="n">
        <f aca="false">B115</f>
        <v>40057</v>
      </c>
      <c r="AD115" s="10" t="n">
        <f aca="false">AD114+1</f>
        <v>106</v>
      </c>
      <c r="AE115" s="10" t="n">
        <f aca="false">C115*L115</f>
        <v>0</v>
      </c>
      <c r="AF115" s="10" t="n">
        <f aca="false">L115</f>
        <v>0</v>
      </c>
      <c r="AG115" s="205" t="n">
        <f aca="false">IF(AF115&gt;0,AE115/AF115,0)</f>
        <v>0</v>
      </c>
      <c r="AJ115" s="10" t="n">
        <f aca="false">D115*L115</f>
        <v>0</v>
      </c>
      <c r="AK115" s="249" t="n">
        <f aca="false">IF(AF115&gt;0,AJ115/AF115,0)</f>
        <v>0</v>
      </c>
    </row>
    <row r="116" customFormat="false" ht="12.75" hidden="false" customHeight="false" outlineLevel="0" collapsed="false">
      <c r="A116" s="180" t="n">
        <v>34.742492323122</v>
      </c>
      <c r="B116" s="240" t="n">
        <f aca="false">'Revenues &amp; Expenses'!AX124</f>
        <v>40087</v>
      </c>
      <c r="C116" s="180" t="n">
        <f aca="false">'PJM Curve Simulation'!J124</f>
        <v>29.5750003814697</v>
      </c>
      <c r="D116" s="180" t="n">
        <f aca="false">F116+G116</f>
        <v>48.1504465766412</v>
      </c>
      <c r="F116" s="180" t="n">
        <f aca="false">('Fuel Curve Simulation'!J124*'Revenues &amp; Expenses'!$S$2/1000)</f>
        <v>45.5514481034483</v>
      </c>
      <c r="G116" s="180" t="n">
        <f aca="false">'Revenues &amp; Expenses'!$AM$5*1000*'Revenues &amp; Expenses'!O124</f>
        <v>2.59899847319295</v>
      </c>
      <c r="H116" s="204" t="n">
        <f aca="false">H115+1</f>
        <v>107</v>
      </c>
      <c r="I116" s="204" t="n">
        <f aca="false">IF(C116&gt;D116,1,0)</f>
        <v>0</v>
      </c>
      <c r="J116" s="204" t="n">
        <v>315</v>
      </c>
      <c r="K116" s="212" t="n">
        <f aca="false">IF(I116&gt;0,J116*'Revenues &amp; Expenses'!F124*16,0)</f>
        <v>0</v>
      </c>
      <c r="L116" s="211" t="n">
        <f aca="false">K116*'Revenues &amp; Expenses'!N124</f>
        <v>0</v>
      </c>
      <c r="M116" s="212"/>
      <c r="N116" s="212"/>
      <c r="AC116" s="248" t="n">
        <f aca="false">B116</f>
        <v>40087</v>
      </c>
      <c r="AD116" s="10" t="n">
        <f aca="false">AD115+1</f>
        <v>107</v>
      </c>
      <c r="AE116" s="10" t="n">
        <f aca="false">C116*L116</f>
        <v>0</v>
      </c>
      <c r="AF116" s="10" t="n">
        <f aca="false">L116</f>
        <v>0</v>
      </c>
      <c r="AG116" s="205" t="n">
        <f aca="false">IF(AF116&gt;0,AE116/AF116,0)</f>
        <v>0</v>
      </c>
      <c r="AJ116" s="10" t="n">
        <f aca="false">D116*L116</f>
        <v>0</v>
      </c>
      <c r="AK116" s="249" t="n">
        <f aca="false">IF(AF116&gt;0,AJ116/AF116,0)</f>
        <v>0</v>
      </c>
    </row>
    <row r="117" customFormat="false" ht="12.75" hidden="false" customHeight="false" outlineLevel="0" collapsed="false">
      <c r="A117" s="180" t="n">
        <v>34.8286530972672</v>
      </c>
      <c r="B117" s="240" t="n">
        <f aca="false">'Revenues &amp; Expenses'!AX125</f>
        <v>40118</v>
      </c>
      <c r="C117" s="180" t="n">
        <f aca="false">'PJM Curve Simulation'!J125</f>
        <v>29.2474990844727</v>
      </c>
      <c r="D117" s="180" t="n">
        <f aca="false">F117+G117</f>
        <v>48.6285669746892</v>
      </c>
      <c r="F117" s="180" t="n">
        <f aca="false">('Fuel Curve Simulation'!J125*'Revenues &amp; Expenses'!$S$2/1000)</f>
        <v>46.0237918965517</v>
      </c>
      <c r="G117" s="180" t="n">
        <f aca="false">'Revenues &amp; Expenses'!$AM$5*1000*'Revenues &amp; Expenses'!O125</f>
        <v>2.60477507813746</v>
      </c>
      <c r="H117" s="204" t="n">
        <f aca="false">H116+1</f>
        <v>108</v>
      </c>
      <c r="I117" s="204" t="n">
        <f aca="false">IF(C117&gt;D117,1,0)</f>
        <v>0</v>
      </c>
      <c r="J117" s="204" t="n">
        <v>315</v>
      </c>
      <c r="K117" s="212" t="n">
        <f aca="false">IF(I117&gt;0,J117*'Revenues &amp; Expenses'!F125*16,0)</f>
        <v>0</v>
      </c>
      <c r="L117" s="211" t="n">
        <f aca="false">K117*'Revenues &amp; Expenses'!N125</f>
        <v>0</v>
      </c>
      <c r="M117" s="212"/>
      <c r="N117" s="212"/>
      <c r="AC117" s="248" t="n">
        <f aca="false">B117</f>
        <v>40118</v>
      </c>
      <c r="AD117" s="10" t="n">
        <f aca="false">AD116+1</f>
        <v>108</v>
      </c>
      <c r="AE117" s="10" t="n">
        <f aca="false">C117*L117</f>
        <v>0</v>
      </c>
      <c r="AF117" s="10" t="n">
        <f aca="false">L117</f>
        <v>0</v>
      </c>
      <c r="AG117" s="205" t="n">
        <f aca="false">IF(AF117&gt;0,AE117/AF117,0)</f>
        <v>0</v>
      </c>
      <c r="AJ117" s="10" t="n">
        <f aca="false">D117*L117</f>
        <v>0</v>
      </c>
      <c r="AK117" s="249" t="n">
        <f aca="false">IF(AF117&gt;0,AJ117/AF117,0)</f>
        <v>0</v>
      </c>
    </row>
    <row r="118" customFormat="false" ht="12.75" hidden="false" customHeight="false" outlineLevel="0" collapsed="false">
      <c r="A118" s="180" t="n">
        <v>37.3848801390886</v>
      </c>
      <c r="B118" s="240" t="n">
        <f aca="false">'Revenues &amp; Expenses'!AX126</f>
        <v>40148</v>
      </c>
      <c r="C118" s="180" t="n">
        <f aca="false">'PJM Curve Simulation'!J126</f>
        <v>30.9999996185303</v>
      </c>
      <c r="D118" s="180" t="n">
        <f aca="false">F118+G118</f>
        <v>49.0439412464597</v>
      </c>
      <c r="F118" s="180" t="n">
        <f aca="false">('Fuel Curve Simulation'!J126*'Revenues &amp; Expenses'!$S$2/1000)</f>
        <v>46.4333767241379</v>
      </c>
      <c r="G118" s="180" t="n">
        <f aca="false">'Revenues &amp; Expenses'!$AM$5*1000*'Revenues &amp; Expenses'!O126</f>
        <v>2.61056452232179</v>
      </c>
      <c r="H118" s="204" t="n">
        <f aca="false">H117+1</f>
        <v>109</v>
      </c>
      <c r="I118" s="204" t="n">
        <f aca="false">IF(C118&gt;D118,1,0)</f>
        <v>0</v>
      </c>
      <c r="J118" s="204" t="n">
        <v>315</v>
      </c>
      <c r="K118" s="212" t="n">
        <f aca="false">IF(I118&gt;0,J118*'Revenues &amp; Expenses'!F126*16,0)</f>
        <v>0</v>
      </c>
      <c r="L118" s="211" t="n">
        <f aca="false">K118*'Revenues &amp; Expenses'!N126</f>
        <v>0</v>
      </c>
      <c r="M118" s="212" t="n">
        <f aca="false">SUM(L107:L118)</f>
        <v>166958.414539396</v>
      </c>
      <c r="N118" s="212" t="n">
        <f aca="false">SUM(K107:K118)</f>
        <v>332640</v>
      </c>
      <c r="AC118" s="248" t="n">
        <f aca="false">B118</f>
        <v>40148</v>
      </c>
      <c r="AD118" s="10" t="n">
        <f aca="false">AD117+1</f>
        <v>109</v>
      </c>
      <c r="AE118" s="10" t="n">
        <f aca="false">C118*L118</f>
        <v>0</v>
      </c>
      <c r="AF118" s="10" t="n">
        <f aca="false">L118</f>
        <v>0</v>
      </c>
      <c r="AG118" s="205" t="n">
        <f aca="false">IF(AF118&gt;0,AE118/AF118,0)</f>
        <v>0</v>
      </c>
      <c r="AH118" s="205" t="n">
        <f aca="false">IF(SUM(AF107:AF118)=0,0,SUM(AE107:AE118)/SUM(AF107:AF118))</f>
        <v>86.2358338654912</v>
      </c>
      <c r="AJ118" s="10" t="n">
        <f aca="false">D118*L118</f>
        <v>0</v>
      </c>
      <c r="AK118" s="249" t="n">
        <f aca="false">IF(AF118&gt;0,AJ118/AF118,0)</f>
        <v>0</v>
      </c>
      <c r="AL118" s="249" t="n">
        <f aca="false">IF(SUM(AF107:AF118)=0,0,SUM(AJ107:AJ118)/SUM(AF107:AF118))</f>
        <v>45.5957938730669</v>
      </c>
    </row>
    <row r="119" customFormat="false" ht="12.75" hidden="false" customHeight="false" outlineLevel="0" collapsed="false">
      <c r="A119" s="180" t="n">
        <v>48.8341199940646</v>
      </c>
      <c r="B119" s="240" t="n">
        <f aca="false">'Revenues &amp; Expenses'!AX127</f>
        <v>40179</v>
      </c>
      <c r="C119" s="180" t="n">
        <f aca="false">'PJM Curve Simulation'!J127</f>
        <v>39.8249984741211</v>
      </c>
      <c r="D119" s="180" t="n">
        <f aca="false">F119+G119</f>
        <v>48.5014283860069</v>
      </c>
      <c r="F119" s="180" t="n">
        <f aca="false">('Fuel Curve Simulation'!J127*'Revenues &amp; Expenses'!$S$2/1000)</f>
        <v>45.8850615517242</v>
      </c>
      <c r="G119" s="180" t="n">
        <f aca="false">'Revenues &amp; Expenses'!$AM$5*1000*'Revenues &amp; Expenses'!O127</f>
        <v>2.61636683428278</v>
      </c>
      <c r="H119" s="204" t="n">
        <f aca="false">H118+1</f>
        <v>110</v>
      </c>
      <c r="I119" s="204" t="n">
        <f aca="false">IF(C119&gt;D119,1,0)</f>
        <v>0</v>
      </c>
      <c r="J119" s="204" t="n">
        <v>315</v>
      </c>
      <c r="K119" s="212" t="n">
        <f aca="false">IF(I119&gt;0,J119*'Revenues &amp; Expenses'!F127*16,0)</f>
        <v>0</v>
      </c>
      <c r="L119" s="211" t="n">
        <f aca="false">K119*'Revenues &amp; Expenses'!N127</f>
        <v>0</v>
      </c>
      <c r="M119" s="212"/>
      <c r="N119" s="212"/>
      <c r="AC119" s="248" t="n">
        <f aca="false">B119</f>
        <v>40179</v>
      </c>
      <c r="AD119" s="10" t="n">
        <f aca="false">AD118+1</f>
        <v>110</v>
      </c>
      <c r="AE119" s="10" t="n">
        <f aca="false">C119*L119</f>
        <v>0</v>
      </c>
      <c r="AF119" s="10" t="n">
        <f aca="false">L119</f>
        <v>0</v>
      </c>
      <c r="AG119" s="205" t="n">
        <f aca="false">IF(AF119&gt;0,AE119/AF119,0)</f>
        <v>0</v>
      </c>
      <c r="AJ119" s="10" t="n">
        <f aca="false">D119*L119</f>
        <v>0</v>
      </c>
      <c r="AK119" s="249" t="n">
        <f aca="false">IF(AF119&gt;0,AJ119/AF119,0)</f>
        <v>0</v>
      </c>
    </row>
    <row r="120" customFormat="false" ht="12.75" hidden="false" customHeight="false" outlineLevel="0" collapsed="false">
      <c r="A120" s="180" t="n">
        <v>48.8341199940646</v>
      </c>
      <c r="B120" s="240" t="n">
        <f aca="false">'Revenues &amp; Expenses'!AX128</f>
        <v>40210</v>
      </c>
      <c r="C120" s="180" t="n">
        <f aca="false">'PJM Curve Simulation'!J128</f>
        <v>39.8249984741211</v>
      </c>
      <c r="D120" s="180" t="n">
        <f aca="false">F120+G120</f>
        <v>47.5576013529655</v>
      </c>
      <c r="F120" s="180" t="n">
        <f aca="false">('Fuel Curve Simulation'!J128*'Revenues &amp; Expenses'!$S$2/1000)</f>
        <v>44.9354193103448</v>
      </c>
      <c r="G120" s="180" t="n">
        <f aca="false">'Revenues &amp; Expenses'!$AM$5*1000*'Revenues &amp; Expenses'!O128</f>
        <v>2.62218204262071</v>
      </c>
      <c r="H120" s="204" t="n">
        <f aca="false">H119+1</f>
        <v>111</v>
      </c>
      <c r="I120" s="204" t="n">
        <f aca="false">IF(C120&gt;D120,1,0)</f>
        <v>0</v>
      </c>
      <c r="J120" s="204" t="n">
        <v>315</v>
      </c>
      <c r="K120" s="212" t="n">
        <f aca="false">IF(I120&gt;0,J120*'Revenues &amp; Expenses'!F128*16,0)</f>
        <v>0</v>
      </c>
      <c r="L120" s="211" t="n">
        <f aca="false">K120*'Revenues &amp; Expenses'!N128</f>
        <v>0</v>
      </c>
      <c r="M120" s="212"/>
      <c r="N120" s="212"/>
      <c r="AC120" s="248" t="n">
        <f aca="false">B120</f>
        <v>40210</v>
      </c>
      <c r="AD120" s="10" t="n">
        <f aca="false">AD119+1</f>
        <v>111</v>
      </c>
      <c r="AE120" s="10" t="n">
        <f aca="false">C120*L120</f>
        <v>0</v>
      </c>
      <c r="AF120" s="10" t="n">
        <f aca="false">L120</f>
        <v>0</v>
      </c>
      <c r="AG120" s="205" t="n">
        <f aca="false">IF(AF120&gt;0,AE120/AF120,0)</f>
        <v>0</v>
      </c>
      <c r="AJ120" s="10" t="n">
        <f aca="false">D120*L120</f>
        <v>0</v>
      </c>
      <c r="AK120" s="249" t="n">
        <f aca="false">IF(AF120&gt;0,AJ120/AF120,0)</f>
        <v>0</v>
      </c>
    </row>
    <row r="121" customFormat="false" ht="12.75" hidden="false" customHeight="false" outlineLevel="0" collapsed="false">
      <c r="A121" s="180" t="n">
        <v>35.939449677906</v>
      </c>
      <c r="B121" s="240" t="n">
        <f aca="false">'Revenues &amp; Expenses'!AX129</f>
        <v>40238</v>
      </c>
      <c r="C121" s="180" t="n">
        <f aca="false">'PJM Curve Simulation'!J129</f>
        <v>29.5500007629395</v>
      </c>
      <c r="D121" s="180" t="n">
        <f aca="false">F121+G121</f>
        <v>46.6336058656546</v>
      </c>
      <c r="F121" s="180" t="n">
        <f aca="false">('Fuel Curve Simulation'!J129*'Revenues &amp; Expenses'!$S$2/1000)</f>
        <v>44.0055956896552</v>
      </c>
      <c r="G121" s="180" t="n">
        <f aca="false">'Revenues &amp; Expenses'!$AM$5*1000*'Revenues &amp; Expenses'!O129</f>
        <v>2.62801017599941</v>
      </c>
      <c r="H121" s="204" t="n">
        <f aca="false">H120+1</f>
        <v>112</v>
      </c>
      <c r="I121" s="204" t="n">
        <f aca="false">IF(C121&gt;D121,1,0)</f>
        <v>0</v>
      </c>
      <c r="J121" s="204" t="n">
        <v>315</v>
      </c>
      <c r="K121" s="212" t="n">
        <f aca="false">IF(I121&gt;0,J121*'Revenues &amp; Expenses'!F129*16,0)</f>
        <v>0</v>
      </c>
      <c r="L121" s="211" t="n">
        <f aca="false">K121*'Revenues &amp; Expenses'!N129</f>
        <v>0</v>
      </c>
      <c r="M121" s="212"/>
      <c r="N121" s="212"/>
      <c r="AC121" s="248" t="n">
        <f aca="false">B121</f>
        <v>40238</v>
      </c>
      <c r="AD121" s="10" t="n">
        <f aca="false">AD120+1</f>
        <v>112</v>
      </c>
      <c r="AE121" s="10" t="n">
        <f aca="false">C121*L121</f>
        <v>0</v>
      </c>
      <c r="AF121" s="10" t="n">
        <f aca="false">L121</f>
        <v>0</v>
      </c>
      <c r="AG121" s="205" t="n">
        <f aca="false">IF(AF121&gt;0,AE121/AF121,0)</f>
        <v>0</v>
      </c>
      <c r="AJ121" s="10" t="n">
        <f aca="false">D121*L121</f>
        <v>0</v>
      </c>
      <c r="AK121" s="249" t="n">
        <f aca="false">IF(AF121&gt;0,AJ121/AF121,0)</f>
        <v>0</v>
      </c>
    </row>
    <row r="122" customFormat="false" ht="12.75" hidden="false" customHeight="false" outlineLevel="0" collapsed="false">
      <c r="A122" s="180" t="n">
        <v>33.2651750313376</v>
      </c>
      <c r="B122" s="240" t="n">
        <f aca="false">'Revenues &amp; Expenses'!AX130</f>
        <v>40269</v>
      </c>
      <c r="C122" s="180" t="n">
        <f aca="false">'PJM Curve Simulation'!J130</f>
        <v>29.3250007629395</v>
      </c>
      <c r="D122" s="180" t="n">
        <f aca="false">F122+G122</f>
        <v>45.6815469528016</v>
      </c>
      <c r="F122" s="180" t="n">
        <f aca="false">('Fuel Curve Simulation'!J130*'Revenues &amp; Expenses'!$S$2/1000)</f>
        <v>43.0476956896552</v>
      </c>
      <c r="G122" s="180" t="n">
        <f aca="false">'Revenues &amp; Expenses'!$AM$5*1000*'Revenues &amp; Expenses'!O130</f>
        <v>2.63385126314643</v>
      </c>
      <c r="H122" s="204" t="n">
        <f aca="false">H121+1</f>
        <v>113</v>
      </c>
      <c r="I122" s="204" t="n">
        <f aca="false">IF(C122&gt;D122,1,0)</f>
        <v>0</v>
      </c>
      <c r="J122" s="204" t="n">
        <v>315</v>
      </c>
      <c r="K122" s="212" t="n">
        <f aca="false">IF(I122&gt;0,J122*'Revenues &amp; Expenses'!F130*16,0)</f>
        <v>0</v>
      </c>
      <c r="L122" s="211" t="n">
        <f aca="false">K122*'Revenues &amp; Expenses'!N130</f>
        <v>0</v>
      </c>
      <c r="M122" s="212"/>
      <c r="N122" s="212"/>
      <c r="AC122" s="248" t="n">
        <f aca="false">B122</f>
        <v>40269</v>
      </c>
      <c r="AD122" s="10" t="n">
        <f aca="false">AD121+1</f>
        <v>113</v>
      </c>
      <c r="AE122" s="10" t="n">
        <f aca="false">C122*L122</f>
        <v>0</v>
      </c>
      <c r="AF122" s="10" t="n">
        <f aca="false">L122</f>
        <v>0</v>
      </c>
      <c r="AG122" s="205" t="n">
        <f aca="false">IF(AF122&gt;0,AE122/AF122,0)</f>
        <v>0</v>
      </c>
      <c r="AJ122" s="10" t="n">
        <f aca="false">D122*L122</f>
        <v>0</v>
      </c>
      <c r="AK122" s="249" t="n">
        <f aca="false">IF(AF122&gt;0,AJ122/AF122,0)</f>
        <v>0</v>
      </c>
    </row>
    <row r="123" customFormat="false" ht="12.75" hidden="false" customHeight="false" outlineLevel="0" collapsed="false">
      <c r="A123" s="180" t="n">
        <v>40.9755412827147</v>
      </c>
      <c r="B123" s="240" t="n">
        <f aca="false">'Revenues &amp; Expenses'!AX131</f>
        <v>40299</v>
      </c>
      <c r="C123" s="180" t="n">
        <f aca="false">'PJM Curve Simulation'!J131</f>
        <v>37.325</v>
      </c>
      <c r="D123" s="180" t="n">
        <f aca="false">F123+G123</f>
        <v>45.0432958500946</v>
      </c>
      <c r="F123" s="180" t="n">
        <f aca="false">('Fuel Curve Simulation'!J131*'Revenues &amp; Expenses'!$S$2/1000)</f>
        <v>42.4035905172414</v>
      </c>
      <c r="G123" s="180" t="n">
        <f aca="false">'Revenues &amp; Expenses'!$AM$5*1000*'Revenues &amp; Expenses'!O131</f>
        <v>2.63970533285318</v>
      </c>
      <c r="H123" s="204" t="n">
        <f aca="false">H122+1</f>
        <v>114</v>
      </c>
      <c r="I123" s="204" t="n">
        <f aca="false">IF(C123&gt;D123,1,0)</f>
        <v>0</v>
      </c>
      <c r="J123" s="204" t="n">
        <v>315</v>
      </c>
      <c r="K123" s="212" t="n">
        <f aca="false">IF(I123&gt;0,J123*'Revenues &amp; Expenses'!F131*16,0)</f>
        <v>0</v>
      </c>
      <c r="L123" s="211" t="n">
        <f aca="false">K123*'Revenues &amp; Expenses'!N131</f>
        <v>0</v>
      </c>
      <c r="M123" s="212"/>
      <c r="N123" s="212"/>
      <c r="AC123" s="248" t="n">
        <f aca="false">B123</f>
        <v>40299</v>
      </c>
      <c r="AD123" s="10" t="n">
        <f aca="false">AD122+1</f>
        <v>114</v>
      </c>
      <c r="AE123" s="10" t="n">
        <f aca="false">C123*L123</f>
        <v>0</v>
      </c>
      <c r="AF123" s="10" t="n">
        <f aca="false">L123</f>
        <v>0</v>
      </c>
      <c r="AG123" s="205" t="n">
        <f aca="false">IF(AF123&gt;0,AE123/AF123,0)</f>
        <v>0</v>
      </c>
      <c r="AJ123" s="10" t="n">
        <f aca="false">D123*L123</f>
        <v>0</v>
      </c>
      <c r="AK123" s="249" t="n">
        <f aca="false">IF(AF123&gt;0,AJ123/AF123,0)</f>
        <v>0</v>
      </c>
    </row>
    <row r="124" customFormat="false" ht="12.75" hidden="false" customHeight="false" outlineLevel="0" collapsed="false">
      <c r="A124" s="180" t="n">
        <v>76.9381669716982</v>
      </c>
      <c r="B124" s="240" t="n">
        <f aca="false">'Revenues &amp; Expenses'!AX132</f>
        <v>40330</v>
      </c>
      <c r="C124" s="180" t="n">
        <f aca="false">'PJM Curve Simulation'!J132</f>
        <v>62.3499984741211</v>
      </c>
      <c r="D124" s="180" t="n">
        <f aca="false">F124+G124</f>
        <v>44.9864039656992</v>
      </c>
      <c r="F124" s="180" t="n">
        <f aca="false">('Fuel Curve Simulation'!J132*'Revenues &amp; Expenses'!$S$2/1000)</f>
        <v>42.3408315517242</v>
      </c>
      <c r="G124" s="180" t="n">
        <f aca="false">'Revenues &amp; Expenses'!$AM$5*1000*'Revenues &amp; Expenses'!O132</f>
        <v>2.64557241397504</v>
      </c>
      <c r="H124" s="204" t="n">
        <f aca="false">H123+1</f>
        <v>115</v>
      </c>
      <c r="I124" s="204" t="n">
        <f aca="false">IF(C124&gt;D124,1,0)</f>
        <v>1</v>
      </c>
      <c r="J124" s="204" t="n">
        <v>315</v>
      </c>
      <c r="K124" s="212" t="n">
        <f aca="false">IF(I124&gt;0,J124*'Revenues &amp; Expenses'!F132*16,0)</f>
        <v>100800</v>
      </c>
      <c r="L124" s="211" t="n">
        <f aca="false">K124*'Revenues &amp; Expenses'!N132</f>
        <v>47280.197989337</v>
      </c>
      <c r="M124" s="212"/>
      <c r="N124" s="212"/>
      <c r="AC124" s="248" t="n">
        <f aca="false">B124</f>
        <v>40330</v>
      </c>
      <c r="AD124" s="10" t="n">
        <f aca="false">AD123+1</f>
        <v>115</v>
      </c>
      <c r="AE124" s="10" t="n">
        <f aca="false">C124*L124</f>
        <v>2947920.2724913</v>
      </c>
      <c r="AF124" s="10" t="n">
        <f aca="false">L124</f>
        <v>47280.197989337</v>
      </c>
      <c r="AG124" s="205" t="n">
        <f aca="false">IF(AF124&gt;0,AE124/AF124,0)</f>
        <v>62.3499984741211</v>
      </c>
      <c r="AJ124" s="10" t="n">
        <f aca="false">D124*L124</f>
        <v>2126966.08632655</v>
      </c>
      <c r="AK124" s="249" t="n">
        <f aca="false">IF(AF124&gt;0,AJ124/AF124,0)</f>
        <v>44.9864039656992</v>
      </c>
    </row>
    <row r="125" customFormat="false" ht="12.75" hidden="false" customHeight="false" outlineLevel="0" collapsed="false">
      <c r="A125" s="180" t="n">
        <v>140.432379402225</v>
      </c>
      <c r="B125" s="240" t="n">
        <f aca="false">'Revenues &amp; Expenses'!AX133</f>
        <v>40360</v>
      </c>
      <c r="C125" s="180" t="n">
        <f aca="false">'PJM Curve Simulation'!J133</f>
        <v>106.949996948242</v>
      </c>
      <c r="D125" s="180" t="n">
        <f aca="false">F125+G125</f>
        <v>45.5405992595695</v>
      </c>
      <c r="F125" s="180" t="n">
        <f aca="false">('Fuel Curve Simulation'!J133*'Revenues &amp; Expenses'!$S$2/1000)</f>
        <v>42.8891467241379</v>
      </c>
      <c r="G125" s="180" t="n">
        <f aca="false">'Revenues &amp; Expenses'!$AM$5*1000*'Revenues &amp; Expenses'!O133</f>
        <v>2.65145253543154</v>
      </c>
      <c r="H125" s="204" t="n">
        <f aca="false">H124+1</f>
        <v>116</v>
      </c>
      <c r="I125" s="204" t="n">
        <f aca="false">IF(C125&gt;D125,1,0)</f>
        <v>1</v>
      </c>
      <c r="J125" s="204" t="n">
        <v>315</v>
      </c>
      <c r="K125" s="212" t="n">
        <f aca="false">IF(I125&gt;0,J125*'Revenues &amp; Expenses'!F133*16,0)</f>
        <v>115920</v>
      </c>
      <c r="L125" s="211" t="n">
        <f aca="false">K125*'Revenues &amp; Expenses'!N133</f>
        <v>54049.6760001174</v>
      </c>
      <c r="M125" s="212"/>
      <c r="N125" s="212"/>
      <c r="AC125" s="248" t="n">
        <f aca="false">B125</f>
        <v>40360</v>
      </c>
      <c r="AD125" s="10" t="n">
        <f aca="false">AD124+1</f>
        <v>116</v>
      </c>
      <c r="AE125" s="10" t="n">
        <f aca="false">C125*L125</f>
        <v>5780612.68326604</v>
      </c>
      <c r="AF125" s="10" t="n">
        <f aca="false">L125</f>
        <v>54049.6760001174</v>
      </c>
      <c r="AG125" s="205" t="n">
        <f aca="false">IF(AF125&gt;0,AE125/AF125,0)</f>
        <v>106.949996948242</v>
      </c>
      <c r="AJ125" s="10" t="n">
        <f aca="false">D125*L125</f>
        <v>2461454.63483092</v>
      </c>
      <c r="AK125" s="249" t="n">
        <f aca="false">IF(AF125&gt;0,AJ125/AF125,0)</f>
        <v>45.5405992595695</v>
      </c>
    </row>
    <row r="126" customFormat="false" ht="12.75" hidden="false" customHeight="false" outlineLevel="0" collapsed="false">
      <c r="A126" s="180" t="n">
        <v>115.308579021374</v>
      </c>
      <c r="B126" s="240" t="n">
        <f aca="false">'Revenues &amp; Expenses'!AX134</f>
        <v>40391</v>
      </c>
      <c r="C126" s="180" t="n">
        <f aca="false">'PJM Curve Simulation'!J134</f>
        <v>93.9499969482422</v>
      </c>
      <c r="D126" s="180" t="n">
        <f aca="false">F126+G126</f>
        <v>46.4135571055168</v>
      </c>
      <c r="F126" s="180" t="n">
        <f aca="false">('Fuel Curve Simulation'!J134*'Revenues &amp; Expenses'!$S$2/1000)</f>
        <v>43.7562113793104</v>
      </c>
      <c r="G126" s="180" t="n">
        <f aca="false">'Revenues &amp; Expenses'!$AM$5*1000*'Revenues &amp; Expenses'!O134</f>
        <v>2.65734572620648</v>
      </c>
      <c r="H126" s="204" t="n">
        <f aca="false">H125+1</f>
        <v>117</v>
      </c>
      <c r="I126" s="204" t="n">
        <f aca="false">IF(C126&gt;D126,1,0)</f>
        <v>1</v>
      </c>
      <c r="J126" s="204" t="n">
        <v>315</v>
      </c>
      <c r="K126" s="212" t="n">
        <f aca="false">IF(I126&gt;0,J126*'Revenues &amp; Expenses'!F134*16,0)</f>
        <v>110880</v>
      </c>
      <c r="L126" s="211" t="n">
        <f aca="false">K126*'Revenues &amp; Expenses'!N134</f>
        <v>51382.843617501</v>
      </c>
      <c r="M126" s="212"/>
      <c r="N126" s="212"/>
      <c r="AC126" s="248" t="n">
        <f aca="false">B126</f>
        <v>40391</v>
      </c>
      <c r="AD126" s="10" t="n">
        <f aca="false">AD125+1</f>
        <v>117</v>
      </c>
      <c r="AE126" s="10" t="n">
        <f aca="false">C126*L126</f>
        <v>4827418.00105623</v>
      </c>
      <c r="AF126" s="10" t="n">
        <f aca="false">L126</f>
        <v>51382.843617501</v>
      </c>
      <c r="AG126" s="205" t="n">
        <f aca="false">IF(AF126&gt;0,AE126/AF126,0)</f>
        <v>93.9499969482422</v>
      </c>
      <c r="AJ126" s="10" t="n">
        <f aca="false">D126*L126</f>
        <v>2384860.54648473</v>
      </c>
      <c r="AK126" s="249" t="n">
        <f aca="false">IF(AF126&gt;0,AJ126/AF126,0)</f>
        <v>46.4135571055168</v>
      </c>
    </row>
    <row r="127" customFormat="false" ht="12.75" hidden="false" customHeight="false" outlineLevel="0" collapsed="false">
      <c r="A127" s="180" t="n">
        <v>42.0735310959755</v>
      </c>
      <c r="B127" s="240" t="n">
        <f aca="false">'Revenues &amp; Expenses'!AX135</f>
        <v>40422</v>
      </c>
      <c r="C127" s="180" t="n">
        <f aca="false">'PJM Curve Simulation'!J135</f>
        <v>36.4249984741211</v>
      </c>
      <c r="D127" s="180" t="n">
        <f aca="false">F127+G127</f>
        <v>47.3278168429343</v>
      </c>
      <c r="F127" s="180" t="n">
        <f aca="false">('Fuel Curve Simulation'!J135*'Revenues &amp; Expenses'!$S$2/1000)</f>
        <v>44.6645648275862</v>
      </c>
      <c r="G127" s="180" t="n">
        <f aca="false">'Revenues &amp; Expenses'!$AM$5*1000*'Revenues &amp; Expenses'!O135</f>
        <v>2.66325201534809</v>
      </c>
      <c r="H127" s="204" t="n">
        <f aca="false">H126+1</f>
        <v>118</v>
      </c>
      <c r="I127" s="204" t="n">
        <f aca="false">IF(C127&gt;D127,1,0)</f>
        <v>0</v>
      </c>
      <c r="J127" s="204" t="n">
        <v>315</v>
      </c>
      <c r="K127" s="212" t="n">
        <f aca="false">IF(I127&gt;0,J127*'Revenues &amp; Expenses'!F135*16,0)</f>
        <v>0</v>
      </c>
      <c r="L127" s="211" t="n">
        <f aca="false">K127*'Revenues &amp; Expenses'!N135</f>
        <v>0</v>
      </c>
      <c r="M127" s="212"/>
      <c r="N127" s="212"/>
      <c r="AC127" s="248" t="n">
        <f aca="false">B127</f>
        <v>40422</v>
      </c>
      <c r="AD127" s="10" t="n">
        <f aca="false">AD126+1</f>
        <v>118</v>
      </c>
      <c r="AE127" s="10" t="n">
        <f aca="false">C127*L127</f>
        <v>0</v>
      </c>
      <c r="AF127" s="10" t="n">
        <f aca="false">L127</f>
        <v>0</v>
      </c>
      <c r="AG127" s="205" t="n">
        <f aca="false">IF(AF127&gt;0,AE127/AF127,0)</f>
        <v>0</v>
      </c>
      <c r="AJ127" s="10" t="n">
        <f aca="false">D127*L127</f>
        <v>0</v>
      </c>
      <c r="AK127" s="249" t="n">
        <f aca="false">IF(AF127&gt;0,AJ127/AF127,0)</f>
        <v>0</v>
      </c>
    </row>
    <row r="128" customFormat="false" ht="12.75" hidden="false" customHeight="false" outlineLevel="0" collapsed="false">
      <c r="A128" s="180" t="n">
        <v>35.329854823122</v>
      </c>
      <c r="B128" s="240" t="n">
        <f aca="false">'Revenues &amp; Expenses'!AX136</f>
        <v>40452</v>
      </c>
      <c r="C128" s="180" t="n">
        <f aca="false">'PJM Curve Simulation'!J136</f>
        <v>30.0750003814697</v>
      </c>
      <c r="D128" s="180" t="n">
        <f aca="false">F128+G128</f>
        <v>48.2206195354174</v>
      </c>
      <c r="F128" s="180" t="n">
        <f aca="false">('Fuel Curve Simulation'!J136*'Revenues &amp; Expenses'!$S$2/1000)</f>
        <v>45.5514481034483</v>
      </c>
      <c r="G128" s="180" t="n">
        <f aca="false">'Revenues &amp; Expenses'!$AM$5*1000*'Revenues &amp; Expenses'!O136</f>
        <v>2.66917143196916</v>
      </c>
      <c r="H128" s="204" t="n">
        <f aca="false">H127+1</f>
        <v>119</v>
      </c>
      <c r="I128" s="204" t="n">
        <f aca="false">IF(C128&gt;D128,1,0)</f>
        <v>0</v>
      </c>
      <c r="J128" s="204" t="n">
        <v>315</v>
      </c>
      <c r="K128" s="212" t="n">
        <f aca="false">IF(I128&gt;0,J128*'Revenues &amp; Expenses'!F136*16,0)</f>
        <v>0</v>
      </c>
      <c r="L128" s="211" t="n">
        <f aca="false">K128*'Revenues &amp; Expenses'!N136</f>
        <v>0</v>
      </c>
      <c r="M128" s="212"/>
      <c r="N128" s="212"/>
      <c r="AC128" s="248" t="n">
        <f aca="false">B128</f>
        <v>40452</v>
      </c>
      <c r="AD128" s="10" t="n">
        <f aca="false">AD127+1</f>
        <v>119</v>
      </c>
      <c r="AE128" s="10" t="n">
        <f aca="false">C128*L128</f>
        <v>0</v>
      </c>
      <c r="AF128" s="10" t="n">
        <f aca="false">L128</f>
        <v>0</v>
      </c>
      <c r="AG128" s="205" t="n">
        <f aca="false">IF(AF128&gt;0,AE128/AF128,0)</f>
        <v>0</v>
      </c>
      <c r="AJ128" s="10" t="n">
        <f aca="false">D128*L128</f>
        <v>0</v>
      </c>
      <c r="AK128" s="249" t="n">
        <f aca="false">IF(AF128&gt;0,AJ128/AF128,0)</f>
        <v>0</v>
      </c>
    </row>
    <row r="129" customFormat="false" ht="12.75" hidden="false" customHeight="false" outlineLevel="0" collapsed="false">
      <c r="A129" s="180" t="n">
        <v>35.4240655972672</v>
      </c>
      <c r="B129" s="240" t="n">
        <f aca="false">'Revenues &amp; Expenses'!AX137</f>
        <v>40483</v>
      </c>
      <c r="C129" s="180" t="n">
        <f aca="false">'PJM Curve Simulation'!J137</f>
        <v>29.7474990844727</v>
      </c>
      <c r="D129" s="180" t="n">
        <f aca="false">F129+G129</f>
        <v>48.6988959017989</v>
      </c>
      <c r="F129" s="180" t="n">
        <f aca="false">('Fuel Curve Simulation'!J137*'Revenues &amp; Expenses'!$S$2/1000)</f>
        <v>46.0237918965517</v>
      </c>
      <c r="G129" s="180" t="n">
        <f aca="false">'Revenues &amp; Expenses'!$AM$5*1000*'Revenues &amp; Expenses'!O137</f>
        <v>2.67510400524717</v>
      </c>
      <c r="H129" s="204" t="n">
        <f aca="false">H128+1</f>
        <v>120</v>
      </c>
      <c r="I129" s="204" t="n">
        <f aca="false">IF(C129&gt;D129,1,0)</f>
        <v>0</v>
      </c>
      <c r="J129" s="204" t="n">
        <v>315</v>
      </c>
      <c r="K129" s="212" t="n">
        <f aca="false">IF(I129&gt;0,J129*'Revenues &amp; Expenses'!F137*16,0)</f>
        <v>0</v>
      </c>
      <c r="L129" s="211" t="n">
        <f aca="false">K129*'Revenues &amp; Expenses'!N137</f>
        <v>0</v>
      </c>
      <c r="M129" s="212"/>
      <c r="N129" s="212"/>
      <c r="AC129" s="248" t="n">
        <f aca="false">B129</f>
        <v>40483</v>
      </c>
      <c r="AD129" s="10" t="n">
        <f aca="false">AD128+1</f>
        <v>120</v>
      </c>
      <c r="AE129" s="10" t="n">
        <f aca="false">C129*L129</f>
        <v>0</v>
      </c>
      <c r="AF129" s="10" t="n">
        <f aca="false">L129</f>
        <v>0</v>
      </c>
      <c r="AG129" s="205" t="n">
        <f aca="false">IF(AF129&gt;0,AE129/AF129,0)</f>
        <v>0</v>
      </c>
      <c r="AJ129" s="10" t="n">
        <f aca="false">D129*L129</f>
        <v>0</v>
      </c>
      <c r="AK129" s="249" t="n">
        <f aca="false">IF(AF129&gt;0,AJ129/AF129,0)</f>
        <v>0</v>
      </c>
    </row>
    <row r="130" customFormat="false" ht="12.75" hidden="false" customHeight="false" outlineLevel="0" collapsed="false">
      <c r="A130" s="180" t="n">
        <v>37.9878620842358</v>
      </c>
      <c r="B130" s="240" t="n">
        <f aca="false">'Revenues &amp; Expenses'!AX138</f>
        <v>40513</v>
      </c>
      <c r="C130" s="180" t="n">
        <f aca="false">'PJM Curve Simulation'!J138</f>
        <v>31.4999996185303</v>
      </c>
      <c r="D130" s="180" t="n">
        <f aca="false">F130+G130</f>
        <v>49.1144264885624</v>
      </c>
      <c r="F130" s="180" t="n">
        <f aca="false">('Fuel Curve Simulation'!J138*'Revenues &amp; Expenses'!$S$2/1000)</f>
        <v>46.4333767241379</v>
      </c>
      <c r="G130" s="180" t="n">
        <f aca="false">'Revenues &amp; Expenses'!$AM$5*1000*'Revenues &amp; Expenses'!O138</f>
        <v>2.68104976442448</v>
      </c>
      <c r="H130" s="204" t="n">
        <f aca="false">H129+1</f>
        <v>121</v>
      </c>
      <c r="I130" s="204" t="n">
        <f aca="false">IF(C130&gt;D130,1,0)</f>
        <v>0</v>
      </c>
      <c r="J130" s="204" t="n">
        <v>315</v>
      </c>
      <c r="K130" s="212" t="n">
        <f aca="false">IF(I130&gt;0,J130*'Revenues &amp; Expenses'!F138*16,0)</f>
        <v>0</v>
      </c>
      <c r="L130" s="211" t="n">
        <f aca="false">K130*'Revenues &amp; Expenses'!N138</f>
        <v>0</v>
      </c>
      <c r="M130" s="212" t="n">
        <f aca="false">SUM(L119:L130)</f>
        <v>152712.717606955</v>
      </c>
      <c r="N130" s="212" t="n">
        <f aca="false">SUM(K119:K130)</f>
        <v>327600</v>
      </c>
      <c r="AC130" s="248" t="n">
        <f aca="false">B130</f>
        <v>40513</v>
      </c>
      <c r="AD130" s="10" t="n">
        <f aca="false">AD129+1</f>
        <v>121</v>
      </c>
      <c r="AE130" s="10" t="n">
        <f aca="false">C130*L130</f>
        <v>0</v>
      </c>
      <c r="AF130" s="10" t="n">
        <f aca="false">L130</f>
        <v>0</v>
      </c>
      <c r="AG130" s="205" t="n">
        <f aca="false">IF(AF130&gt;0,AE130/AF130,0)</f>
        <v>0</v>
      </c>
      <c r="AH130" s="205" t="n">
        <f aca="false">IF(SUM(AF119:AF130)=0,0,SUM(AE119:AE130)/SUM(AF119:AF130))</f>
        <v>88.7676623744148</v>
      </c>
      <c r="AJ130" s="10" t="n">
        <f aca="false">D130*L130</f>
        <v>0</v>
      </c>
      <c r="AK130" s="249" t="n">
        <f aca="false">IF(AF130&gt;0,AJ130/AF130,0)</f>
        <v>0</v>
      </c>
      <c r="AL130" s="249" t="n">
        <f aca="false">IF(SUM(AF119:AF130)=0,0,SUM(AJ119:AJ130)/SUM(AF119:AF130))</f>
        <v>45.662740974787</v>
      </c>
    </row>
    <row r="131" customFormat="false" ht="12.75" hidden="false" customHeight="false" outlineLevel="0" collapsed="false">
      <c r="A131" s="180" t="n">
        <v>49.1406744313849</v>
      </c>
      <c r="B131" s="240" t="n">
        <f aca="false">'Revenues &amp; Expenses'!AX139</f>
        <v>40544</v>
      </c>
      <c r="C131" s="180" t="n">
        <f aca="false">'PJM Curve Simulation'!J139</f>
        <v>40.0749984741211</v>
      </c>
      <c r="D131" s="180" t="n">
        <f aca="false">F131+G131</f>
        <v>48.5720702905326</v>
      </c>
      <c r="F131" s="180" t="n">
        <f aca="false">('Fuel Curve Simulation'!J139*'Revenues &amp; Expenses'!$S$2/1000)</f>
        <v>45.8850615517242</v>
      </c>
      <c r="G131" s="180" t="n">
        <f aca="false">'Revenues &amp; Expenses'!$AM$5*1000*'Revenues &amp; Expenses'!O139</f>
        <v>2.68700873880842</v>
      </c>
      <c r="H131" s="204" t="n">
        <f aca="false">H130+1</f>
        <v>122</v>
      </c>
      <c r="I131" s="204" t="n">
        <f aca="false">IF(C131&gt;D131,1,0)</f>
        <v>0</v>
      </c>
      <c r="J131" s="204" t="n">
        <v>315</v>
      </c>
      <c r="K131" s="212" t="n">
        <f aca="false">IF(I131&gt;0,J131*'Revenues &amp; Expenses'!F139*16,0)</f>
        <v>0</v>
      </c>
      <c r="L131" s="211" t="n">
        <f aca="false">K131*'Revenues &amp; Expenses'!N139</f>
        <v>0</v>
      </c>
      <c r="M131" s="212"/>
      <c r="N131" s="212"/>
      <c r="AC131" s="248" t="n">
        <f aca="false">B131</f>
        <v>40544</v>
      </c>
      <c r="AD131" s="10" t="n">
        <f aca="false">AD130+1</f>
        <v>122</v>
      </c>
      <c r="AE131" s="10" t="n">
        <f aca="false">C131*L131</f>
        <v>0</v>
      </c>
      <c r="AF131" s="10" t="n">
        <f aca="false">L131</f>
        <v>0</v>
      </c>
      <c r="AG131" s="205" t="n">
        <f aca="false">IF(AF131&gt;0,AE131/AF131,0)</f>
        <v>0</v>
      </c>
      <c r="AJ131" s="10" t="n">
        <f aca="false">D131*L131</f>
        <v>0</v>
      </c>
      <c r="AK131" s="249" t="n">
        <f aca="false">IF(AF131&gt;0,AJ131/AF131,0)</f>
        <v>0</v>
      </c>
    </row>
    <row r="132" customFormat="false" ht="12.75" hidden="false" customHeight="false" outlineLevel="0" collapsed="false">
      <c r="A132" s="180" t="n">
        <v>49.1406744313849</v>
      </c>
      <c r="B132" s="240" t="n">
        <f aca="false">'Revenues &amp; Expenses'!AX140</f>
        <v>40575</v>
      </c>
      <c r="C132" s="180" t="n">
        <f aca="false">'PJM Curve Simulation'!J140</f>
        <v>40.0749984741211</v>
      </c>
      <c r="D132" s="180" t="n">
        <f aca="false">F132+G132</f>
        <v>47.6284002681163</v>
      </c>
      <c r="F132" s="180" t="n">
        <f aca="false">('Fuel Curve Simulation'!J140*'Revenues &amp; Expenses'!$S$2/1000)</f>
        <v>44.9354193103448</v>
      </c>
      <c r="G132" s="180" t="n">
        <f aca="false">'Revenues &amp; Expenses'!$AM$5*1000*'Revenues &amp; Expenses'!O140</f>
        <v>2.69298095777147</v>
      </c>
      <c r="H132" s="204" t="n">
        <f aca="false">H131+1</f>
        <v>123</v>
      </c>
      <c r="I132" s="204" t="n">
        <f aca="false">IF(C132&gt;D132,1,0)</f>
        <v>0</v>
      </c>
      <c r="J132" s="204" t="n">
        <v>315</v>
      </c>
      <c r="K132" s="212" t="n">
        <f aca="false">IF(I132&gt;0,J132*'Revenues &amp; Expenses'!F140*16,0)</f>
        <v>0</v>
      </c>
      <c r="L132" s="211" t="n">
        <f aca="false">K132*'Revenues &amp; Expenses'!N140</f>
        <v>0</v>
      </c>
      <c r="M132" s="212"/>
      <c r="N132" s="212"/>
      <c r="AC132" s="248" t="n">
        <f aca="false">B132</f>
        <v>40575</v>
      </c>
      <c r="AD132" s="10" t="n">
        <f aca="false">AD131+1</f>
        <v>123</v>
      </c>
      <c r="AE132" s="10" t="n">
        <f aca="false">C132*L132</f>
        <v>0</v>
      </c>
      <c r="AF132" s="10" t="n">
        <f aca="false">L132</f>
        <v>0</v>
      </c>
      <c r="AG132" s="205" t="n">
        <f aca="false">IF(AF132&gt;0,AE132/AF132,0)</f>
        <v>0</v>
      </c>
      <c r="AJ132" s="10" t="n">
        <f aca="false">D132*L132</f>
        <v>0</v>
      </c>
      <c r="AK132" s="249" t="n">
        <f aca="false">IF(AF132&gt;0,AJ132/AF132,0)</f>
        <v>0</v>
      </c>
    </row>
    <row r="133" customFormat="false" ht="12.75" hidden="false" customHeight="false" outlineLevel="0" collapsed="false">
      <c r="A133" s="180" t="n">
        <v>36.243505927906</v>
      </c>
      <c r="B133" s="240" t="n">
        <f aca="false">'Revenues &amp; Expenses'!AX141</f>
        <v>40603</v>
      </c>
      <c r="C133" s="180" t="n">
        <f aca="false">'PJM Curve Simulation'!J141</f>
        <v>29.8000007629395</v>
      </c>
      <c r="D133" s="180" t="n">
        <f aca="false">F133+G133</f>
        <v>46.7045621404066</v>
      </c>
      <c r="F133" s="180" t="n">
        <f aca="false">('Fuel Curve Simulation'!J141*'Revenues &amp; Expenses'!$S$2/1000)</f>
        <v>44.0055956896552</v>
      </c>
      <c r="G133" s="180" t="n">
        <f aca="false">'Revenues &amp; Expenses'!$AM$5*1000*'Revenues &amp; Expenses'!O141</f>
        <v>2.69896645075139</v>
      </c>
      <c r="H133" s="204" t="n">
        <f aca="false">H132+1</f>
        <v>124</v>
      </c>
      <c r="I133" s="204" t="n">
        <f aca="false">IF(C133&gt;D133,1,0)</f>
        <v>0</v>
      </c>
      <c r="J133" s="204" t="n">
        <v>315</v>
      </c>
      <c r="K133" s="212" t="n">
        <f aca="false">IF(I133&gt;0,J133*'Revenues &amp; Expenses'!F141*16,0)</f>
        <v>0</v>
      </c>
      <c r="L133" s="211" t="n">
        <f aca="false">K133*'Revenues &amp; Expenses'!N141</f>
        <v>0</v>
      </c>
      <c r="M133" s="212"/>
      <c r="N133" s="212"/>
      <c r="AC133" s="248" t="n">
        <f aca="false">B133</f>
        <v>40603</v>
      </c>
      <c r="AD133" s="10" t="n">
        <f aca="false">AD132+1</f>
        <v>124</v>
      </c>
      <c r="AE133" s="10" t="n">
        <f aca="false">C133*L133</f>
        <v>0</v>
      </c>
      <c r="AF133" s="10" t="n">
        <f aca="false">L133</f>
        <v>0</v>
      </c>
      <c r="AG133" s="205" t="n">
        <f aca="false">IF(AF133&gt;0,AE133/AF133,0)</f>
        <v>0</v>
      </c>
      <c r="AJ133" s="10" t="n">
        <f aca="false">D133*L133</f>
        <v>0</v>
      </c>
      <c r="AK133" s="249" t="n">
        <f aca="false">IF(AF133&gt;0,AJ133/AF133,0)</f>
        <v>0</v>
      </c>
    </row>
    <row r="134" customFormat="false" ht="12.75" hidden="false" customHeight="false" outlineLevel="0" collapsed="false">
      <c r="A134" s="180" t="n">
        <v>33.5487656039369</v>
      </c>
      <c r="B134" s="240" t="n">
        <f aca="false">'Revenues &amp; Expenses'!AX142</f>
        <v>40634</v>
      </c>
      <c r="C134" s="180" t="n">
        <f aca="false">'PJM Curve Simulation'!J142</f>
        <v>29.5750007629395</v>
      </c>
      <c r="D134" s="180" t="n">
        <f aca="false">F134+G134</f>
        <v>45.7526609369066</v>
      </c>
      <c r="F134" s="180" t="n">
        <f aca="false">('Fuel Curve Simulation'!J142*'Revenues &amp; Expenses'!$S$2/1000)</f>
        <v>43.0476956896552</v>
      </c>
      <c r="G134" s="180" t="n">
        <f aca="false">'Revenues &amp; Expenses'!$AM$5*1000*'Revenues &amp; Expenses'!O142</f>
        <v>2.70496524725139</v>
      </c>
      <c r="H134" s="204" t="n">
        <f aca="false">H133+1</f>
        <v>125</v>
      </c>
      <c r="I134" s="204" t="n">
        <f aca="false">IF(C134&gt;D134,1,0)</f>
        <v>0</v>
      </c>
      <c r="J134" s="204" t="n">
        <v>315</v>
      </c>
      <c r="K134" s="212" t="n">
        <f aca="false">IF(I134&gt;0,J134*'Revenues &amp; Expenses'!F142*16,0)</f>
        <v>0</v>
      </c>
      <c r="L134" s="211" t="n">
        <f aca="false">K134*'Revenues &amp; Expenses'!N142</f>
        <v>0</v>
      </c>
      <c r="M134" s="212"/>
      <c r="N134" s="212"/>
      <c r="AC134" s="248" t="n">
        <f aca="false">B134</f>
        <v>40634</v>
      </c>
      <c r="AD134" s="10" t="n">
        <f aca="false">AD133+1</f>
        <v>125</v>
      </c>
      <c r="AE134" s="10" t="n">
        <f aca="false">C134*L134</f>
        <v>0</v>
      </c>
      <c r="AF134" s="10" t="n">
        <f aca="false">L134</f>
        <v>0</v>
      </c>
      <c r="AG134" s="205" t="n">
        <f aca="false">IF(AF134&gt;0,AE134/AF134,0)</f>
        <v>0</v>
      </c>
      <c r="AJ134" s="10" t="n">
        <f aca="false">D134*L134</f>
        <v>0</v>
      </c>
      <c r="AK134" s="249" t="n">
        <f aca="false">IF(AF134&gt;0,AJ134/AF134,0)</f>
        <v>0</v>
      </c>
    </row>
    <row r="135" customFormat="false" ht="12.75" hidden="false" customHeight="false" outlineLevel="0" collapsed="false">
      <c r="A135" s="180" t="n">
        <v>41.2499923294844</v>
      </c>
      <c r="B135" s="240" t="n">
        <f aca="false">'Revenues &amp; Expenses'!AX143</f>
        <v>40664</v>
      </c>
      <c r="C135" s="180" t="n">
        <f aca="false">'PJM Curve Simulation'!J143</f>
        <v>37.575</v>
      </c>
      <c r="D135" s="180" t="n">
        <f aca="false">F135+G135</f>
        <v>45.1145678940816</v>
      </c>
      <c r="F135" s="180" t="n">
        <f aca="false">('Fuel Curve Simulation'!J143*'Revenues &amp; Expenses'!$S$2/1000)</f>
        <v>42.4035905172414</v>
      </c>
      <c r="G135" s="180" t="n">
        <f aca="false">'Revenues &amp; Expenses'!$AM$5*1000*'Revenues &amp; Expenses'!O143</f>
        <v>2.71097737684022</v>
      </c>
      <c r="H135" s="204" t="n">
        <f aca="false">H134+1</f>
        <v>126</v>
      </c>
      <c r="I135" s="204" t="n">
        <f aca="false">IF(C135&gt;D135,1,0)</f>
        <v>0</v>
      </c>
      <c r="J135" s="204" t="n">
        <v>315</v>
      </c>
      <c r="K135" s="212" t="n">
        <f aca="false">IF(I135&gt;0,J135*'Revenues &amp; Expenses'!F143*16,0)</f>
        <v>0</v>
      </c>
      <c r="L135" s="211" t="n">
        <f aca="false">K135*'Revenues &amp; Expenses'!N143</f>
        <v>0</v>
      </c>
      <c r="M135" s="212"/>
      <c r="N135" s="212"/>
      <c r="AC135" s="248" t="n">
        <f aca="false">B135</f>
        <v>40664</v>
      </c>
      <c r="AD135" s="10" t="n">
        <f aca="false">AD134+1</f>
        <v>126</v>
      </c>
      <c r="AE135" s="10" t="n">
        <f aca="false">C135*L135</f>
        <v>0</v>
      </c>
      <c r="AF135" s="10" t="n">
        <f aca="false">L135</f>
        <v>0</v>
      </c>
      <c r="AG135" s="205" t="n">
        <f aca="false">IF(AF135&gt;0,AE135/AF135,0)</f>
        <v>0</v>
      </c>
      <c r="AJ135" s="10" t="n">
        <f aca="false">D135*L135</f>
        <v>0</v>
      </c>
      <c r="AK135" s="249" t="n">
        <f aca="false">IF(AF135&gt;0,AJ135/AF135,0)</f>
        <v>0</v>
      </c>
    </row>
    <row r="136" customFormat="false" ht="12.75" hidden="false" customHeight="false" outlineLevel="0" collapsed="false">
      <c r="A136" s="180" t="n">
        <v>77.8636461479764</v>
      </c>
      <c r="B136" s="240" t="n">
        <f aca="false">'Revenues &amp; Expenses'!AX144</f>
        <v>40695</v>
      </c>
      <c r="C136" s="180" t="n">
        <f aca="false">'PJM Curve Simulation'!J144</f>
        <v>63.0999984741211</v>
      </c>
      <c r="D136" s="180" t="n">
        <f aca="false">F136+G136</f>
        <v>45.0578344208765</v>
      </c>
      <c r="F136" s="180" t="n">
        <f aca="false">('Fuel Curve Simulation'!J144*'Revenues &amp; Expenses'!$S$2/1000)</f>
        <v>42.3408315517242</v>
      </c>
      <c r="G136" s="180" t="n">
        <f aca="false">'Revenues &amp; Expenses'!$AM$5*1000*'Revenues &amp; Expenses'!O144</f>
        <v>2.71700286915237</v>
      </c>
      <c r="H136" s="204" t="n">
        <f aca="false">H135+1</f>
        <v>127</v>
      </c>
      <c r="I136" s="204" t="n">
        <f aca="false">IF(C136&gt;D136,1,0)</f>
        <v>1</v>
      </c>
      <c r="J136" s="204" t="n">
        <v>315</v>
      </c>
      <c r="K136" s="212" t="n">
        <f aca="false">IF(I136&gt;0,J136*'Revenues &amp; Expenses'!F144*16,0)</f>
        <v>105840</v>
      </c>
      <c r="L136" s="211" t="n">
        <f aca="false">K136*'Revenues &amp; Expenses'!N144</f>
        <v>46179.8935227742</v>
      </c>
      <c r="M136" s="212"/>
      <c r="N136" s="212"/>
      <c r="AC136" s="248" t="n">
        <f aca="false">B136</f>
        <v>40695</v>
      </c>
      <c r="AD136" s="10" t="n">
        <f aca="false">AD135+1</f>
        <v>127</v>
      </c>
      <c r="AE136" s="10" t="n">
        <f aca="false">C136*L136</f>
        <v>2913951.21082213</v>
      </c>
      <c r="AF136" s="10" t="n">
        <f aca="false">L136</f>
        <v>46179.8935227742</v>
      </c>
      <c r="AG136" s="205" t="n">
        <f aca="false">IF(AF136&gt;0,AE136/AF136,0)</f>
        <v>63.0999984741211</v>
      </c>
      <c r="AJ136" s="10" t="n">
        <f aca="false">D136*L136</f>
        <v>2080765.99592287</v>
      </c>
      <c r="AK136" s="249" t="n">
        <f aca="false">IF(AF136&gt;0,AJ136/AF136,0)</f>
        <v>45.0578344208765</v>
      </c>
    </row>
    <row r="137" customFormat="false" ht="12.75" hidden="false" customHeight="false" outlineLevel="0" collapsed="false">
      <c r="A137" s="180" t="n">
        <v>143.386777370165</v>
      </c>
      <c r="B137" s="240" t="n">
        <f aca="false">'Revenues &amp; Expenses'!AX145</f>
        <v>40725</v>
      </c>
      <c r="C137" s="180" t="n">
        <f aca="false">'PJM Curve Simulation'!J145</f>
        <v>109.199996948242</v>
      </c>
      <c r="D137" s="180" t="n">
        <f aca="false">F137+G137</f>
        <v>45.6121884780261</v>
      </c>
      <c r="F137" s="180" t="n">
        <f aca="false">('Fuel Curve Simulation'!J145*'Revenues &amp; Expenses'!$S$2/1000)</f>
        <v>42.8891467241379</v>
      </c>
      <c r="G137" s="180" t="n">
        <f aca="false">'Revenues &amp; Expenses'!$AM$5*1000*'Revenues &amp; Expenses'!O145</f>
        <v>2.72304175388819</v>
      </c>
      <c r="H137" s="204" t="n">
        <f aca="false">H136+1</f>
        <v>128</v>
      </c>
      <c r="I137" s="204" t="n">
        <f aca="false">IF(C137&gt;D137,1,0)</f>
        <v>1</v>
      </c>
      <c r="J137" s="204" t="n">
        <v>315</v>
      </c>
      <c r="K137" s="212" t="n">
        <f aca="false">IF(I137&gt;0,J137*'Revenues &amp; Expenses'!F145*16,0)</f>
        <v>115920</v>
      </c>
      <c r="L137" s="211" t="n">
        <f aca="false">K137*'Revenues &amp; Expenses'!N145</f>
        <v>50278.4206463026</v>
      </c>
      <c r="M137" s="212"/>
      <c r="N137" s="212"/>
      <c r="AC137" s="248" t="n">
        <f aca="false">B137</f>
        <v>40725</v>
      </c>
      <c r="AD137" s="10" t="n">
        <f aca="false">AD136+1</f>
        <v>128</v>
      </c>
      <c r="AE137" s="10" t="n">
        <f aca="false">C137*L137</f>
        <v>5490403.38113868</v>
      </c>
      <c r="AF137" s="10" t="n">
        <f aca="false">L137</f>
        <v>50278.4206463026</v>
      </c>
      <c r="AG137" s="205" t="n">
        <f aca="false">IF(AF137&gt;0,AE137/AF137,0)</f>
        <v>109.199996948242</v>
      </c>
      <c r="AJ137" s="10" t="n">
        <f aca="false">D137*L137</f>
        <v>2293308.79889663</v>
      </c>
      <c r="AK137" s="249" t="n">
        <f aca="false">IF(AF137&gt;0,AJ137/AF137,0)</f>
        <v>45.6121884780261</v>
      </c>
    </row>
    <row r="138" customFormat="false" ht="12.75" hidden="false" customHeight="false" outlineLevel="0" collapsed="false">
      <c r="A138" s="180" t="n">
        <v>118.070093776303</v>
      </c>
      <c r="B138" s="240" t="n">
        <f aca="false">'Revenues &amp; Expenses'!AX146</f>
        <v>40756</v>
      </c>
      <c r="C138" s="180" t="n">
        <f aca="false">'PJM Curve Simulation'!J146</f>
        <v>96.1999969482422</v>
      </c>
      <c r="D138" s="180" t="n">
        <f aca="false">F138+G138</f>
        <v>46.4853054401244</v>
      </c>
      <c r="F138" s="180" t="n">
        <f aca="false">('Fuel Curve Simulation'!J146*'Revenues &amp; Expenses'!$S$2/1000)</f>
        <v>43.7562113793104</v>
      </c>
      <c r="G138" s="180" t="n">
        <f aca="false">'Revenues &amp; Expenses'!$AM$5*1000*'Revenues &amp; Expenses'!O146</f>
        <v>2.72909406081406</v>
      </c>
      <c r="H138" s="204" t="n">
        <f aca="false">H137+1</f>
        <v>129</v>
      </c>
      <c r="I138" s="204" t="n">
        <f aca="false">IF(C138&gt;D138,1,0)</f>
        <v>1</v>
      </c>
      <c r="J138" s="204" t="n">
        <v>315</v>
      </c>
      <c r="K138" s="212" t="n">
        <f aca="false">IF(I138&gt;0,J138*'Revenues &amp; Expenses'!F146*16,0)</f>
        <v>105840</v>
      </c>
      <c r="L138" s="211" t="n">
        <f aca="false">K138*'Revenues &amp; Expenses'!N146</f>
        <v>45625.4973434526</v>
      </c>
      <c r="M138" s="212"/>
      <c r="N138" s="212"/>
      <c r="AC138" s="248" t="n">
        <f aca="false">B138</f>
        <v>40756</v>
      </c>
      <c r="AD138" s="10" t="n">
        <f aca="false">AD137+1</f>
        <v>129</v>
      </c>
      <c r="AE138" s="10" t="n">
        <f aca="false">C138*L138</f>
        <v>4389172.70520217</v>
      </c>
      <c r="AF138" s="10" t="n">
        <f aca="false">L138</f>
        <v>45625.4973434526</v>
      </c>
      <c r="AG138" s="205" t="n">
        <f aca="false">IF(AF138&gt;0,AE138/AF138,0)</f>
        <v>96.1999969482422</v>
      </c>
      <c r="AJ138" s="10" t="n">
        <f aca="false">D138*L138</f>
        <v>2120915.17986798</v>
      </c>
      <c r="AK138" s="249" t="n">
        <f aca="false">IF(AF138&gt;0,AJ138/AF138,0)</f>
        <v>46.4853054401244</v>
      </c>
    </row>
    <row r="139" customFormat="false" ht="12.75" hidden="false" customHeight="false" outlineLevel="0" collapsed="false">
      <c r="A139" s="180" t="n">
        <v>42.6510675799628</v>
      </c>
      <c r="B139" s="240" t="n">
        <f aca="false">'Revenues &amp; Expenses'!AX147</f>
        <v>40787</v>
      </c>
      <c r="C139" s="180" t="n">
        <f aca="false">'PJM Curve Simulation'!J147</f>
        <v>36.9249984741211</v>
      </c>
      <c r="D139" s="180" t="n">
        <f aca="false">F139+G139</f>
        <v>47.3997246473487</v>
      </c>
      <c r="F139" s="180" t="n">
        <f aca="false">('Fuel Curve Simulation'!J147*'Revenues &amp; Expenses'!$S$2/1000)</f>
        <v>44.6645648275862</v>
      </c>
      <c r="G139" s="180" t="n">
        <f aca="false">'Revenues &amp; Expenses'!$AM$5*1000*'Revenues &amp; Expenses'!O147</f>
        <v>2.73515981976249</v>
      </c>
      <c r="H139" s="204" t="n">
        <f aca="false">H138+1</f>
        <v>130</v>
      </c>
      <c r="I139" s="204" t="n">
        <f aca="false">IF(C139&gt;D139,1,0)</f>
        <v>0</v>
      </c>
      <c r="J139" s="204" t="n">
        <v>315</v>
      </c>
      <c r="K139" s="212" t="n">
        <f aca="false">IF(I139&gt;0,J139*'Revenues &amp; Expenses'!F147*16,0)</f>
        <v>0</v>
      </c>
      <c r="L139" s="211" t="n">
        <f aca="false">K139*'Revenues &amp; Expenses'!N147</f>
        <v>0</v>
      </c>
      <c r="M139" s="212"/>
      <c r="N139" s="212"/>
      <c r="AC139" s="248" t="n">
        <f aca="false">B139</f>
        <v>40787</v>
      </c>
      <c r="AD139" s="10" t="n">
        <f aca="false">AD138+1</f>
        <v>130</v>
      </c>
      <c r="AE139" s="10" t="n">
        <f aca="false">C139*L139</f>
        <v>0</v>
      </c>
      <c r="AF139" s="10" t="n">
        <f aca="false">L139</f>
        <v>0</v>
      </c>
      <c r="AG139" s="205" t="n">
        <f aca="false">IF(AF139&gt;0,AE139/AF139,0)</f>
        <v>0</v>
      </c>
      <c r="AJ139" s="10" t="n">
        <f aca="false">D139*L139</f>
        <v>0</v>
      </c>
      <c r="AK139" s="249" t="n">
        <f aca="false">IF(AF139&gt;0,AJ139/AF139,0)</f>
        <v>0</v>
      </c>
    </row>
    <row r="140" customFormat="false" ht="12.75" hidden="false" customHeight="false" outlineLevel="0" collapsed="false">
      <c r="A140" s="180" t="n">
        <v>35.623536073122</v>
      </c>
      <c r="B140" s="240" t="n">
        <f aca="false">'Revenues &amp; Expenses'!AX148</f>
        <v>40817</v>
      </c>
      <c r="C140" s="180" t="n">
        <f aca="false">'PJM Curve Simulation'!J148</f>
        <v>30.3250003814697</v>
      </c>
      <c r="D140" s="180" t="n">
        <f aca="false">F140+G140</f>
        <v>48.2926871640806</v>
      </c>
      <c r="F140" s="180" t="n">
        <f aca="false">('Fuel Curve Simulation'!J148*'Revenues &amp; Expenses'!$S$2/1000)</f>
        <v>45.5514481034483</v>
      </c>
      <c r="G140" s="180" t="n">
        <f aca="false">'Revenues &amp; Expenses'!$AM$5*1000*'Revenues &amp; Expenses'!O148</f>
        <v>2.74123906063232</v>
      </c>
      <c r="H140" s="204" t="n">
        <f aca="false">H139+1</f>
        <v>131</v>
      </c>
      <c r="I140" s="204" t="n">
        <f aca="false">IF(C140&gt;D140,1,0)</f>
        <v>0</v>
      </c>
      <c r="J140" s="204" t="n">
        <v>315</v>
      </c>
      <c r="K140" s="212" t="n">
        <f aca="false">IF(I140&gt;0,J140*'Revenues &amp; Expenses'!F148*16,0)</f>
        <v>0</v>
      </c>
      <c r="L140" s="211" t="n">
        <f aca="false">K140*'Revenues &amp; Expenses'!N148</f>
        <v>0</v>
      </c>
      <c r="M140" s="212"/>
      <c r="N140" s="212"/>
      <c r="AC140" s="248" t="n">
        <f aca="false">B140</f>
        <v>40817</v>
      </c>
      <c r="AD140" s="10" t="n">
        <f aca="false">AD139+1</f>
        <v>131</v>
      </c>
      <c r="AE140" s="10" t="n">
        <f aca="false">C140*L140</f>
        <v>0</v>
      </c>
      <c r="AF140" s="10" t="n">
        <f aca="false">L140</f>
        <v>0</v>
      </c>
      <c r="AG140" s="205" t="n">
        <f aca="false">IF(AF140&gt;0,AE140/AF140,0)</f>
        <v>0</v>
      </c>
      <c r="AJ140" s="10" t="n">
        <f aca="false">D140*L140</f>
        <v>0</v>
      </c>
      <c r="AK140" s="249" t="n">
        <f aca="false">IF(AF140&gt;0,AJ140/AF140,0)</f>
        <v>0</v>
      </c>
    </row>
    <row r="141" customFormat="false" ht="12.75" hidden="false" customHeight="false" outlineLevel="0" collapsed="false">
      <c r="A141" s="180" t="n">
        <v>35.7217718472672</v>
      </c>
      <c r="B141" s="240" t="n">
        <f aca="false">'Revenues &amp; Expenses'!AX149</f>
        <v>40848</v>
      </c>
      <c r="C141" s="180" t="n">
        <f aca="false">'PJM Curve Simulation'!J149</f>
        <v>29.9974990844727</v>
      </c>
      <c r="D141" s="180" t="n">
        <f aca="false">F141+G141</f>
        <v>48.7711237099406</v>
      </c>
      <c r="F141" s="180" t="n">
        <f aca="false">('Fuel Curve Simulation'!J149*'Revenues &amp; Expenses'!$S$2/1000)</f>
        <v>46.0237918965517</v>
      </c>
      <c r="G141" s="180" t="n">
        <f aca="false">'Revenues &amp; Expenses'!$AM$5*1000*'Revenues &amp; Expenses'!O149</f>
        <v>2.74733181338884</v>
      </c>
      <c r="H141" s="204" t="n">
        <f aca="false">H140+1</f>
        <v>132</v>
      </c>
      <c r="I141" s="204" t="n">
        <f aca="false">IF(C141&gt;D141,1,0)</f>
        <v>0</v>
      </c>
      <c r="J141" s="204" t="n">
        <v>315</v>
      </c>
      <c r="K141" s="212" t="n">
        <f aca="false">IF(I141&gt;0,J141*'Revenues &amp; Expenses'!F149*16,0)</f>
        <v>0</v>
      </c>
      <c r="L141" s="211" t="n">
        <f aca="false">K141*'Revenues &amp; Expenses'!N149</f>
        <v>0</v>
      </c>
      <c r="M141" s="212"/>
      <c r="N141" s="212"/>
      <c r="AC141" s="248" t="n">
        <f aca="false">B141</f>
        <v>40848</v>
      </c>
      <c r="AD141" s="10" t="n">
        <f aca="false">AD140+1</f>
        <v>132</v>
      </c>
      <c r="AE141" s="10" t="n">
        <f aca="false">C141*L141</f>
        <v>0</v>
      </c>
      <c r="AF141" s="10" t="n">
        <f aca="false">L141</f>
        <v>0</v>
      </c>
      <c r="AG141" s="205" t="n">
        <f aca="false">IF(AF141&gt;0,AE141/AF141,0)</f>
        <v>0</v>
      </c>
      <c r="AJ141" s="10" t="n">
        <f aca="false">D141*L141</f>
        <v>0</v>
      </c>
      <c r="AK141" s="249" t="n">
        <f aca="false">IF(AF141&gt;0,AJ141/AF141,0)</f>
        <v>0</v>
      </c>
    </row>
    <row r="142" customFormat="false" ht="12.75" hidden="false" customHeight="false" outlineLevel="0" collapsed="false">
      <c r="A142" s="180" t="n">
        <v>38.2893530568094</v>
      </c>
      <c r="B142" s="240" t="n">
        <f aca="false">'Revenues &amp; Expenses'!AX150</f>
        <v>40878</v>
      </c>
      <c r="C142" s="180" t="n">
        <f aca="false">'PJM Curve Simulation'!J150</f>
        <v>31.7499996185303</v>
      </c>
      <c r="D142" s="180" t="n">
        <f aca="false">F142+G142</f>
        <v>49.1868148322019</v>
      </c>
      <c r="F142" s="180" t="n">
        <f aca="false">('Fuel Curve Simulation'!J150*'Revenues &amp; Expenses'!$S$2/1000)</f>
        <v>46.4333767241379</v>
      </c>
      <c r="G142" s="180" t="n">
        <f aca="false">'Revenues &amp; Expenses'!$AM$5*1000*'Revenues &amp; Expenses'!O150</f>
        <v>2.75343810806394</v>
      </c>
      <c r="H142" s="204" t="n">
        <f aca="false">H141+1</f>
        <v>133</v>
      </c>
      <c r="I142" s="204" t="n">
        <f aca="false">IF(C142&gt;D142,1,0)</f>
        <v>0</v>
      </c>
      <c r="J142" s="204" t="n">
        <v>315</v>
      </c>
      <c r="K142" s="212" t="n">
        <f aca="false">IF(I142&gt;0,J142*'Revenues &amp; Expenses'!F150*16,0)</f>
        <v>0</v>
      </c>
      <c r="L142" s="211" t="n">
        <f aca="false">K142*'Revenues &amp; Expenses'!N150</f>
        <v>0</v>
      </c>
      <c r="M142" s="212" t="n">
        <f aca="false">SUM(L131:L142)</f>
        <v>142083.811512529</v>
      </c>
      <c r="N142" s="212" t="n">
        <f aca="false">SUM(K131:K142)</f>
        <v>327600</v>
      </c>
      <c r="AC142" s="248" t="n">
        <f aca="false">B142</f>
        <v>40878</v>
      </c>
      <c r="AD142" s="10" t="n">
        <f aca="false">AD141+1</f>
        <v>133</v>
      </c>
      <c r="AE142" s="10" t="n">
        <f aca="false">C142*L142</f>
        <v>0</v>
      </c>
      <c r="AF142" s="10" t="n">
        <f aca="false">L142</f>
        <v>0</v>
      </c>
      <c r="AG142" s="205" t="n">
        <f aca="false">IF(AF142&gt;0,AE142/AF142,0)</f>
        <v>0</v>
      </c>
      <c r="AH142" s="205" t="n">
        <f aca="false">IF(SUM(AF131:AF142)=0,0,SUM(AE131:AE142)/SUM(AF131:AF142))</f>
        <v>90.0421178244842</v>
      </c>
      <c r="AJ142" s="10" t="n">
        <f aca="false">D142*L142</f>
        <v>0</v>
      </c>
      <c r="AK142" s="249" t="n">
        <f aca="false">IF(AF142&gt;0,AJ142/AF142,0)</f>
        <v>0</v>
      </c>
      <c r="AL142" s="249" t="n">
        <f aca="false">IF(SUM(AF131:AF142)=0,0,SUM(AJ131:AJ142)/SUM(AF131:AF142))</f>
        <v>45.7123855669844</v>
      </c>
    </row>
    <row r="143" customFormat="false" ht="12.75" hidden="false" customHeight="false" outlineLevel="0" collapsed="false">
      <c r="A143" s="180" t="n">
        <v>49.4472288687053</v>
      </c>
      <c r="B143" s="240" t="n">
        <f aca="false">'Revenues &amp; Expenses'!AX151</f>
        <v>40909</v>
      </c>
      <c r="C143" s="180" t="n">
        <f aca="false">'PJM Curve Simulation'!J151</f>
        <v>40.3249984741211</v>
      </c>
      <c r="D143" s="180" t="n">
        <f aca="false">F143+G143</f>
        <v>48.6446195264804</v>
      </c>
      <c r="F143" s="180" t="n">
        <f aca="false">('Fuel Curve Simulation'!J151*'Revenues &amp; Expenses'!$S$2/1000)</f>
        <v>45.8850615517242</v>
      </c>
      <c r="G143" s="180" t="n">
        <f aca="false">'Revenues &amp; Expenses'!$AM$5*1000*'Revenues &amp; Expenses'!O151</f>
        <v>2.75955797475624</v>
      </c>
      <c r="H143" s="204" t="n">
        <f aca="false">H142+1</f>
        <v>134</v>
      </c>
      <c r="I143" s="204" t="n">
        <f aca="false">IF(C143&gt;D143,1,0)</f>
        <v>0</v>
      </c>
      <c r="J143" s="204" t="n">
        <v>315</v>
      </c>
      <c r="K143" s="212" t="n">
        <f aca="false">IF(I143&gt;0,J143*'Revenues &amp; Expenses'!F151*16,0)</f>
        <v>0</v>
      </c>
      <c r="L143" s="211" t="n">
        <f aca="false">K143*'Revenues &amp; Expenses'!N151</f>
        <v>0</v>
      </c>
      <c r="M143" s="212"/>
      <c r="N143" s="212"/>
      <c r="AC143" s="248" t="n">
        <f aca="false">B143</f>
        <v>40909</v>
      </c>
      <c r="AD143" s="10" t="n">
        <f aca="false">AD142+1</f>
        <v>134</v>
      </c>
      <c r="AE143" s="10" t="n">
        <f aca="false">C143*L143</f>
        <v>0</v>
      </c>
      <c r="AF143" s="10" t="n">
        <f aca="false">L143</f>
        <v>0</v>
      </c>
      <c r="AG143" s="205" t="n">
        <f aca="false">IF(AF143&gt;0,AE143/AF143,0)</f>
        <v>0</v>
      </c>
      <c r="AJ143" s="10" t="n">
        <f aca="false">D143*L143</f>
        <v>0</v>
      </c>
      <c r="AK143" s="249" t="n">
        <f aca="false">IF(AF143&gt;0,AJ143/AF143,0)</f>
        <v>0</v>
      </c>
    </row>
    <row r="144" customFormat="false" ht="12.75" hidden="false" customHeight="false" outlineLevel="0" collapsed="false">
      <c r="A144" s="180" t="n">
        <v>49.4472288687053</v>
      </c>
      <c r="B144" s="240" t="n">
        <f aca="false">'Revenues &amp; Expenses'!AX152</f>
        <v>40940</v>
      </c>
      <c r="C144" s="180" t="n">
        <f aca="false">'PJM Curve Simulation'!J152</f>
        <v>40.3249984741211</v>
      </c>
      <c r="D144" s="180" t="n">
        <f aca="false">F144+G144</f>
        <v>47.7011107539761</v>
      </c>
      <c r="F144" s="180" t="n">
        <f aca="false">('Fuel Curve Simulation'!J152*'Revenues &amp; Expenses'!$S$2/1000)</f>
        <v>44.9354193103448</v>
      </c>
      <c r="G144" s="180" t="n">
        <f aca="false">'Revenues &amp; Expenses'!$AM$5*1000*'Revenues &amp; Expenses'!O152</f>
        <v>2.7656914436313</v>
      </c>
      <c r="H144" s="204" t="n">
        <f aca="false">H143+1</f>
        <v>135</v>
      </c>
      <c r="I144" s="204" t="n">
        <f aca="false">IF(C144&gt;D144,1,0)</f>
        <v>0</v>
      </c>
      <c r="J144" s="204" t="n">
        <v>315</v>
      </c>
      <c r="K144" s="212" t="n">
        <f aca="false">IF(I144&gt;0,J144*'Revenues &amp; Expenses'!F152*16,0)</f>
        <v>0</v>
      </c>
      <c r="L144" s="211" t="n">
        <f aca="false">K144*'Revenues &amp; Expenses'!N152</f>
        <v>0</v>
      </c>
      <c r="M144" s="212"/>
      <c r="N144" s="212"/>
      <c r="AC144" s="248" t="n">
        <f aca="false">B144</f>
        <v>40940</v>
      </c>
      <c r="AD144" s="10" t="n">
        <f aca="false">AD143+1</f>
        <v>135</v>
      </c>
      <c r="AE144" s="10" t="n">
        <f aca="false">C144*L144</f>
        <v>0</v>
      </c>
      <c r="AF144" s="10" t="n">
        <f aca="false">L144</f>
        <v>0</v>
      </c>
      <c r="AG144" s="205" t="n">
        <f aca="false">IF(AF144&gt;0,AE144/AF144,0)</f>
        <v>0</v>
      </c>
      <c r="AJ144" s="10" t="n">
        <f aca="false">D144*L144</f>
        <v>0</v>
      </c>
      <c r="AK144" s="249" t="n">
        <f aca="false">IF(AF144&gt;0,AJ144/AF144,0)</f>
        <v>0</v>
      </c>
    </row>
    <row r="145" customFormat="false" ht="12.75" hidden="false" customHeight="false" outlineLevel="0" collapsed="false">
      <c r="A145" s="180" t="n">
        <v>36.547562177906</v>
      </c>
      <c r="B145" s="240" t="n">
        <f aca="false">'Revenues &amp; Expenses'!AX153</f>
        <v>40969</v>
      </c>
      <c r="C145" s="180" t="n">
        <f aca="false">'PJM Curve Simulation'!J153</f>
        <v>30.0500007629395</v>
      </c>
      <c r="D145" s="180" t="n">
        <f aca="false">F145+G145</f>
        <v>46.7774342345769</v>
      </c>
      <c r="F145" s="180" t="n">
        <f aca="false">('Fuel Curve Simulation'!J153*'Revenues &amp; Expenses'!$S$2/1000)</f>
        <v>44.0055956896552</v>
      </c>
      <c r="G145" s="180" t="n">
        <f aca="false">'Revenues &amp; Expenses'!$AM$5*1000*'Revenues &amp; Expenses'!O153</f>
        <v>2.77183854492168</v>
      </c>
      <c r="H145" s="204" t="n">
        <f aca="false">H144+1</f>
        <v>136</v>
      </c>
      <c r="I145" s="204" t="n">
        <f aca="false">IF(C145&gt;D145,1,0)</f>
        <v>0</v>
      </c>
      <c r="J145" s="204" t="n">
        <v>315</v>
      </c>
      <c r="K145" s="212" t="n">
        <f aca="false">IF(I145&gt;0,J145*'Revenues &amp; Expenses'!F153*16,0)</f>
        <v>0</v>
      </c>
      <c r="L145" s="211" t="n">
        <f aca="false">K145*'Revenues &amp; Expenses'!N153</f>
        <v>0</v>
      </c>
      <c r="M145" s="212"/>
      <c r="N145" s="212"/>
      <c r="AC145" s="248" t="n">
        <f aca="false">B145</f>
        <v>40969</v>
      </c>
      <c r="AD145" s="10" t="n">
        <f aca="false">AD144+1</f>
        <v>136</v>
      </c>
      <c r="AE145" s="10" t="n">
        <f aca="false">C145*L145</f>
        <v>0</v>
      </c>
      <c r="AF145" s="10" t="n">
        <f aca="false">L145</f>
        <v>0</v>
      </c>
      <c r="AG145" s="205" t="n">
        <f aca="false">IF(AF145&gt;0,AE145/AF145,0)</f>
        <v>0</v>
      </c>
      <c r="AJ145" s="10" t="n">
        <f aca="false">D145*L145</f>
        <v>0</v>
      </c>
      <c r="AK145" s="249" t="n">
        <f aca="false">IF(AF145&gt;0,AJ145/AF145,0)</f>
        <v>0</v>
      </c>
    </row>
    <row r="146" customFormat="false" ht="12.75" hidden="false" customHeight="false" outlineLevel="0" collapsed="false">
      <c r="A146" s="180" t="n">
        <v>33.8323561765361</v>
      </c>
      <c r="B146" s="240" t="n">
        <f aca="false">'Revenues &amp; Expenses'!AX154</f>
        <v>41000</v>
      </c>
      <c r="C146" s="180" t="n">
        <f aca="false">'PJM Curve Simulation'!J154</f>
        <v>29.8250007629395</v>
      </c>
      <c r="D146" s="180" t="n">
        <f aca="false">F146+G146</f>
        <v>45.8256949985824</v>
      </c>
      <c r="F146" s="180" t="n">
        <f aca="false">('Fuel Curve Simulation'!J154*'Revenues &amp; Expenses'!$S$2/1000)</f>
        <v>43.0476956896552</v>
      </c>
      <c r="G146" s="180" t="n">
        <f aca="false">'Revenues &amp; Expenses'!$AM$5*1000*'Revenues &amp; Expenses'!O154</f>
        <v>2.77799930892718</v>
      </c>
      <c r="H146" s="204" t="n">
        <f aca="false">H145+1</f>
        <v>137</v>
      </c>
      <c r="I146" s="204" t="n">
        <f aca="false">IF(C146&gt;D146,1,0)</f>
        <v>0</v>
      </c>
      <c r="J146" s="204" t="n">
        <v>315</v>
      </c>
      <c r="K146" s="212" t="n">
        <f aca="false">IF(I146&gt;0,J146*'Revenues &amp; Expenses'!F154*16,0)</f>
        <v>0</v>
      </c>
      <c r="L146" s="211" t="n">
        <f aca="false">K146*'Revenues &amp; Expenses'!N154</f>
        <v>0</v>
      </c>
      <c r="M146" s="212"/>
      <c r="N146" s="212"/>
      <c r="AC146" s="248" t="n">
        <f aca="false">B146</f>
        <v>41000</v>
      </c>
      <c r="AD146" s="10" t="n">
        <f aca="false">AD145+1</f>
        <v>137</v>
      </c>
      <c r="AE146" s="10" t="n">
        <f aca="false">C146*L146</f>
        <v>0</v>
      </c>
      <c r="AF146" s="10" t="n">
        <f aca="false">L146</f>
        <v>0</v>
      </c>
      <c r="AG146" s="205" t="n">
        <f aca="false">IF(AF146&gt;0,AE146/AF146,0)</f>
        <v>0</v>
      </c>
      <c r="AJ146" s="10" t="n">
        <f aca="false">D146*L146</f>
        <v>0</v>
      </c>
      <c r="AK146" s="249" t="n">
        <f aca="false">IF(AF146&gt;0,AJ146/AF146,0)</f>
        <v>0</v>
      </c>
    </row>
    <row r="147" customFormat="false" ht="12.75" hidden="false" customHeight="false" outlineLevel="0" collapsed="false">
      <c r="A147" s="180" t="n">
        <v>41.5244433762541</v>
      </c>
      <c r="B147" s="240" t="n">
        <f aca="false">'Revenues &amp; Expenses'!AX155</f>
        <v>41030</v>
      </c>
      <c r="C147" s="180" t="n">
        <f aca="false">'PJM Curve Simulation'!J155</f>
        <v>37.825</v>
      </c>
      <c r="D147" s="180" t="n">
        <f aca="false">F147+G147</f>
        <v>45.1877642832563</v>
      </c>
      <c r="F147" s="180" t="n">
        <f aca="false">('Fuel Curve Simulation'!J155*'Revenues &amp; Expenses'!$S$2/1000)</f>
        <v>42.4035905172414</v>
      </c>
      <c r="G147" s="180" t="n">
        <f aca="false">'Revenues &amp; Expenses'!$AM$5*1000*'Revenues &amp; Expenses'!O155</f>
        <v>2.7841737660149</v>
      </c>
      <c r="H147" s="204" t="n">
        <f aca="false">H146+1</f>
        <v>138</v>
      </c>
      <c r="I147" s="204" t="n">
        <f aca="false">IF(C147&gt;D147,1,0)</f>
        <v>0</v>
      </c>
      <c r="J147" s="204" t="n">
        <v>315</v>
      </c>
      <c r="K147" s="212" t="n">
        <f aca="false">IF(I147&gt;0,J147*'Revenues &amp; Expenses'!F155*16,0)</f>
        <v>0</v>
      </c>
      <c r="L147" s="211" t="n">
        <f aca="false">K147*'Revenues &amp; Expenses'!N155</f>
        <v>0</v>
      </c>
      <c r="M147" s="212"/>
      <c r="N147" s="212"/>
      <c r="AC147" s="248" t="n">
        <f aca="false">B147</f>
        <v>41030</v>
      </c>
      <c r="AD147" s="10" t="n">
        <f aca="false">AD146+1</f>
        <v>138</v>
      </c>
      <c r="AE147" s="10" t="n">
        <f aca="false">C147*L147</f>
        <v>0</v>
      </c>
      <c r="AF147" s="10" t="n">
        <f aca="false">L147</f>
        <v>0</v>
      </c>
      <c r="AG147" s="205" t="n">
        <f aca="false">IF(AF147&gt;0,AE147/AF147,0)</f>
        <v>0</v>
      </c>
      <c r="AJ147" s="10" t="n">
        <f aca="false">D147*L147</f>
        <v>0</v>
      </c>
      <c r="AK147" s="249" t="n">
        <f aca="false">IF(AF147&gt;0,AJ147/AF147,0)</f>
        <v>0</v>
      </c>
    </row>
    <row r="148" customFormat="false" ht="12.75" hidden="false" customHeight="false" outlineLevel="0" collapsed="false">
      <c r="A148" s="180" t="n">
        <v>78.7891253242545</v>
      </c>
      <c r="B148" s="240" t="n">
        <f aca="false">'Revenues &amp; Expenses'!AX156</f>
        <v>41061</v>
      </c>
      <c r="C148" s="180" t="n">
        <f aca="false">'PJM Curve Simulation'!J156</f>
        <v>63.8499984741211</v>
      </c>
      <c r="D148" s="180" t="n">
        <f aca="false">F148+G148</f>
        <v>45.1311934983436</v>
      </c>
      <c r="F148" s="180" t="n">
        <f aca="false">('Fuel Curve Simulation'!J156*'Revenues &amp; Expenses'!$S$2/1000)</f>
        <v>42.3408315517242</v>
      </c>
      <c r="G148" s="180" t="n">
        <f aca="false">'Revenues &amp; Expenses'!$AM$5*1000*'Revenues &amp; Expenses'!O156</f>
        <v>2.79036194661948</v>
      </c>
      <c r="H148" s="204" t="n">
        <f aca="false">H147+1</f>
        <v>139</v>
      </c>
      <c r="I148" s="204" t="n">
        <f aca="false">IF(C148&gt;D148,1,0)</f>
        <v>1</v>
      </c>
      <c r="J148" s="204" t="n">
        <v>315</v>
      </c>
      <c r="K148" s="212" t="n">
        <f aca="false">IF(I148&gt;0,J148*'Revenues &amp; Expenses'!F156*16,0)</f>
        <v>110880</v>
      </c>
      <c r="L148" s="211" t="n">
        <f aca="false">K148*'Revenues &amp; Expenses'!N156</f>
        <v>44999.3023031165</v>
      </c>
      <c r="M148" s="212"/>
      <c r="N148" s="212"/>
      <c r="AC148" s="248" t="n">
        <f aca="false">B148</f>
        <v>41061</v>
      </c>
      <c r="AD148" s="10" t="n">
        <f aca="false">AD147+1</f>
        <v>139</v>
      </c>
      <c r="AE148" s="10" t="n">
        <f aca="false">C148*L148</f>
        <v>2873205.3833905</v>
      </c>
      <c r="AF148" s="10" t="n">
        <f aca="false">L148</f>
        <v>44999.3023031165</v>
      </c>
      <c r="AG148" s="205" t="n">
        <f aca="false">IF(AF148&gt;0,AE148/AF148,0)</f>
        <v>63.8499984741211</v>
      </c>
      <c r="AJ148" s="10" t="n">
        <f aca="false">D148*L148</f>
        <v>2030872.21953241</v>
      </c>
      <c r="AK148" s="249" t="n">
        <f aca="false">IF(AF148&gt;0,AJ148/AF148,0)</f>
        <v>45.1311934983436</v>
      </c>
    </row>
    <row r="149" customFormat="false" ht="12.75" hidden="false" customHeight="false" outlineLevel="0" collapsed="false">
      <c r="A149" s="180" t="n">
        <v>146.341175338104</v>
      </c>
      <c r="B149" s="240" t="n">
        <f aca="false">'Revenues &amp; Expenses'!AX157</f>
        <v>41091</v>
      </c>
      <c r="C149" s="180" t="n">
        <f aca="false">'PJM Curve Simulation'!J157</f>
        <v>111.449996948242</v>
      </c>
      <c r="D149" s="180" t="n">
        <f aca="false">F149+G149</f>
        <v>45.6857106053811</v>
      </c>
      <c r="F149" s="180" t="n">
        <f aca="false">('Fuel Curve Simulation'!J157*'Revenues &amp; Expenses'!$S$2/1000)</f>
        <v>42.8891467241379</v>
      </c>
      <c r="G149" s="180" t="n">
        <f aca="false">'Revenues &amp; Expenses'!$AM$5*1000*'Revenues &amp; Expenses'!O157</f>
        <v>2.79656388124317</v>
      </c>
      <c r="H149" s="204" t="n">
        <f aca="false">H148+1</f>
        <v>140</v>
      </c>
      <c r="I149" s="204" t="n">
        <f aca="false">IF(C149&gt;D149,1,0)</f>
        <v>1</v>
      </c>
      <c r="J149" s="204" t="n">
        <v>315</v>
      </c>
      <c r="K149" s="212" t="n">
        <f aca="false">IF(I149&gt;0,J149*'Revenues &amp; Expenses'!F157*16,0)</f>
        <v>110880</v>
      </c>
      <c r="L149" s="211" t="n">
        <f aca="false">K149*'Revenues &amp; Expenses'!N157</f>
        <v>44733.2179644116</v>
      </c>
      <c r="M149" s="212"/>
      <c r="N149" s="212"/>
      <c r="AC149" s="248" t="n">
        <f aca="false">B149</f>
        <v>41091</v>
      </c>
      <c r="AD149" s="10" t="n">
        <f aca="false">AD148+1</f>
        <v>140</v>
      </c>
      <c r="AE149" s="10" t="n">
        <f aca="false">C149*L149</f>
        <v>4985517.00561872</v>
      </c>
      <c r="AF149" s="10" t="n">
        <f aca="false">L149</f>
        <v>44733.2179644116</v>
      </c>
      <c r="AG149" s="205" t="n">
        <f aca="false">IF(AF149&gt;0,AE149/AF149,0)</f>
        <v>111.449996948242</v>
      </c>
      <c r="AJ149" s="10" t="n">
        <f aca="false">D149*L149</f>
        <v>2043668.85036954</v>
      </c>
      <c r="AK149" s="249" t="n">
        <f aca="false">IF(AF149&gt;0,AJ149/AF149,0)</f>
        <v>45.6857106053811</v>
      </c>
    </row>
    <row r="150" customFormat="false" ht="12.75" hidden="false" customHeight="false" outlineLevel="0" collapsed="false">
      <c r="A150" s="180" t="n">
        <v>120.831608531232</v>
      </c>
      <c r="B150" s="240" t="n">
        <f aca="false">'Revenues &amp; Expenses'!AX158</f>
        <v>41122</v>
      </c>
      <c r="C150" s="180" t="n">
        <f aca="false">'PJM Curve Simulation'!J158</f>
        <v>98.4499969482422</v>
      </c>
      <c r="D150" s="180" t="n">
        <f aca="false">F150+G150</f>
        <v>46.5589909797664</v>
      </c>
      <c r="F150" s="180" t="n">
        <f aca="false">('Fuel Curve Simulation'!J158*'Revenues &amp; Expenses'!$S$2/1000)</f>
        <v>43.7562113793104</v>
      </c>
      <c r="G150" s="180" t="n">
        <f aca="false">'Revenues &amp; Expenses'!$AM$5*1000*'Revenues &amp; Expenses'!O158</f>
        <v>2.80277960045604</v>
      </c>
      <c r="H150" s="204" t="n">
        <f aca="false">H149+1</f>
        <v>141</v>
      </c>
      <c r="I150" s="204" t="n">
        <f aca="false">IF(C150&gt;D150,1,0)</f>
        <v>1</v>
      </c>
      <c r="J150" s="204" t="n">
        <v>315</v>
      </c>
      <c r="K150" s="212" t="n">
        <f aca="false">IF(I150&gt;0,J150*'Revenues &amp; Expenses'!F158*16,0)</f>
        <v>110880</v>
      </c>
      <c r="L150" s="211" t="n">
        <f aca="false">K150*'Revenues &amp; Expenses'!N158</f>
        <v>44459.9540042481</v>
      </c>
      <c r="M150" s="212"/>
      <c r="N150" s="212"/>
      <c r="AC150" s="248" t="n">
        <f aca="false">B150</f>
        <v>41122</v>
      </c>
      <c r="AD150" s="10" t="n">
        <f aca="false">AD149+1</f>
        <v>141</v>
      </c>
      <c r="AE150" s="10" t="n">
        <f aca="false">C150*L150</f>
        <v>4377082.33603722</v>
      </c>
      <c r="AF150" s="10" t="n">
        <f aca="false">L150</f>
        <v>44459.9540042481</v>
      </c>
      <c r="AG150" s="205" t="n">
        <f aca="false">IF(AF150&gt;0,AE150/AF150,0)</f>
        <v>98.4499969482422</v>
      </c>
      <c r="AJ150" s="10" t="n">
        <f aca="false">D150*L150</f>
        <v>2070010.59744462</v>
      </c>
      <c r="AK150" s="249" t="n">
        <f aca="false">IF(AF150&gt;0,AJ150/AF150,0)</f>
        <v>46.5589909797664</v>
      </c>
    </row>
    <row r="151" customFormat="false" ht="12.75" hidden="false" customHeight="false" outlineLevel="0" collapsed="false">
      <c r="A151" s="180" t="n">
        <v>43.2286040639501</v>
      </c>
      <c r="B151" s="240" t="n">
        <f aca="false">'Revenues &amp; Expenses'!AX159</f>
        <v>41153</v>
      </c>
      <c r="C151" s="180" t="n">
        <f aca="false">'PJM Curve Simulation'!J159</f>
        <v>37.4249984741211</v>
      </c>
      <c r="D151" s="180" t="n">
        <f aca="false">F151+G151</f>
        <v>47.4735739624823</v>
      </c>
      <c r="F151" s="180" t="n">
        <f aca="false">('Fuel Curve Simulation'!J159*'Revenues &amp; Expenses'!$S$2/1000)</f>
        <v>44.6645648275862</v>
      </c>
      <c r="G151" s="180" t="n">
        <f aca="false">'Revenues &amp; Expenses'!$AM$5*1000*'Revenues &amp; Expenses'!O159</f>
        <v>2.80900913489608</v>
      </c>
      <c r="H151" s="204" t="n">
        <f aca="false">H150+1</f>
        <v>142</v>
      </c>
      <c r="I151" s="204" t="n">
        <f aca="false">IF(C151&gt;D151,1,0)</f>
        <v>0</v>
      </c>
      <c r="J151" s="204" t="n">
        <v>315</v>
      </c>
      <c r="K151" s="212" t="n">
        <f aca="false">IF(I151&gt;0,J151*'Revenues &amp; Expenses'!F159*16,0)</f>
        <v>0</v>
      </c>
      <c r="L151" s="211" t="n">
        <f aca="false">K151*'Revenues &amp; Expenses'!N159</f>
        <v>0</v>
      </c>
      <c r="M151" s="212"/>
      <c r="N151" s="212"/>
      <c r="AC151" s="248" t="n">
        <f aca="false">B151</f>
        <v>41153</v>
      </c>
      <c r="AD151" s="10" t="n">
        <f aca="false">AD150+1</f>
        <v>142</v>
      </c>
      <c r="AE151" s="10" t="n">
        <f aca="false">C151*L151</f>
        <v>0</v>
      </c>
      <c r="AF151" s="10" t="n">
        <f aca="false">L151</f>
        <v>0</v>
      </c>
      <c r="AG151" s="205" t="n">
        <f aca="false">IF(AF151&gt;0,AE151/AF151,0)</f>
        <v>0</v>
      </c>
      <c r="AJ151" s="10" t="n">
        <f aca="false">D151*L151</f>
        <v>0</v>
      </c>
      <c r="AK151" s="249" t="n">
        <f aca="false">IF(AF151&gt;0,AJ151/AF151,0)</f>
        <v>0</v>
      </c>
    </row>
    <row r="152" customFormat="false" ht="12.75" hidden="false" customHeight="false" outlineLevel="0" collapsed="false">
      <c r="A152" s="180" t="n">
        <v>35.917217323122</v>
      </c>
      <c r="B152" s="240" t="n">
        <f aca="false">'Revenues &amp; Expenses'!AX160</f>
        <v>41183</v>
      </c>
      <c r="C152" s="180" t="n">
        <f aca="false">'PJM Curve Simulation'!J160</f>
        <v>30.5750003814697</v>
      </c>
      <c r="D152" s="180" t="n">
        <f aca="false">F152+G152</f>
        <v>48.3667006187177</v>
      </c>
      <c r="F152" s="180" t="n">
        <f aca="false">('Fuel Curve Simulation'!J160*'Revenues &amp; Expenses'!$S$2/1000)</f>
        <v>45.5514481034483</v>
      </c>
      <c r="G152" s="180" t="n">
        <f aca="false">'Revenues &amp; Expenses'!$AM$5*1000*'Revenues &amp; Expenses'!O160</f>
        <v>2.8152525152694</v>
      </c>
      <c r="H152" s="204" t="n">
        <f aca="false">H151+1</f>
        <v>143</v>
      </c>
      <c r="I152" s="204" t="n">
        <f aca="false">IF(C152&gt;D152,1,0)</f>
        <v>0</v>
      </c>
      <c r="J152" s="204" t="n">
        <v>315</v>
      </c>
      <c r="K152" s="212" t="n">
        <f aca="false">IF(I152&gt;0,J152*'Revenues &amp; Expenses'!F160*16,0)</f>
        <v>0</v>
      </c>
      <c r="L152" s="211" t="n">
        <f aca="false">K152*'Revenues &amp; Expenses'!N160</f>
        <v>0</v>
      </c>
      <c r="M152" s="212"/>
      <c r="N152" s="212"/>
      <c r="AC152" s="248" t="n">
        <f aca="false">B152</f>
        <v>41183</v>
      </c>
      <c r="AD152" s="10" t="n">
        <f aca="false">AD151+1</f>
        <v>143</v>
      </c>
      <c r="AE152" s="10" t="n">
        <f aca="false">C152*L152</f>
        <v>0</v>
      </c>
      <c r="AF152" s="10" t="n">
        <f aca="false">L152</f>
        <v>0</v>
      </c>
      <c r="AG152" s="205" t="n">
        <f aca="false">IF(AF152&gt;0,AE152/AF152,0)</f>
        <v>0</v>
      </c>
      <c r="AJ152" s="10" t="n">
        <f aca="false">D152*L152</f>
        <v>0</v>
      </c>
      <c r="AK152" s="249" t="n">
        <f aca="false">IF(AF152&gt;0,AJ152/AF152,0)</f>
        <v>0</v>
      </c>
    </row>
    <row r="153" customFormat="false" ht="12.75" hidden="false" customHeight="false" outlineLevel="0" collapsed="false">
      <c r="A153" s="180" t="n">
        <v>36.0194780972672</v>
      </c>
      <c r="B153" s="240" t="n">
        <f aca="false">'Revenues &amp; Expenses'!AX161</f>
        <v>41214</v>
      </c>
      <c r="C153" s="180" t="n">
        <f aca="false">'PJM Curve Simulation'!J161</f>
        <v>30.2474990844727</v>
      </c>
      <c r="D153" s="180" t="n">
        <f aca="false">F153+G153</f>
        <v>48.8453016689021</v>
      </c>
      <c r="F153" s="180" t="n">
        <f aca="false">('Fuel Curve Simulation'!J161*'Revenues &amp; Expenses'!$S$2/1000)</f>
        <v>46.0237918965517</v>
      </c>
      <c r="G153" s="180" t="n">
        <f aca="false">'Revenues &amp; Expenses'!$AM$5*1000*'Revenues &amp; Expenses'!O161</f>
        <v>2.82150977235034</v>
      </c>
      <c r="H153" s="204" t="n">
        <f aca="false">H152+1</f>
        <v>144</v>
      </c>
      <c r="I153" s="204" t="n">
        <f aca="false">IF(C153&gt;D153,1,0)</f>
        <v>0</v>
      </c>
      <c r="J153" s="204" t="n">
        <v>315</v>
      </c>
      <c r="K153" s="212" t="n">
        <f aca="false">IF(I153&gt;0,J153*'Revenues &amp; Expenses'!F161*16,0)</f>
        <v>0</v>
      </c>
      <c r="L153" s="211" t="n">
        <f aca="false">K153*'Revenues &amp; Expenses'!N161</f>
        <v>0</v>
      </c>
      <c r="M153" s="212"/>
      <c r="N153" s="212"/>
      <c r="AC153" s="248" t="n">
        <f aca="false">B153</f>
        <v>41214</v>
      </c>
      <c r="AD153" s="10" t="n">
        <f aca="false">AD152+1</f>
        <v>144</v>
      </c>
      <c r="AE153" s="10" t="n">
        <f aca="false">C153*L153</f>
        <v>0</v>
      </c>
      <c r="AF153" s="10" t="n">
        <f aca="false">L153</f>
        <v>0</v>
      </c>
      <c r="AG153" s="205" t="n">
        <f aca="false">IF(AF153&gt;0,AE153/AF153,0)</f>
        <v>0</v>
      </c>
      <c r="AJ153" s="10" t="n">
        <f aca="false">D153*L153</f>
        <v>0</v>
      </c>
      <c r="AK153" s="249" t="n">
        <f aca="false">IF(AF153&gt;0,AJ153/AF153,0)</f>
        <v>0</v>
      </c>
    </row>
    <row r="154" customFormat="false" ht="12.75" hidden="false" customHeight="false" outlineLevel="0" collapsed="false">
      <c r="A154" s="180" t="n">
        <v>38.590844029383</v>
      </c>
      <c r="B154" s="240" t="n">
        <f aca="false">'Revenues &amp; Expenses'!AX162</f>
        <v>41244</v>
      </c>
      <c r="C154" s="180" t="n">
        <f aca="false">'PJM Curve Simulation'!J162</f>
        <v>31.9999996185303</v>
      </c>
      <c r="D154" s="180" t="n">
        <f aca="false">F154+G154</f>
        <v>49.2611576611196</v>
      </c>
      <c r="F154" s="180" t="n">
        <f aca="false">('Fuel Curve Simulation'!J162*'Revenues &amp; Expenses'!$S$2/1000)</f>
        <v>46.4333767241379</v>
      </c>
      <c r="G154" s="180" t="n">
        <f aca="false">'Revenues &amp; Expenses'!$AM$5*1000*'Revenues &amp; Expenses'!O162</f>
        <v>2.82778093698166</v>
      </c>
      <c r="H154" s="204" t="n">
        <f aca="false">H153+1</f>
        <v>145</v>
      </c>
      <c r="I154" s="204" t="n">
        <f aca="false">IF(C154&gt;D154,1,0)</f>
        <v>0</v>
      </c>
      <c r="J154" s="204" t="n">
        <v>315</v>
      </c>
      <c r="K154" s="212" t="n">
        <f aca="false">IF(I154&gt;0,J154*'Revenues &amp; Expenses'!F162*16,0)</f>
        <v>0</v>
      </c>
      <c r="L154" s="211" t="n">
        <f aca="false">K154*'Revenues &amp; Expenses'!N162</f>
        <v>0</v>
      </c>
      <c r="M154" s="212" t="n">
        <f aca="false">SUM(L143:L154)</f>
        <v>134192.474271776</v>
      </c>
      <c r="N154" s="212" t="n">
        <f aca="false">SUM(K143:K154)</f>
        <v>332640</v>
      </c>
      <c r="AC154" s="248" t="n">
        <f aca="false">B154</f>
        <v>41244</v>
      </c>
      <c r="AD154" s="10" t="n">
        <f aca="false">AD153+1</f>
        <v>145</v>
      </c>
      <c r="AE154" s="10" t="n">
        <f aca="false">C154*L154</f>
        <v>0</v>
      </c>
      <c r="AF154" s="10" t="n">
        <f aca="false">L154</f>
        <v>0</v>
      </c>
      <c r="AG154" s="205" t="n">
        <f aca="false">IF(AF154&gt;0,AE154/AF154,0)</f>
        <v>0</v>
      </c>
      <c r="AH154" s="205" t="n">
        <f aca="false">IF(SUM(AF143:AF154)=0,0,SUM(AE143:AE154)/SUM(AF143:AF154))</f>
        <v>91.1810054285579</v>
      </c>
      <c r="AJ154" s="10" t="n">
        <f aca="false">D154*L154</f>
        <v>0</v>
      </c>
      <c r="AK154" s="249" t="n">
        <f aca="false">IF(AF154&gt;0,AJ154/AF154,0)</f>
        <v>0</v>
      </c>
      <c r="AL154" s="249" t="n">
        <f aca="false">IF(SUM(AF143:AF154)=0,0,SUM(AJ143:AJ154)/SUM(AF143:AF154))</f>
        <v>45.7890928734363</v>
      </c>
    </row>
    <row r="155" customFormat="false" ht="12.75" hidden="false" customHeight="false" outlineLevel="0" collapsed="false">
      <c r="A155" s="180" t="n">
        <v>49.7537833060256</v>
      </c>
      <c r="B155" s="240" t="n">
        <f aca="false">'Revenues &amp; Expenses'!AX163</f>
        <v>41275</v>
      </c>
      <c r="C155" s="180" t="n">
        <f aca="false">'PJM Curve Simulation'!J163</f>
        <v>40.5749984741211</v>
      </c>
      <c r="D155" s="180" t="n">
        <f aca="false">F155+G155</f>
        <v>48.7191275917988</v>
      </c>
      <c r="F155" s="180" t="n">
        <f aca="false">('Fuel Curve Simulation'!J163*'Revenues &amp; Expenses'!$S$2/1000)</f>
        <v>45.8850615517242</v>
      </c>
      <c r="G155" s="180" t="n">
        <f aca="false">'Revenues &amp; Expenses'!$AM$5*1000*'Revenues &amp; Expenses'!O163</f>
        <v>2.83406604007466</v>
      </c>
      <c r="H155" s="204" t="n">
        <f aca="false">H154+1</f>
        <v>146</v>
      </c>
      <c r="I155" s="204" t="n">
        <f aca="false">IF(C155&gt;D155,1,0)</f>
        <v>0</v>
      </c>
      <c r="J155" s="204" t="n">
        <v>315</v>
      </c>
      <c r="K155" s="212" t="n">
        <f aca="false">IF(I155&gt;0,J155*'Revenues &amp; Expenses'!F163*16,0)</f>
        <v>0</v>
      </c>
      <c r="L155" s="211" t="n">
        <f aca="false">K155*'Revenues &amp; Expenses'!N163</f>
        <v>0</v>
      </c>
      <c r="M155" s="212"/>
      <c r="N155" s="212"/>
      <c r="AC155" s="248" t="n">
        <f aca="false">B155</f>
        <v>41275</v>
      </c>
      <c r="AD155" s="10" t="n">
        <f aca="false">AD154+1</f>
        <v>146</v>
      </c>
      <c r="AE155" s="10" t="n">
        <f aca="false">C155*L155</f>
        <v>0</v>
      </c>
      <c r="AF155" s="10" t="n">
        <f aca="false">L155</f>
        <v>0</v>
      </c>
      <c r="AG155" s="205" t="n">
        <f aca="false">IF(AF155&gt;0,AE155/AF155,0)</f>
        <v>0</v>
      </c>
      <c r="AJ155" s="10" t="n">
        <f aca="false">D155*L155</f>
        <v>0</v>
      </c>
      <c r="AK155" s="249" t="n">
        <f aca="false">IF(AF155&gt;0,AJ155/AF155,0)</f>
        <v>0</v>
      </c>
    </row>
    <row r="156" customFormat="false" ht="12.75" hidden="false" customHeight="false" outlineLevel="0" collapsed="false">
      <c r="A156" s="180" t="n">
        <v>49.7537833060256</v>
      </c>
      <c r="B156" s="240" t="n">
        <f aca="false">'Revenues &amp; Expenses'!AX164</f>
        <v>41306</v>
      </c>
      <c r="C156" s="180" t="n">
        <f aca="false">'PJM Curve Simulation'!J164</f>
        <v>40.5749984741211</v>
      </c>
      <c r="D156" s="180" t="n">
        <f aca="false">F156+G156</f>
        <v>47.7757844229542</v>
      </c>
      <c r="F156" s="180" t="n">
        <f aca="false">('Fuel Curve Simulation'!J164*'Revenues &amp; Expenses'!$S$2/1000)</f>
        <v>44.9354193103448</v>
      </c>
      <c r="G156" s="180" t="n">
        <f aca="false">'Revenues &amp; Expenses'!$AM$5*1000*'Revenues &amp; Expenses'!O164</f>
        <v>2.84036511260934</v>
      </c>
      <c r="H156" s="204" t="n">
        <f aca="false">H155+1</f>
        <v>147</v>
      </c>
      <c r="I156" s="204" t="n">
        <f aca="false">IF(C156&gt;D156,1,0)</f>
        <v>0</v>
      </c>
      <c r="J156" s="204" t="n">
        <v>315</v>
      </c>
      <c r="K156" s="212" t="n">
        <f aca="false">IF(I156&gt;0,J156*'Revenues &amp; Expenses'!F164*16,0)</f>
        <v>0</v>
      </c>
      <c r="L156" s="211" t="n">
        <f aca="false">K156*'Revenues &amp; Expenses'!N164</f>
        <v>0</v>
      </c>
      <c r="M156" s="212"/>
      <c r="N156" s="212"/>
      <c r="AC156" s="248" t="n">
        <f aca="false">B156</f>
        <v>41306</v>
      </c>
      <c r="AD156" s="10" t="n">
        <f aca="false">AD155+1</f>
        <v>147</v>
      </c>
      <c r="AE156" s="10" t="n">
        <f aca="false">C156*L156</f>
        <v>0</v>
      </c>
      <c r="AF156" s="10" t="n">
        <f aca="false">L156</f>
        <v>0</v>
      </c>
      <c r="AG156" s="205" t="n">
        <f aca="false">IF(AF156&gt;0,AE156/AF156,0)</f>
        <v>0</v>
      </c>
      <c r="AJ156" s="10" t="n">
        <f aca="false">D156*L156</f>
        <v>0</v>
      </c>
      <c r="AK156" s="249" t="n">
        <f aca="false">IF(AF156&gt;0,AJ156/AF156,0)</f>
        <v>0</v>
      </c>
    </row>
    <row r="157" customFormat="false" ht="12.75" hidden="false" customHeight="false" outlineLevel="0" collapsed="false">
      <c r="A157" s="180" t="n">
        <v>36.851618427906</v>
      </c>
      <c r="B157" s="240" t="n">
        <f aca="false">'Revenues &amp; Expenses'!AX165</f>
        <v>41334</v>
      </c>
      <c r="C157" s="180" t="n">
        <f aca="false">'PJM Curve Simulation'!J165</f>
        <v>30.3000007629395</v>
      </c>
      <c r="D157" s="180" t="n">
        <f aca="false">F157+G157</f>
        <v>46.8522738752898</v>
      </c>
      <c r="F157" s="180" t="n">
        <f aca="false">('Fuel Curve Simulation'!J165*'Revenues &amp; Expenses'!$S$2/1000)</f>
        <v>44.0055956896552</v>
      </c>
      <c r="G157" s="180" t="n">
        <f aca="false">'Revenues &amp; Expenses'!$AM$5*1000*'Revenues &amp; Expenses'!O165</f>
        <v>2.84667818563457</v>
      </c>
      <c r="H157" s="204" t="n">
        <f aca="false">H156+1</f>
        <v>148</v>
      </c>
      <c r="I157" s="204" t="n">
        <f aca="false">IF(C157&gt;D157,1,0)</f>
        <v>0</v>
      </c>
      <c r="J157" s="204" t="n">
        <v>315</v>
      </c>
      <c r="K157" s="212" t="n">
        <f aca="false">IF(I157&gt;0,J157*'Revenues &amp; Expenses'!F165*16,0)</f>
        <v>0</v>
      </c>
      <c r="L157" s="211" t="n">
        <f aca="false">K157*'Revenues &amp; Expenses'!N165</f>
        <v>0</v>
      </c>
      <c r="M157" s="212"/>
      <c r="N157" s="212"/>
      <c r="AC157" s="248" t="n">
        <f aca="false">B157</f>
        <v>41334</v>
      </c>
      <c r="AD157" s="10" t="n">
        <f aca="false">AD156+1</f>
        <v>148</v>
      </c>
      <c r="AE157" s="10" t="n">
        <f aca="false">C157*L157</f>
        <v>0</v>
      </c>
      <c r="AF157" s="10" t="n">
        <f aca="false">L157</f>
        <v>0</v>
      </c>
      <c r="AG157" s="205" t="n">
        <f aca="false">IF(AF157&gt;0,AE157/AF157,0)</f>
        <v>0</v>
      </c>
      <c r="AJ157" s="10" t="n">
        <f aca="false">D157*L157</f>
        <v>0</v>
      </c>
      <c r="AK157" s="249" t="n">
        <f aca="false">IF(AF157&gt;0,AJ157/AF157,0)</f>
        <v>0</v>
      </c>
    </row>
    <row r="158" customFormat="false" ht="12.75" hidden="false" customHeight="false" outlineLevel="0" collapsed="false">
      <c r="A158" s="180" t="n">
        <v>34.1159467491353</v>
      </c>
      <c r="B158" s="240" t="n">
        <f aca="false">'Revenues &amp; Expenses'!AX166</f>
        <v>41365</v>
      </c>
      <c r="C158" s="180" t="n">
        <f aca="false">'PJM Curve Simulation'!J166</f>
        <v>30.0750007629395</v>
      </c>
      <c r="D158" s="180" t="n">
        <f aca="false">F158+G158</f>
        <v>45.9007009799234</v>
      </c>
      <c r="F158" s="180" t="n">
        <f aca="false">('Fuel Curve Simulation'!J166*'Revenues &amp; Expenses'!$S$2/1000)</f>
        <v>43.0476956896552</v>
      </c>
      <c r="G158" s="180" t="n">
        <f aca="false">'Revenues &amp; Expenses'!$AM$5*1000*'Revenues &amp; Expenses'!O166</f>
        <v>2.85300529026821</v>
      </c>
      <c r="H158" s="204" t="n">
        <f aca="false">H157+1</f>
        <v>149</v>
      </c>
      <c r="I158" s="204" t="n">
        <f aca="false">IF(C158&gt;D158,1,0)</f>
        <v>0</v>
      </c>
      <c r="J158" s="204" t="n">
        <v>315</v>
      </c>
      <c r="K158" s="212" t="n">
        <f aca="false">IF(I158&gt;0,J158*'Revenues &amp; Expenses'!F166*16,0)</f>
        <v>0</v>
      </c>
      <c r="L158" s="211" t="n">
        <f aca="false">K158*'Revenues &amp; Expenses'!N166</f>
        <v>0</v>
      </c>
      <c r="M158" s="212"/>
      <c r="N158" s="212"/>
      <c r="AC158" s="248" t="n">
        <f aca="false">B158</f>
        <v>41365</v>
      </c>
      <c r="AD158" s="10" t="n">
        <f aca="false">AD157+1</f>
        <v>149</v>
      </c>
      <c r="AE158" s="10" t="n">
        <f aca="false">C158*L158</f>
        <v>0</v>
      </c>
      <c r="AF158" s="10" t="n">
        <f aca="false">L158</f>
        <v>0</v>
      </c>
      <c r="AG158" s="205" t="n">
        <f aca="false">IF(AF158&gt;0,AE158/AF158,0)</f>
        <v>0</v>
      </c>
      <c r="AJ158" s="10" t="n">
        <f aca="false">D158*L158</f>
        <v>0</v>
      </c>
      <c r="AK158" s="249" t="n">
        <f aca="false">IF(AF158&gt;0,AJ158/AF158,0)</f>
        <v>0</v>
      </c>
    </row>
    <row r="159" customFormat="false" ht="12.75" hidden="false" customHeight="false" outlineLevel="0" collapsed="false">
      <c r="A159" s="180" t="n">
        <v>41.7988944230238</v>
      </c>
      <c r="B159" s="240" t="n">
        <f aca="false">'Revenues &amp; Expenses'!AX167</f>
        <v>41395</v>
      </c>
      <c r="C159" s="180" t="n">
        <f aca="false">'PJM Curve Simulation'!J167</f>
        <v>38.075</v>
      </c>
      <c r="D159" s="180" t="n">
        <f aca="false">F159+G159</f>
        <v>45.2629369749387</v>
      </c>
      <c r="F159" s="180" t="n">
        <f aca="false">('Fuel Curve Simulation'!J167*'Revenues &amp; Expenses'!$S$2/1000)</f>
        <v>42.4035905172414</v>
      </c>
      <c r="G159" s="180" t="n">
        <f aca="false">'Revenues &amp; Expenses'!$AM$5*1000*'Revenues &amp; Expenses'!O167</f>
        <v>2.8593464576973</v>
      </c>
      <c r="H159" s="204" t="n">
        <f aca="false">H158+1</f>
        <v>150</v>
      </c>
      <c r="I159" s="204" t="n">
        <f aca="false">IF(C159&gt;D159,1,0)</f>
        <v>0</v>
      </c>
      <c r="J159" s="204" t="n">
        <v>315</v>
      </c>
      <c r="K159" s="212" t="n">
        <f aca="false">IF(I159&gt;0,J159*'Revenues &amp; Expenses'!F167*16,0)</f>
        <v>0</v>
      </c>
      <c r="L159" s="211" t="n">
        <f aca="false">K159*'Revenues &amp; Expenses'!N167</f>
        <v>0</v>
      </c>
      <c r="M159" s="212"/>
      <c r="N159" s="212"/>
      <c r="AC159" s="248" t="n">
        <f aca="false">B159</f>
        <v>41395</v>
      </c>
      <c r="AD159" s="10" t="n">
        <f aca="false">AD158+1</f>
        <v>150</v>
      </c>
      <c r="AE159" s="10" t="n">
        <f aca="false">C159*L159</f>
        <v>0</v>
      </c>
      <c r="AF159" s="10" t="n">
        <f aca="false">L159</f>
        <v>0</v>
      </c>
      <c r="AG159" s="205" t="n">
        <f aca="false">IF(AF159&gt;0,AE159/AF159,0)</f>
        <v>0</v>
      </c>
      <c r="AJ159" s="10" t="n">
        <f aca="false">D159*L159</f>
        <v>0</v>
      </c>
      <c r="AK159" s="249" t="n">
        <f aca="false">IF(AF159&gt;0,AJ159/AF159,0)</f>
        <v>0</v>
      </c>
    </row>
    <row r="160" customFormat="false" ht="12.75" hidden="false" customHeight="false" outlineLevel="0" collapsed="false">
      <c r="A160" s="180" t="n">
        <v>79.7146045005327</v>
      </c>
      <c r="B160" s="240" t="n">
        <f aca="false">'Revenues &amp; Expenses'!AX168</f>
        <v>41426</v>
      </c>
      <c r="C160" s="180" t="n">
        <f aca="false">'PJM Curve Simulation'!J168</f>
        <v>64.5999984741211</v>
      </c>
      <c r="D160" s="180" t="n">
        <f aca="false">F160+G160</f>
        <v>45.2065332709024</v>
      </c>
      <c r="F160" s="180" t="n">
        <f aca="false">('Fuel Curve Simulation'!J168*'Revenues &amp; Expenses'!$S$2/1000)</f>
        <v>42.3408315517242</v>
      </c>
      <c r="G160" s="180" t="n">
        <f aca="false">'Revenues &amp; Expenses'!$AM$5*1000*'Revenues &amp; Expenses'!O168</f>
        <v>2.86570171917821</v>
      </c>
      <c r="H160" s="204" t="n">
        <f aca="false">H159+1</f>
        <v>151</v>
      </c>
      <c r="I160" s="204" t="n">
        <f aca="false">IF(C160&gt;D160,1,0)</f>
        <v>1</v>
      </c>
      <c r="J160" s="204" t="n">
        <v>315</v>
      </c>
      <c r="K160" s="212" t="n">
        <f aca="false">IF(I160&gt;0,J160*'Revenues &amp; Expenses'!F168*16,0)</f>
        <v>105840</v>
      </c>
      <c r="L160" s="211" t="n">
        <f aca="false">K160*'Revenues &amp; Expenses'!N168</f>
        <v>39965.8311767781</v>
      </c>
      <c r="M160" s="212"/>
      <c r="N160" s="212"/>
      <c r="AC160" s="248" t="n">
        <f aca="false">B160</f>
        <v>41426</v>
      </c>
      <c r="AD160" s="10" t="n">
        <f aca="false">AD159+1</f>
        <v>151</v>
      </c>
      <c r="AE160" s="10" t="n">
        <f aca="false">C160*L160</f>
        <v>2581792.63303685</v>
      </c>
      <c r="AF160" s="10" t="n">
        <f aca="false">L160</f>
        <v>39965.8311767781</v>
      </c>
      <c r="AG160" s="205" t="n">
        <f aca="false">IF(AF160&gt;0,AE160/AF160,0)</f>
        <v>64.5999984741211</v>
      </c>
      <c r="AJ160" s="10" t="n">
        <f aca="false">D160*L160</f>
        <v>1806716.67679229</v>
      </c>
      <c r="AK160" s="249" t="n">
        <f aca="false">IF(AF160&gt;0,AJ160/AF160,0)</f>
        <v>45.2065332709024</v>
      </c>
    </row>
    <row r="161" customFormat="false" ht="12.75" hidden="false" customHeight="false" outlineLevel="0" collapsed="false">
      <c r="A161" s="180" t="n">
        <v>149.295573306043</v>
      </c>
      <c r="B161" s="240" t="n">
        <f aca="false">'Revenues &amp; Expenses'!AX169</f>
        <v>41456</v>
      </c>
      <c r="C161" s="180" t="n">
        <f aca="false">'PJM Curve Simulation'!J169</f>
        <v>113.699996948242</v>
      </c>
      <c r="D161" s="180" t="n">
        <f aca="false">F161+G161</f>
        <v>45.7612178301747</v>
      </c>
      <c r="F161" s="180" t="n">
        <f aca="false">('Fuel Curve Simulation'!J169*'Revenues &amp; Expenses'!$S$2/1000)</f>
        <v>42.8891467241379</v>
      </c>
      <c r="G161" s="180" t="n">
        <f aca="false">'Revenues &amp; Expenses'!$AM$5*1000*'Revenues &amp; Expenses'!O169</f>
        <v>2.87207110603674</v>
      </c>
      <c r="H161" s="204" t="n">
        <f aca="false">H160+1</f>
        <v>152</v>
      </c>
      <c r="I161" s="204" t="n">
        <f aca="false">IF(C161&gt;D161,1,0)</f>
        <v>1</v>
      </c>
      <c r="J161" s="204" t="n">
        <v>315</v>
      </c>
      <c r="K161" s="212" t="n">
        <f aca="false">IF(I161&gt;0,J161*'Revenues &amp; Expenses'!F169*16,0)</f>
        <v>110880</v>
      </c>
      <c r="L161" s="211" t="n">
        <f aca="false">K161*'Revenues &amp; Expenses'!N169</f>
        <v>41621.7932204072</v>
      </c>
      <c r="M161" s="212"/>
      <c r="N161" s="212"/>
      <c r="AC161" s="248" t="n">
        <f aca="false">B161</f>
        <v>41456</v>
      </c>
      <c r="AD161" s="10" t="n">
        <f aca="false">AD160+1</f>
        <v>152</v>
      </c>
      <c r="AE161" s="10" t="n">
        <f aca="false">C161*L161</f>
        <v>4732397.76214067</v>
      </c>
      <c r="AF161" s="10" t="n">
        <f aca="false">L161</f>
        <v>41621.7932204072</v>
      </c>
      <c r="AG161" s="205" t="n">
        <f aca="false">IF(AF161&gt;0,AE161/AF161,0)</f>
        <v>113.699996948242</v>
      </c>
      <c r="AJ161" s="10" t="n">
        <f aca="false">D161*L161</f>
        <v>1904663.94604154</v>
      </c>
      <c r="AK161" s="249" t="n">
        <f aca="false">IF(AF161&gt;0,AJ161/AF161,0)</f>
        <v>45.7612178301747</v>
      </c>
    </row>
    <row r="162" customFormat="false" ht="12.75" hidden="false" customHeight="false" outlineLevel="0" collapsed="false">
      <c r="A162" s="180" t="n">
        <v>123.593123286161</v>
      </c>
      <c r="B162" s="240" t="n">
        <f aca="false">'Revenues &amp; Expenses'!AX170</f>
        <v>41487</v>
      </c>
      <c r="C162" s="180" t="n">
        <f aca="false">'PJM Curve Simulation'!J170</f>
        <v>100.699996948242</v>
      </c>
      <c r="D162" s="180" t="n">
        <f aca="false">F162+G162</f>
        <v>46.6346660289787</v>
      </c>
      <c r="F162" s="180" t="n">
        <f aca="false">('Fuel Curve Simulation'!J170*'Revenues &amp; Expenses'!$S$2/1000)</f>
        <v>43.7562113793104</v>
      </c>
      <c r="G162" s="180" t="n">
        <f aca="false">'Revenues &amp; Expenses'!$AM$5*1000*'Revenues &amp; Expenses'!O170</f>
        <v>2.87845464966835</v>
      </c>
      <c r="H162" s="204" t="n">
        <f aca="false">H161+1</f>
        <v>153</v>
      </c>
      <c r="I162" s="204" t="n">
        <f aca="false">IF(C162&gt;D162,1,0)</f>
        <v>1</v>
      </c>
      <c r="J162" s="204" t="n">
        <v>315</v>
      </c>
      <c r="K162" s="212" t="n">
        <f aca="false">IF(I162&gt;0,J162*'Revenues &amp; Expenses'!F170*16,0)</f>
        <v>115920</v>
      </c>
      <c r="L162" s="211" t="n">
        <f aca="false">K162*'Revenues &amp; Expenses'!N170</f>
        <v>43248.3099767812</v>
      </c>
      <c r="M162" s="212"/>
      <c r="N162" s="212"/>
      <c r="AC162" s="248" t="n">
        <f aca="false">B162</f>
        <v>41487</v>
      </c>
      <c r="AD162" s="10" t="n">
        <f aca="false">AD161+1</f>
        <v>153</v>
      </c>
      <c r="AE162" s="10" t="n">
        <f aca="false">C162*L162</f>
        <v>4355104.6826785</v>
      </c>
      <c r="AF162" s="10" t="n">
        <f aca="false">L162</f>
        <v>43248.3099767812</v>
      </c>
      <c r="AG162" s="205" t="n">
        <f aca="false">IF(AF162&gt;0,AE162/AF162,0)</f>
        <v>100.699996948242</v>
      </c>
      <c r="AJ162" s="10" t="n">
        <f aca="false">D162*L162</f>
        <v>2016870.49208494</v>
      </c>
      <c r="AK162" s="249" t="n">
        <f aca="false">IF(AF162&gt;0,AJ162/AF162,0)</f>
        <v>46.6346660289787</v>
      </c>
    </row>
    <row r="163" customFormat="false" ht="12.75" hidden="false" customHeight="false" outlineLevel="0" collapsed="false">
      <c r="A163" s="180" t="n">
        <v>43.8061405479375</v>
      </c>
      <c r="B163" s="240" t="n">
        <f aca="false">'Revenues &amp; Expenses'!AX171</f>
        <v>41518</v>
      </c>
      <c r="C163" s="180" t="n">
        <f aca="false">'PJM Curve Simulation'!J171</f>
        <v>37.9249984741211</v>
      </c>
      <c r="D163" s="180" t="n">
        <f aca="false">F163+G163</f>
        <v>47.5494172091245</v>
      </c>
      <c r="F163" s="180" t="n">
        <f aca="false">('Fuel Curve Simulation'!J171*'Revenues &amp; Expenses'!$S$2/1000)</f>
        <v>44.6645648275862</v>
      </c>
      <c r="G163" s="180" t="n">
        <f aca="false">'Revenues &amp; Expenses'!$AM$5*1000*'Revenues &amp; Expenses'!O171</f>
        <v>2.88485238153827</v>
      </c>
      <c r="H163" s="204" t="n">
        <f aca="false">H162+1</f>
        <v>154</v>
      </c>
      <c r="I163" s="204" t="n">
        <f aca="false">IF(C163&gt;D163,1,0)</f>
        <v>0</v>
      </c>
      <c r="J163" s="204" t="n">
        <v>315</v>
      </c>
      <c r="K163" s="212" t="n">
        <f aca="false">IF(I163&gt;0,J163*'Revenues &amp; Expenses'!F171*16,0)</f>
        <v>0</v>
      </c>
      <c r="L163" s="211" t="n">
        <f aca="false">K163*'Revenues &amp; Expenses'!N171</f>
        <v>0</v>
      </c>
      <c r="M163" s="212"/>
      <c r="N163" s="212"/>
      <c r="AC163" s="248" t="n">
        <f aca="false">B163</f>
        <v>41518</v>
      </c>
      <c r="AD163" s="10" t="n">
        <f aca="false">AD162+1</f>
        <v>154</v>
      </c>
      <c r="AE163" s="10" t="n">
        <f aca="false">C163*L163</f>
        <v>0</v>
      </c>
      <c r="AF163" s="10" t="n">
        <f aca="false">L163</f>
        <v>0</v>
      </c>
      <c r="AG163" s="205" t="n">
        <f aca="false">IF(AF163&gt;0,AE163/AF163,0)</f>
        <v>0</v>
      </c>
      <c r="AJ163" s="10" t="n">
        <f aca="false">D163*L163</f>
        <v>0</v>
      </c>
      <c r="AK163" s="249" t="n">
        <f aca="false">IF(AF163&gt;0,AJ163/AF163,0)</f>
        <v>0</v>
      </c>
    </row>
    <row r="164" customFormat="false" ht="12.75" hidden="false" customHeight="false" outlineLevel="0" collapsed="false">
      <c r="A164" s="180" t="n">
        <v>36.210898573122</v>
      </c>
      <c r="B164" s="240" t="n">
        <f aca="false">'Revenues &amp; Expenses'!AX172</f>
        <v>41548</v>
      </c>
      <c r="C164" s="180" t="n">
        <f aca="false">'PJM Curve Simulation'!J172</f>
        <v>30.8250003814697</v>
      </c>
      <c r="D164" s="180" t="n">
        <f aca="false">F164+G164</f>
        <v>48.4427124366299</v>
      </c>
      <c r="F164" s="180" t="n">
        <f aca="false">('Fuel Curve Simulation'!J172*'Revenues &amp; Expenses'!$S$2/1000)</f>
        <v>45.5514481034483</v>
      </c>
      <c r="G164" s="180" t="n">
        <f aca="false">'Revenues &amp; Expenses'!$AM$5*1000*'Revenues &amp; Expenses'!O172</f>
        <v>2.89126433318167</v>
      </c>
      <c r="H164" s="204" t="n">
        <f aca="false">H163+1</f>
        <v>155</v>
      </c>
      <c r="I164" s="204" t="n">
        <f aca="false">IF(C164&gt;D164,1,0)</f>
        <v>0</v>
      </c>
      <c r="J164" s="204" t="n">
        <v>315</v>
      </c>
      <c r="K164" s="212" t="n">
        <f aca="false">IF(I164&gt;0,J164*'Revenues &amp; Expenses'!F172*16,0)</f>
        <v>0</v>
      </c>
      <c r="L164" s="211" t="n">
        <f aca="false">K164*'Revenues &amp; Expenses'!N172</f>
        <v>0</v>
      </c>
      <c r="M164" s="212"/>
      <c r="N164" s="212"/>
      <c r="AC164" s="248" t="n">
        <f aca="false">B164</f>
        <v>41548</v>
      </c>
      <c r="AD164" s="10" t="n">
        <f aca="false">AD163+1</f>
        <v>155</v>
      </c>
      <c r="AE164" s="10" t="n">
        <f aca="false">C164*L164</f>
        <v>0</v>
      </c>
      <c r="AF164" s="10" t="n">
        <f aca="false">L164</f>
        <v>0</v>
      </c>
      <c r="AG164" s="205" t="n">
        <f aca="false">IF(AF164&gt;0,AE164/AF164,0)</f>
        <v>0</v>
      </c>
      <c r="AJ164" s="10" t="n">
        <f aca="false">D164*L164</f>
        <v>0</v>
      </c>
      <c r="AK164" s="249" t="n">
        <f aca="false">IF(AF164&gt;0,AJ164/AF164,0)</f>
        <v>0</v>
      </c>
    </row>
    <row r="165" customFormat="false" ht="12.75" hidden="false" customHeight="false" outlineLevel="0" collapsed="false">
      <c r="A165" s="180" t="n">
        <v>36.3171843472672</v>
      </c>
      <c r="B165" s="240" t="n">
        <f aca="false">'Revenues &amp; Expenses'!AX173</f>
        <v>41579</v>
      </c>
      <c r="C165" s="180" t="n">
        <f aca="false">'PJM Curve Simulation'!J173</f>
        <v>30.4974990844727</v>
      </c>
      <c r="D165" s="180" t="n">
        <f aca="false">F165+G165</f>
        <v>48.9214824327555</v>
      </c>
      <c r="F165" s="180" t="n">
        <f aca="false">('Fuel Curve Simulation'!J173*'Revenues &amp; Expenses'!$S$2/1000)</f>
        <v>46.0237918965517</v>
      </c>
      <c r="G165" s="180" t="n">
        <f aca="false">'Revenues &amp; Expenses'!$AM$5*1000*'Revenues &amp; Expenses'!O173</f>
        <v>2.8976905362038</v>
      </c>
      <c r="H165" s="204" t="n">
        <f aca="false">H164+1</f>
        <v>156</v>
      </c>
      <c r="I165" s="204" t="n">
        <f aca="false">IF(C165&gt;D165,1,0)</f>
        <v>0</v>
      </c>
      <c r="J165" s="204" t="n">
        <v>315</v>
      </c>
      <c r="K165" s="212" t="n">
        <f aca="false">IF(I165&gt;0,J165*'Revenues &amp; Expenses'!F173*16,0)</f>
        <v>0</v>
      </c>
      <c r="L165" s="211" t="n">
        <f aca="false">K165*'Revenues &amp; Expenses'!N173</f>
        <v>0</v>
      </c>
      <c r="M165" s="212"/>
      <c r="N165" s="212"/>
      <c r="AC165" s="248" t="n">
        <f aca="false">B165</f>
        <v>41579</v>
      </c>
      <c r="AD165" s="10" t="n">
        <f aca="false">AD164+1</f>
        <v>156</v>
      </c>
      <c r="AE165" s="10" t="n">
        <f aca="false">C165*L165</f>
        <v>0</v>
      </c>
      <c r="AF165" s="10" t="n">
        <f aca="false">L165</f>
        <v>0</v>
      </c>
      <c r="AG165" s="205" t="n">
        <f aca="false">IF(AF165&gt;0,AE165/AF165,0)</f>
        <v>0</v>
      </c>
      <c r="AJ165" s="10" t="n">
        <f aca="false">D165*L165</f>
        <v>0</v>
      </c>
      <c r="AK165" s="249" t="n">
        <f aca="false">IF(AF165&gt;0,AJ165/AF165,0)</f>
        <v>0</v>
      </c>
    </row>
    <row r="166" customFormat="false" ht="12.75" hidden="false" customHeight="false" outlineLevel="0" collapsed="false">
      <c r="A166" s="180" t="n">
        <v>38.8923350019566</v>
      </c>
      <c r="B166" s="240" t="n">
        <f aca="false">'Revenues &amp; Expenses'!AX174</f>
        <v>41609</v>
      </c>
      <c r="C166" s="180" t="n">
        <f aca="false">'PJM Curve Simulation'!J174</f>
        <v>32.2499996185303</v>
      </c>
      <c r="D166" s="180" t="n">
        <f aca="false">F166+G166</f>
        <v>49.3375077464181</v>
      </c>
      <c r="F166" s="180" t="n">
        <f aca="false">('Fuel Curve Simulation'!J174*'Revenues &amp; Expenses'!$S$2/1000)</f>
        <v>46.4333767241379</v>
      </c>
      <c r="G166" s="180" t="n">
        <f aca="false">'Revenues &amp; Expenses'!$AM$5*1000*'Revenues &amp; Expenses'!O174</f>
        <v>2.90413102228017</v>
      </c>
      <c r="H166" s="204" t="n">
        <f aca="false">H165+1</f>
        <v>157</v>
      </c>
      <c r="I166" s="204" t="n">
        <f aca="false">IF(C166&gt;D166,1,0)</f>
        <v>0</v>
      </c>
      <c r="J166" s="204" t="n">
        <v>315</v>
      </c>
      <c r="K166" s="212" t="n">
        <f aca="false">IF(I166&gt;0,J166*'Revenues &amp; Expenses'!F174*16,0)</f>
        <v>0</v>
      </c>
      <c r="L166" s="211" t="n">
        <f aca="false">K166*'Revenues &amp; Expenses'!N174</f>
        <v>0</v>
      </c>
      <c r="M166" s="212" t="n">
        <f aca="false">SUM(L155:L166)</f>
        <v>124835.934373967</v>
      </c>
      <c r="N166" s="212" t="n">
        <f aca="false">SUM(K155:K166)</f>
        <v>332640</v>
      </c>
      <c r="AC166" s="248" t="n">
        <f aca="false">B166</f>
        <v>41609</v>
      </c>
      <c r="AD166" s="10" t="n">
        <f aca="false">AD165+1</f>
        <v>157</v>
      </c>
      <c r="AE166" s="10" t="n">
        <f aca="false">C166*L166</f>
        <v>0</v>
      </c>
      <c r="AF166" s="10" t="n">
        <f aca="false">L166</f>
        <v>0</v>
      </c>
      <c r="AG166" s="205" t="n">
        <f aca="false">IF(AF166&gt;0,AE166/AF166,0)</f>
        <v>0</v>
      </c>
      <c r="AH166" s="205" t="n">
        <f aca="false">IF(SUM(AF155:AF166)=0,0,SUM(AE155:AE166)/SUM(AF155:AF166))</f>
        <v>93.4770515907601</v>
      </c>
      <c r="AJ166" s="10" t="n">
        <f aca="false">D166*L166</f>
        <v>0</v>
      </c>
      <c r="AK166" s="249" t="n">
        <f aca="false">IF(AF166&gt;0,AJ166/AF166,0)</f>
        <v>0</v>
      </c>
      <c r="AL166" s="249" t="n">
        <f aca="false">IF(SUM(AF155:AF166)=0,0,SUM(AJ155:AJ166)/SUM(AF155:AF166))</f>
        <v>45.886235751309</v>
      </c>
    </row>
    <row r="167" customFormat="false" ht="12.75" hidden="false" customHeight="false" outlineLevel="0" collapsed="false">
      <c r="A167" s="180" t="n">
        <v>50.0603377433459</v>
      </c>
      <c r="B167" s="240" t="n">
        <f aca="false">'Revenues &amp; Expenses'!AX175</f>
        <v>41640</v>
      </c>
      <c r="C167" s="180" t="n">
        <f aca="false">'PJM Curve Simulation'!J175</f>
        <v>40.8249984741211</v>
      </c>
      <c r="D167" s="180" t="n">
        <f aca="false">F167+G167</f>
        <v>48.7956473748808</v>
      </c>
      <c r="F167" s="180" t="n">
        <f aca="false">('Fuel Curve Simulation'!J175*'Revenues &amp; Expenses'!$S$2/1000)</f>
        <v>45.8850615517242</v>
      </c>
      <c r="G167" s="180" t="n">
        <f aca="false">'Revenues &amp; Expenses'!$AM$5*1000*'Revenues &amp; Expenses'!O175</f>
        <v>2.91058582315668</v>
      </c>
      <c r="H167" s="204" t="n">
        <f aca="false">H166+1</f>
        <v>158</v>
      </c>
      <c r="I167" s="204" t="n">
        <f aca="false">IF(C167&gt;D167,1,0)</f>
        <v>0</v>
      </c>
      <c r="J167" s="204" t="n">
        <v>315</v>
      </c>
      <c r="K167" s="212" t="n">
        <f aca="false">IF(I167&gt;0,J167*'Revenues &amp; Expenses'!F175*16,0)</f>
        <v>0</v>
      </c>
      <c r="L167" s="211" t="n">
        <f aca="false">K167*'Revenues &amp; Expenses'!N175</f>
        <v>0</v>
      </c>
      <c r="M167" s="212"/>
      <c r="N167" s="212"/>
      <c r="AC167" s="248" t="n">
        <f aca="false">B167</f>
        <v>41640</v>
      </c>
      <c r="AD167" s="10" t="n">
        <f aca="false">AD166+1</f>
        <v>158</v>
      </c>
      <c r="AE167" s="10" t="n">
        <f aca="false">C167*L167</f>
        <v>0</v>
      </c>
      <c r="AF167" s="10" t="n">
        <f aca="false">L167</f>
        <v>0</v>
      </c>
      <c r="AG167" s="205" t="n">
        <f aca="false">IF(AF167&gt;0,AE167/AF167,0)</f>
        <v>0</v>
      </c>
      <c r="AJ167" s="10" t="n">
        <f aca="false">D167*L167</f>
        <v>0</v>
      </c>
      <c r="AK167" s="249" t="n">
        <f aca="false">IF(AF167&gt;0,AJ167/AF167,0)</f>
        <v>0</v>
      </c>
    </row>
    <row r="168" customFormat="false" ht="12.75" hidden="false" customHeight="false" outlineLevel="0" collapsed="false">
      <c r="A168" s="180" t="n">
        <v>50.0603377433459</v>
      </c>
      <c r="B168" s="240" t="n">
        <f aca="false">'Revenues &amp; Expenses'!AX176</f>
        <v>41671</v>
      </c>
      <c r="C168" s="180" t="n">
        <f aca="false">'PJM Curve Simulation'!J176</f>
        <v>40.8249984741211</v>
      </c>
      <c r="D168" s="180" t="n">
        <f aca="false">F168+G168</f>
        <v>47.8524742809946</v>
      </c>
      <c r="F168" s="180" t="n">
        <f aca="false">('Fuel Curve Simulation'!J176*'Revenues &amp; Expenses'!$S$2/1000)</f>
        <v>44.9354193103448</v>
      </c>
      <c r="G168" s="180" t="n">
        <f aca="false">'Revenues &amp; Expenses'!$AM$5*1000*'Revenues &amp; Expenses'!O176</f>
        <v>2.91705497064979</v>
      </c>
      <c r="H168" s="204" t="n">
        <f aca="false">H167+1</f>
        <v>159</v>
      </c>
      <c r="I168" s="204" t="n">
        <f aca="false">IF(C168&gt;D168,1,0)</f>
        <v>0</v>
      </c>
      <c r="J168" s="204" t="n">
        <v>315</v>
      </c>
      <c r="K168" s="212" t="n">
        <f aca="false">IF(I168&gt;0,J168*'Revenues &amp; Expenses'!F176*16,0)</f>
        <v>0</v>
      </c>
      <c r="L168" s="211" t="n">
        <f aca="false">K168*'Revenues &amp; Expenses'!N176</f>
        <v>0</v>
      </c>
      <c r="M168" s="212"/>
      <c r="N168" s="212"/>
      <c r="AC168" s="248" t="n">
        <f aca="false">B168</f>
        <v>41671</v>
      </c>
      <c r="AD168" s="10" t="n">
        <f aca="false">AD167+1</f>
        <v>159</v>
      </c>
      <c r="AE168" s="10" t="n">
        <f aca="false">C168*L168</f>
        <v>0</v>
      </c>
      <c r="AF168" s="10" t="n">
        <f aca="false">L168</f>
        <v>0</v>
      </c>
      <c r="AG168" s="205" t="n">
        <f aca="false">IF(AF168&gt;0,AE168/AF168,0)</f>
        <v>0</v>
      </c>
      <c r="AJ168" s="10" t="n">
        <f aca="false">D168*L168</f>
        <v>0</v>
      </c>
      <c r="AK168" s="249" t="n">
        <f aca="false">IF(AF168&gt;0,AJ168/AF168,0)</f>
        <v>0</v>
      </c>
    </row>
    <row r="169" customFormat="false" ht="12.75" hidden="false" customHeight="false" outlineLevel="0" collapsed="false">
      <c r="A169" s="180" t="n">
        <v>37.155674677906</v>
      </c>
      <c r="B169" s="240" t="n">
        <f aca="false">'Revenues &amp; Expenses'!AX177</f>
        <v>41699</v>
      </c>
      <c r="C169" s="180" t="n">
        <f aca="false">'PJM Curve Simulation'!J177</f>
        <v>30.5500007629395</v>
      </c>
      <c r="D169" s="180" t="n">
        <f aca="false">F169+G169</f>
        <v>46.9291341863019</v>
      </c>
      <c r="F169" s="180" t="n">
        <f aca="false">('Fuel Curve Simulation'!J177*'Revenues &amp; Expenses'!$S$2/1000)</f>
        <v>44.0055956896552</v>
      </c>
      <c r="G169" s="180" t="n">
        <f aca="false">'Revenues &amp; Expenses'!$AM$5*1000*'Revenues &amp; Expenses'!O177</f>
        <v>2.9235384966467</v>
      </c>
      <c r="H169" s="204" t="n">
        <f aca="false">H168+1</f>
        <v>160</v>
      </c>
      <c r="I169" s="204" t="n">
        <f aca="false">IF(C169&gt;D169,1,0)</f>
        <v>0</v>
      </c>
      <c r="J169" s="204" t="n">
        <v>315</v>
      </c>
      <c r="K169" s="212" t="n">
        <f aca="false">IF(I169&gt;0,J169*'Revenues &amp; Expenses'!F177*16,0)</f>
        <v>0</v>
      </c>
      <c r="L169" s="211" t="n">
        <f aca="false">K169*'Revenues &amp; Expenses'!N177</f>
        <v>0</v>
      </c>
      <c r="M169" s="212"/>
      <c r="N169" s="212"/>
      <c r="AC169" s="248" t="n">
        <f aca="false">B169</f>
        <v>41699</v>
      </c>
      <c r="AD169" s="10" t="n">
        <f aca="false">AD168+1</f>
        <v>160</v>
      </c>
      <c r="AE169" s="10" t="n">
        <f aca="false">C169*L169</f>
        <v>0</v>
      </c>
      <c r="AF169" s="10" t="n">
        <f aca="false">L169</f>
        <v>0</v>
      </c>
      <c r="AG169" s="205" t="n">
        <f aca="false">IF(AF169&gt;0,AE169/AF169,0)</f>
        <v>0</v>
      </c>
      <c r="AJ169" s="10" t="n">
        <f aca="false">D169*L169</f>
        <v>0</v>
      </c>
      <c r="AK169" s="249" t="n">
        <f aca="false">IF(AF169&gt;0,AJ169/AF169,0)</f>
        <v>0</v>
      </c>
    </row>
    <row r="170" customFormat="false" ht="12.75" hidden="false" customHeight="false" outlineLevel="0" collapsed="false">
      <c r="A170" s="180" t="n">
        <v>34.3995373217345</v>
      </c>
      <c r="B170" s="240" t="n">
        <f aca="false">'Revenues &amp; Expenses'!AX178</f>
        <v>41730</v>
      </c>
      <c r="C170" s="180" t="n">
        <f aca="false">'PJM Curve Simulation'!J178</f>
        <v>30.3250007629395</v>
      </c>
      <c r="D170" s="180" t="n">
        <f aca="false">F170+G170</f>
        <v>45.9777321227606</v>
      </c>
      <c r="F170" s="180" t="n">
        <f aca="false">('Fuel Curve Simulation'!J178*'Revenues &amp; Expenses'!$S$2/1000)</f>
        <v>43.0476956896552</v>
      </c>
      <c r="G170" s="180" t="n">
        <f aca="false">'Revenues &amp; Expenses'!$AM$5*1000*'Revenues &amp; Expenses'!O178</f>
        <v>2.93003643310545</v>
      </c>
      <c r="H170" s="204" t="n">
        <f aca="false">H169+1</f>
        <v>161</v>
      </c>
      <c r="I170" s="204" t="n">
        <f aca="false">IF(C170&gt;D170,1,0)</f>
        <v>0</v>
      </c>
      <c r="J170" s="204" t="n">
        <v>315</v>
      </c>
      <c r="K170" s="212" t="n">
        <f aca="false">IF(I170&gt;0,J170*'Revenues &amp; Expenses'!F178*16,0)</f>
        <v>0</v>
      </c>
      <c r="L170" s="211" t="n">
        <f aca="false">K170*'Revenues &amp; Expenses'!N178</f>
        <v>0</v>
      </c>
      <c r="M170" s="212"/>
      <c r="N170" s="212"/>
      <c r="AC170" s="248" t="n">
        <f aca="false">B170</f>
        <v>41730</v>
      </c>
      <c r="AD170" s="10" t="n">
        <f aca="false">AD169+1</f>
        <v>161</v>
      </c>
      <c r="AE170" s="10" t="n">
        <f aca="false">C170*L170</f>
        <v>0</v>
      </c>
      <c r="AF170" s="10" t="n">
        <f aca="false">L170</f>
        <v>0</v>
      </c>
      <c r="AG170" s="205" t="n">
        <f aca="false">IF(AF170&gt;0,AE170/AF170,0)</f>
        <v>0</v>
      </c>
      <c r="AJ170" s="10" t="n">
        <f aca="false">D170*L170</f>
        <v>0</v>
      </c>
      <c r="AK170" s="249" t="n">
        <f aca="false">IF(AF170&gt;0,AJ170/AF170,0)</f>
        <v>0</v>
      </c>
    </row>
    <row r="171" customFormat="false" ht="12.75" hidden="false" customHeight="false" outlineLevel="0" collapsed="false">
      <c r="A171" s="180" t="n">
        <v>42.0733454697935</v>
      </c>
      <c r="B171" s="240" t="n">
        <f aca="false">'Revenues &amp; Expenses'!AX179</f>
        <v>41760</v>
      </c>
      <c r="C171" s="180" t="n">
        <f aca="false">'PJM Curve Simulation'!J179</f>
        <v>38.325</v>
      </c>
      <c r="D171" s="180" t="n">
        <f aca="false">F171+G171</f>
        <v>45.3401393292965</v>
      </c>
      <c r="F171" s="180" t="n">
        <f aca="false">('Fuel Curve Simulation'!J179*'Revenues &amp; Expenses'!$S$2/1000)</f>
        <v>42.4035905172414</v>
      </c>
      <c r="G171" s="180" t="n">
        <f aca="false">'Revenues &amp; Expenses'!$AM$5*1000*'Revenues &amp; Expenses'!O179</f>
        <v>2.93654881205513</v>
      </c>
      <c r="H171" s="204" t="n">
        <f aca="false">H170+1</f>
        <v>162</v>
      </c>
      <c r="I171" s="204" t="n">
        <f aca="false">IF(C171&gt;D171,1,0)</f>
        <v>0</v>
      </c>
      <c r="J171" s="204" t="n">
        <v>315</v>
      </c>
      <c r="K171" s="212" t="n">
        <f aca="false">IF(I171&gt;0,J171*'Revenues &amp; Expenses'!F179*16,0)</f>
        <v>0</v>
      </c>
      <c r="L171" s="211" t="n">
        <f aca="false">K171*'Revenues &amp; Expenses'!N179</f>
        <v>0</v>
      </c>
      <c r="M171" s="212"/>
      <c r="N171" s="212"/>
      <c r="AC171" s="248" t="n">
        <f aca="false">B171</f>
        <v>41760</v>
      </c>
      <c r="AD171" s="10" t="n">
        <f aca="false">AD170+1</f>
        <v>162</v>
      </c>
      <c r="AE171" s="10" t="n">
        <f aca="false">C171*L171</f>
        <v>0</v>
      </c>
      <c r="AF171" s="10" t="n">
        <f aca="false">L171</f>
        <v>0</v>
      </c>
      <c r="AG171" s="205" t="n">
        <f aca="false">IF(AF171&gt;0,AE171/AF171,0)</f>
        <v>0</v>
      </c>
      <c r="AJ171" s="10" t="n">
        <f aca="false">D171*L171</f>
        <v>0</v>
      </c>
      <c r="AK171" s="249" t="n">
        <f aca="false">IF(AF171&gt;0,AJ171/AF171,0)</f>
        <v>0</v>
      </c>
    </row>
    <row r="172" customFormat="false" ht="12.75" hidden="false" customHeight="false" outlineLevel="0" collapsed="false">
      <c r="A172" s="180" t="n">
        <v>80.6400836768109</v>
      </c>
      <c r="B172" s="240" t="n">
        <f aca="false">'Revenues &amp; Expenses'!AX180</f>
        <v>41791</v>
      </c>
      <c r="C172" s="180" t="n">
        <f aca="false">'PJM Curve Simulation'!J180</f>
        <v>65.3499984741211</v>
      </c>
      <c r="D172" s="180" t="n">
        <f aca="false">F172+G172</f>
        <v>45.2839072173202</v>
      </c>
      <c r="F172" s="180" t="n">
        <f aca="false">('Fuel Curve Simulation'!J180*'Revenues &amp; Expenses'!$S$2/1000)</f>
        <v>42.3408315517242</v>
      </c>
      <c r="G172" s="180" t="n">
        <f aca="false">'Revenues &amp; Expenses'!$AM$5*1000*'Revenues &amp; Expenses'!O180</f>
        <v>2.94307566559602</v>
      </c>
      <c r="H172" s="204" t="n">
        <f aca="false">H171+1</f>
        <v>163</v>
      </c>
      <c r="I172" s="204" t="n">
        <f aca="false">IF(C172&gt;D172,1,0)</f>
        <v>1</v>
      </c>
      <c r="J172" s="204" t="n">
        <v>315</v>
      </c>
      <c r="K172" s="212" t="n">
        <f aca="false">IF(I172&gt;0,J172*'Revenues &amp; Expenses'!F180*16,0)</f>
        <v>100800</v>
      </c>
      <c r="L172" s="211" t="n">
        <f aca="false">K172*'Revenues &amp; Expenses'!N180</f>
        <v>35419.0571485095</v>
      </c>
      <c r="M172" s="212"/>
      <c r="N172" s="212"/>
      <c r="AC172" s="248" t="n">
        <f aca="false">B172</f>
        <v>41791</v>
      </c>
      <c r="AD172" s="10" t="n">
        <f aca="false">AD171+1</f>
        <v>163</v>
      </c>
      <c r="AE172" s="10" t="n">
        <f aca="false">C172*L172</f>
        <v>2314635.33060991</v>
      </c>
      <c r="AF172" s="10" t="n">
        <f aca="false">L172</f>
        <v>35419.0571485095</v>
      </c>
      <c r="AG172" s="205" t="n">
        <f aca="false">IF(AF172&gt;0,AE172/AF172,0)</f>
        <v>65.3499984741211</v>
      </c>
      <c r="AJ172" s="10" t="n">
        <f aca="false">D172*L172</f>
        <v>1603913.29763807</v>
      </c>
      <c r="AK172" s="249" t="n">
        <f aca="false">IF(AF172&gt;0,AJ172/AF172,0)</f>
        <v>45.2839072173202</v>
      </c>
    </row>
    <row r="173" customFormat="false" ht="12.75" hidden="false" customHeight="false" outlineLevel="0" collapsed="false">
      <c r="A173" s="180" t="n">
        <v>152.249971273983</v>
      </c>
      <c r="B173" s="240" t="n">
        <f aca="false">'Revenues &amp; Expenses'!AX181</f>
        <v>41821</v>
      </c>
      <c r="C173" s="180" t="n">
        <f aca="false">'PJM Curve Simulation'!J181</f>
        <v>115.949996948242</v>
      </c>
      <c r="D173" s="180" t="n">
        <f aca="false">F173+G173</f>
        <v>45.8387637500377</v>
      </c>
      <c r="F173" s="180" t="n">
        <f aca="false">('Fuel Curve Simulation'!J181*'Revenues &amp; Expenses'!$S$2/1000)</f>
        <v>42.8891467241379</v>
      </c>
      <c r="G173" s="180" t="n">
        <f aca="false">'Revenues &amp; Expenses'!$AM$5*1000*'Revenues &amp; Expenses'!O181</f>
        <v>2.94961702589973</v>
      </c>
      <c r="H173" s="204" t="n">
        <f aca="false">H172+1</f>
        <v>164</v>
      </c>
      <c r="I173" s="204" t="n">
        <f aca="false">IF(C173&gt;D173,1,0)</f>
        <v>1</v>
      </c>
      <c r="J173" s="204" t="n">
        <v>315</v>
      </c>
      <c r="K173" s="212" t="n">
        <f aca="false">IF(I173&gt;0,J173*'Revenues &amp; Expenses'!F181*16,0)</f>
        <v>115920</v>
      </c>
      <c r="L173" s="211" t="n">
        <f aca="false">K173*'Revenues &amp; Expenses'!N181</f>
        <v>40491.8462628477</v>
      </c>
      <c r="M173" s="212"/>
      <c r="N173" s="212"/>
      <c r="AC173" s="248" t="n">
        <f aca="false">B173</f>
        <v>41821</v>
      </c>
      <c r="AD173" s="10" t="n">
        <f aca="false">AD172+1</f>
        <v>164</v>
      </c>
      <c r="AE173" s="10" t="n">
        <f aca="false">C173*L173</f>
        <v>4695029.45060588</v>
      </c>
      <c r="AF173" s="10" t="n">
        <f aca="false">L173</f>
        <v>40491.8462628477</v>
      </c>
      <c r="AG173" s="205" t="n">
        <f aca="false">IF(AF173&gt;0,AE173/AF173,0)</f>
        <v>115.949996948242</v>
      </c>
      <c r="AJ173" s="10" t="n">
        <f aca="false">D173*L173</f>
        <v>1856096.17464552</v>
      </c>
      <c r="AK173" s="249" t="n">
        <f aca="false">IF(AF173&gt;0,AJ173/AF173,0)</f>
        <v>45.8387637500377</v>
      </c>
    </row>
    <row r="174" customFormat="false" ht="12.75" hidden="false" customHeight="false" outlineLevel="0" collapsed="false">
      <c r="A174" s="180" t="n">
        <v>126.35463804109</v>
      </c>
      <c r="B174" s="240" t="n">
        <f aca="false">'Revenues &amp; Expenses'!AX182</f>
        <v>41852</v>
      </c>
      <c r="C174" s="180" t="n">
        <f aca="false">'PJM Curve Simulation'!J182</f>
        <v>102.949996948242</v>
      </c>
      <c r="D174" s="180" t="n">
        <f aca="false">F174+G174</f>
        <v>46.7123843045198</v>
      </c>
      <c r="F174" s="180" t="n">
        <f aca="false">('Fuel Curve Simulation'!J182*'Revenues &amp; Expenses'!$S$2/1000)</f>
        <v>43.7562113793104</v>
      </c>
      <c r="G174" s="180" t="n">
        <f aca="false">'Revenues &amp; Expenses'!$AM$5*1000*'Revenues &amp; Expenses'!O182</f>
        <v>2.95617292520939</v>
      </c>
      <c r="H174" s="204" t="n">
        <f aca="false">H173+1</f>
        <v>165</v>
      </c>
      <c r="I174" s="204" t="n">
        <f aca="false">IF(C174&gt;D174,1,0)</f>
        <v>1</v>
      </c>
      <c r="J174" s="204" t="n">
        <v>315</v>
      </c>
      <c r="K174" s="212" t="n">
        <f aca="false">IF(I174&gt;0,J174*'Revenues &amp; Expenses'!F182*16,0)</f>
        <v>110880</v>
      </c>
      <c r="L174" s="211" t="n">
        <f aca="false">K174*'Revenues &amp; Expenses'!N182</f>
        <v>38495.4989959393</v>
      </c>
      <c r="M174" s="212"/>
      <c r="N174" s="212"/>
      <c r="AC174" s="248" t="n">
        <f aca="false">B174</f>
        <v>41852</v>
      </c>
      <c r="AD174" s="10" t="n">
        <f aca="false">AD173+1</f>
        <v>165</v>
      </c>
      <c r="AE174" s="10" t="n">
        <f aca="false">C174*L174</f>
        <v>3963111.50415301</v>
      </c>
      <c r="AF174" s="10" t="n">
        <f aca="false">L174</f>
        <v>38495.4989959393</v>
      </c>
      <c r="AG174" s="205" t="n">
        <f aca="false">IF(AF174&gt;0,AE174/AF174,0)</f>
        <v>102.949996948242</v>
      </c>
      <c r="AJ174" s="10" t="n">
        <f aca="false">D174*L174</f>
        <v>1798216.54309257</v>
      </c>
      <c r="AK174" s="249" t="n">
        <f aca="false">IF(AF174&gt;0,AJ174/AF174,0)</f>
        <v>46.7123843045198</v>
      </c>
    </row>
    <row r="175" customFormat="false" ht="12.75" hidden="false" customHeight="false" outlineLevel="0" collapsed="false">
      <c r="A175" s="180" t="n">
        <v>44.3836770319248</v>
      </c>
      <c r="B175" s="240" t="n">
        <f aca="false">'Revenues &amp; Expenses'!AX183</f>
        <v>41883</v>
      </c>
      <c r="C175" s="180" t="n">
        <f aca="false">'PJM Curve Simulation'!J183</f>
        <v>38.4249984741211</v>
      </c>
      <c r="D175" s="180" t="n">
        <f aca="false">F175+G175</f>
        <v>47.627308223426</v>
      </c>
      <c r="F175" s="180" t="n">
        <f aca="false">('Fuel Curve Simulation'!J183*'Revenues &amp; Expenses'!$S$2/1000)</f>
        <v>44.6645648275862</v>
      </c>
      <c r="G175" s="180" t="n">
        <f aca="false">'Revenues &amp; Expenses'!$AM$5*1000*'Revenues &amp; Expenses'!O183</f>
        <v>2.9627433958398</v>
      </c>
      <c r="H175" s="204" t="n">
        <f aca="false">H174+1</f>
        <v>166</v>
      </c>
      <c r="I175" s="204" t="n">
        <f aca="false">IF(C175&gt;D175,1,0)</f>
        <v>0</v>
      </c>
      <c r="J175" s="204" t="n">
        <v>315</v>
      </c>
      <c r="K175" s="212" t="n">
        <f aca="false">IF(I175&gt;0,J175*'Revenues &amp; Expenses'!F183*16,0)</f>
        <v>0</v>
      </c>
      <c r="L175" s="211" t="n">
        <f aca="false">K175*'Revenues &amp; Expenses'!N183</f>
        <v>0</v>
      </c>
      <c r="M175" s="212"/>
      <c r="N175" s="212"/>
      <c r="AC175" s="248" t="n">
        <f aca="false">B175</f>
        <v>41883</v>
      </c>
      <c r="AD175" s="10" t="n">
        <f aca="false">AD174+1</f>
        <v>166</v>
      </c>
      <c r="AE175" s="10" t="n">
        <f aca="false">C175*L175</f>
        <v>0</v>
      </c>
      <c r="AF175" s="10" t="n">
        <f aca="false">L175</f>
        <v>0</v>
      </c>
      <c r="AG175" s="205" t="n">
        <f aca="false">IF(AF175&gt;0,AE175/AF175,0)</f>
        <v>0</v>
      </c>
      <c r="AJ175" s="10" t="n">
        <f aca="false">D175*L175</f>
        <v>0</v>
      </c>
      <c r="AK175" s="249" t="n">
        <f aca="false">IF(AF175&gt;0,AJ175/AF175,0)</f>
        <v>0</v>
      </c>
    </row>
    <row r="176" customFormat="false" ht="12.75" hidden="false" customHeight="false" outlineLevel="0" collapsed="false">
      <c r="A176" s="180" t="n">
        <v>36.504579823122</v>
      </c>
      <c r="B176" s="240" t="n">
        <f aca="false">'Revenues &amp; Expenses'!AX184</f>
        <v>41913</v>
      </c>
      <c r="C176" s="180" t="n">
        <f aca="false">'PJM Curve Simulation'!J184</f>
        <v>31.0750003814697</v>
      </c>
      <c r="D176" s="180" t="n">
        <f aca="false">F176+G176</f>
        <v>48.5207765736258</v>
      </c>
      <c r="F176" s="180" t="n">
        <f aca="false">('Fuel Curve Simulation'!J184*'Revenues &amp; Expenses'!$S$2/1000)</f>
        <v>45.5514481034483</v>
      </c>
      <c r="G176" s="180" t="n">
        <f aca="false">'Revenues &amp; Expenses'!$AM$5*1000*'Revenues &amp; Expenses'!O184</f>
        <v>2.96932847017757</v>
      </c>
      <c r="H176" s="204" t="n">
        <f aca="false">H175+1</f>
        <v>167</v>
      </c>
      <c r="I176" s="204" t="n">
        <f aca="false">IF(C176&gt;D176,1,0)</f>
        <v>0</v>
      </c>
      <c r="J176" s="204" t="n">
        <v>315</v>
      </c>
      <c r="K176" s="212" t="n">
        <f aca="false">IF(I176&gt;0,J176*'Revenues &amp; Expenses'!F184*16,0)</f>
        <v>0</v>
      </c>
      <c r="L176" s="211" t="n">
        <f aca="false">K176*'Revenues &amp; Expenses'!N184</f>
        <v>0</v>
      </c>
      <c r="M176" s="212"/>
      <c r="N176" s="212"/>
      <c r="AC176" s="248" t="n">
        <f aca="false">B176</f>
        <v>41913</v>
      </c>
      <c r="AD176" s="10" t="n">
        <f aca="false">AD175+1</f>
        <v>167</v>
      </c>
      <c r="AE176" s="10" t="n">
        <f aca="false">C176*L176</f>
        <v>0</v>
      </c>
      <c r="AF176" s="10" t="n">
        <f aca="false">L176</f>
        <v>0</v>
      </c>
      <c r="AG176" s="205" t="n">
        <f aca="false">IF(AF176&gt;0,AE176/AF176,0)</f>
        <v>0</v>
      </c>
      <c r="AJ176" s="10" t="n">
        <f aca="false">D176*L176</f>
        <v>0</v>
      </c>
      <c r="AK176" s="249" t="n">
        <f aca="false">IF(AF176&gt;0,AJ176/AF176,0)</f>
        <v>0</v>
      </c>
    </row>
    <row r="177" customFormat="false" ht="12.75" hidden="false" customHeight="false" outlineLevel="0" collapsed="false">
      <c r="A177" s="180" t="n">
        <v>36.6148905972672</v>
      </c>
      <c r="B177" s="240" t="n">
        <f aca="false">'Revenues &amp; Expenses'!AX185</f>
        <v>41944</v>
      </c>
      <c r="C177" s="180" t="n">
        <f aca="false">'PJM Curve Simulation'!J185</f>
        <v>30.7474990844727</v>
      </c>
      <c r="D177" s="180" t="n">
        <f aca="false">F177+G177</f>
        <v>48.999720077233</v>
      </c>
      <c r="F177" s="180" t="n">
        <f aca="false">('Fuel Curve Simulation'!J185*'Revenues &amp; Expenses'!$S$2/1000)</f>
        <v>46.0237918965517</v>
      </c>
      <c r="G177" s="180" t="n">
        <f aca="false">'Revenues &amp; Expenses'!$AM$5*1000*'Revenues &amp; Expenses'!O185</f>
        <v>2.9759281806813</v>
      </c>
      <c r="H177" s="204" t="n">
        <f aca="false">H176+1</f>
        <v>168</v>
      </c>
      <c r="I177" s="204" t="n">
        <f aca="false">IF(C177&gt;D177,1,0)</f>
        <v>0</v>
      </c>
      <c r="J177" s="204" t="n">
        <v>315</v>
      </c>
      <c r="K177" s="212" t="n">
        <f aca="false">IF(I177&gt;0,J177*'Revenues &amp; Expenses'!F185*16,0)</f>
        <v>0</v>
      </c>
      <c r="L177" s="211" t="n">
        <f aca="false">K177*'Revenues &amp; Expenses'!N185</f>
        <v>0</v>
      </c>
      <c r="M177" s="212"/>
      <c r="N177" s="212"/>
      <c r="AC177" s="248" t="n">
        <f aca="false">B177</f>
        <v>41944</v>
      </c>
      <c r="AD177" s="10" t="n">
        <f aca="false">AD176+1</f>
        <v>168</v>
      </c>
      <c r="AE177" s="10" t="n">
        <f aca="false">C177*L177</f>
        <v>0</v>
      </c>
      <c r="AF177" s="10" t="n">
        <f aca="false">L177</f>
        <v>0</v>
      </c>
      <c r="AG177" s="205" t="n">
        <f aca="false">IF(AF177&gt;0,AE177/AF177,0)</f>
        <v>0</v>
      </c>
      <c r="AJ177" s="10" t="n">
        <f aca="false">D177*L177</f>
        <v>0</v>
      </c>
      <c r="AK177" s="249" t="n">
        <f aca="false">IF(AF177&gt;0,AJ177/AF177,0)</f>
        <v>0</v>
      </c>
    </row>
    <row r="178" customFormat="false" ht="12.75" hidden="false" customHeight="false" outlineLevel="0" collapsed="false">
      <c r="A178" s="180" t="n">
        <v>39.1938259745303</v>
      </c>
      <c r="B178" s="240" t="n">
        <f aca="false">'Revenues &amp; Expenses'!AX186</f>
        <v>41974</v>
      </c>
      <c r="C178" s="180" t="n">
        <f aca="false">'PJM Curve Simulation'!J186</f>
        <v>32.4999996185303</v>
      </c>
      <c r="D178" s="180" t="n">
        <f aca="false">F178+G178</f>
        <v>49.4159192840197</v>
      </c>
      <c r="F178" s="180" t="n">
        <f aca="false">('Fuel Curve Simulation'!J186*'Revenues &amp; Expenses'!$S$2/1000)</f>
        <v>46.4333767241379</v>
      </c>
      <c r="G178" s="180" t="n">
        <f aca="false">'Revenues &amp; Expenses'!$AM$5*1000*'Revenues &amp; Expenses'!O186</f>
        <v>2.98254255988173</v>
      </c>
      <c r="H178" s="204" t="n">
        <f aca="false">H177+1</f>
        <v>169</v>
      </c>
      <c r="I178" s="204" t="n">
        <f aca="false">IF(C178&gt;D178,1,0)</f>
        <v>0</v>
      </c>
      <c r="J178" s="204" t="n">
        <v>315</v>
      </c>
      <c r="K178" s="212" t="n">
        <f aca="false">IF(I178&gt;0,J178*'Revenues &amp; Expenses'!F186*16,0)</f>
        <v>0</v>
      </c>
      <c r="L178" s="211" t="n">
        <f aca="false">K178*'Revenues &amp; Expenses'!N186</f>
        <v>0</v>
      </c>
      <c r="M178" s="212" t="n">
        <f aca="false">SUM(L167:L178)</f>
        <v>114406.402407297</v>
      </c>
      <c r="N178" s="212" t="n">
        <f aca="false">SUM(K167:K178)</f>
        <v>327600</v>
      </c>
      <c r="AC178" s="248" t="n">
        <f aca="false">B178</f>
        <v>41974</v>
      </c>
      <c r="AD178" s="10" t="n">
        <f aca="false">AD177+1</f>
        <v>169</v>
      </c>
      <c r="AE178" s="10" t="n">
        <f aca="false">C178*L178</f>
        <v>0</v>
      </c>
      <c r="AF178" s="10" t="n">
        <f aca="false">L178</f>
        <v>0</v>
      </c>
      <c r="AG178" s="205" t="n">
        <f aca="false">IF(AF178&gt;0,AE178/AF178,0)</f>
        <v>0</v>
      </c>
      <c r="AH178" s="205" t="n">
        <f aca="false">IF(SUM(AF167:AF178)=0,0,SUM(AE167:AE178)/SUM(AF167:AF178))</f>
        <v>95.9105089792509</v>
      </c>
      <c r="AJ178" s="10" t="n">
        <f aca="false">D178*L178</f>
        <v>0</v>
      </c>
      <c r="AK178" s="249" t="n">
        <f aca="false">IF(AF178&gt;0,AJ178/AF178,0)</f>
        <v>0</v>
      </c>
      <c r="AL178" s="249" t="n">
        <f aca="false">IF(SUM(AF167:AF178)=0,0,SUM(AJ167:AJ178)/SUM(AF167:AF178))</f>
        <v>45.9609419117684</v>
      </c>
    </row>
    <row r="179" customFormat="false" ht="12.75" hidden="false" customHeight="false" outlineLevel="0" collapsed="false">
      <c r="A179" s="180" t="n">
        <v>50.3668921806662</v>
      </c>
      <c r="B179" s="240" t="n">
        <f aca="false">'Revenues &amp; Expenses'!AX187</f>
        <v>42005</v>
      </c>
      <c r="C179" s="180" t="n">
        <f aca="false">'PJM Curve Simulation'!J187</f>
        <v>41.0749984741211</v>
      </c>
      <c r="D179" s="180" t="n">
        <f aca="false">F179+G179</f>
        <v>48.8742331921061</v>
      </c>
      <c r="F179" s="180" t="n">
        <f aca="false">('Fuel Curve Simulation'!J187*'Revenues &amp; Expenses'!$S$2/1000)</f>
        <v>45.8850615517242</v>
      </c>
      <c r="G179" s="180" t="n">
        <f aca="false">'Revenues &amp; Expenses'!$AM$5*1000*'Revenues &amp; Expenses'!O187</f>
        <v>2.98917164038191</v>
      </c>
      <c r="H179" s="204" t="n">
        <f aca="false">H178+1</f>
        <v>170</v>
      </c>
      <c r="I179" s="204" t="n">
        <f aca="false">IF(C179&gt;D179,1,0)</f>
        <v>0</v>
      </c>
      <c r="J179" s="204" t="n">
        <v>315</v>
      </c>
      <c r="K179" s="212" t="n">
        <f aca="false">IF(I179&gt;0,J179*'Revenues &amp; Expenses'!F187*16,0)</f>
        <v>0</v>
      </c>
      <c r="L179" s="211" t="n">
        <f aca="false">K179*'Revenues &amp; Expenses'!N187</f>
        <v>0</v>
      </c>
      <c r="M179" s="212"/>
      <c r="N179" s="212"/>
      <c r="AC179" s="248" t="n">
        <f aca="false">B179</f>
        <v>42005</v>
      </c>
      <c r="AD179" s="10" t="n">
        <f aca="false">AD178+1</f>
        <v>170</v>
      </c>
      <c r="AE179" s="10" t="n">
        <f aca="false">C179*L179</f>
        <v>0</v>
      </c>
      <c r="AF179" s="10" t="n">
        <f aca="false">L179</f>
        <v>0</v>
      </c>
      <c r="AG179" s="205" t="n">
        <f aca="false">IF(AF179&gt;0,AE179/AF179,0)</f>
        <v>0</v>
      </c>
      <c r="AJ179" s="10" t="n">
        <f aca="false">D179*L179</f>
        <v>0</v>
      </c>
      <c r="AK179" s="249" t="n">
        <f aca="false">IF(AF179&gt;0,AJ179/AF179,0)</f>
        <v>0</v>
      </c>
    </row>
    <row r="180" customFormat="false" ht="12.75" hidden="false" customHeight="false" outlineLevel="0" collapsed="false">
      <c r="A180" s="180" t="n">
        <v>50.3668921806662</v>
      </c>
      <c r="B180" s="240" t="n">
        <f aca="false">'Revenues &amp; Expenses'!AX188</f>
        <v>42036</v>
      </c>
      <c r="C180" s="180" t="n">
        <f aca="false">'PJM Curve Simulation'!J188</f>
        <v>41.0749984741211</v>
      </c>
      <c r="D180" s="180" t="n">
        <f aca="false">F180+G180</f>
        <v>47.9312347652022</v>
      </c>
      <c r="F180" s="180" t="n">
        <f aca="false">('Fuel Curve Simulation'!J188*'Revenues &amp; Expenses'!$S$2/1000)</f>
        <v>44.9354193103448</v>
      </c>
      <c r="G180" s="180" t="n">
        <f aca="false">'Revenues &amp; Expenses'!$AM$5*1000*'Revenues &amp; Expenses'!O188</f>
        <v>2.99581545485734</v>
      </c>
      <c r="H180" s="204" t="n">
        <f aca="false">H179+1</f>
        <v>171</v>
      </c>
      <c r="I180" s="204" t="n">
        <f aca="false">IF(C180&gt;D180,1,0)</f>
        <v>0</v>
      </c>
      <c r="J180" s="204" t="n">
        <v>315</v>
      </c>
      <c r="K180" s="212" t="n">
        <f aca="false">IF(I180&gt;0,J180*'Revenues &amp; Expenses'!F188*16,0)</f>
        <v>0</v>
      </c>
      <c r="L180" s="211" t="n">
        <f aca="false">K180*'Revenues &amp; Expenses'!N188</f>
        <v>0</v>
      </c>
      <c r="M180" s="212"/>
      <c r="N180" s="212"/>
      <c r="AC180" s="248" t="n">
        <f aca="false">B180</f>
        <v>42036</v>
      </c>
      <c r="AD180" s="10" t="n">
        <f aca="false">AD179+1</f>
        <v>171</v>
      </c>
      <c r="AE180" s="10" t="n">
        <f aca="false">C180*L180</f>
        <v>0</v>
      </c>
      <c r="AF180" s="10" t="n">
        <f aca="false">L180</f>
        <v>0</v>
      </c>
      <c r="AG180" s="205" t="n">
        <f aca="false">IF(AF180&gt;0,AE180/AF180,0)</f>
        <v>0</v>
      </c>
      <c r="AJ180" s="10" t="n">
        <f aca="false">D180*L180</f>
        <v>0</v>
      </c>
      <c r="AK180" s="249" t="n">
        <f aca="false">IF(AF180&gt;0,AJ180/AF180,0)</f>
        <v>0</v>
      </c>
    </row>
    <row r="181" customFormat="false" ht="12.75" hidden="false" customHeight="false" outlineLevel="0" collapsed="false">
      <c r="A181" s="180" t="n">
        <v>37.459730927906</v>
      </c>
      <c r="B181" s="240" t="n">
        <f aca="false">'Revenues &amp; Expenses'!AX189</f>
        <v>42064</v>
      </c>
      <c r="C181" s="180" t="n">
        <f aca="false">'PJM Curve Simulation'!J189</f>
        <v>30.8000007629395</v>
      </c>
      <c r="D181" s="180" t="n">
        <f aca="false">F181+G181</f>
        <v>47.0080697257113</v>
      </c>
      <c r="F181" s="180" t="n">
        <f aca="false">('Fuel Curve Simulation'!J189*'Revenues &amp; Expenses'!$S$2/1000)</f>
        <v>44.0055956896552</v>
      </c>
      <c r="G181" s="180" t="n">
        <f aca="false">'Revenues &amp; Expenses'!$AM$5*1000*'Revenues &amp; Expenses'!O189</f>
        <v>3.00247403605616</v>
      </c>
      <c r="H181" s="204" t="n">
        <f aca="false">H180+1</f>
        <v>172</v>
      </c>
      <c r="I181" s="204" t="n">
        <f aca="false">IF(C181&gt;D181,1,0)</f>
        <v>0</v>
      </c>
      <c r="J181" s="204" t="n">
        <v>315</v>
      </c>
      <c r="K181" s="212" t="n">
        <f aca="false">IF(I181&gt;0,J181*'Revenues &amp; Expenses'!F189*16,0)</f>
        <v>0</v>
      </c>
      <c r="L181" s="211" t="n">
        <f aca="false">K181*'Revenues &amp; Expenses'!N189</f>
        <v>0</v>
      </c>
      <c r="M181" s="212"/>
      <c r="N181" s="212"/>
      <c r="AC181" s="248" t="n">
        <f aca="false">B181</f>
        <v>42064</v>
      </c>
      <c r="AD181" s="10" t="n">
        <f aca="false">AD180+1</f>
        <v>172</v>
      </c>
      <c r="AE181" s="10" t="n">
        <f aca="false">C181*L181</f>
        <v>0</v>
      </c>
      <c r="AF181" s="10" t="n">
        <f aca="false">L181</f>
        <v>0</v>
      </c>
      <c r="AG181" s="205" t="n">
        <f aca="false">IF(AF181&gt;0,AE181/AF181,0)</f>
        <v>0</v>
      </c>
      <c r="AJ181" s="10" t="n">
        <f aca="false">D181*L181</f>
        <v>0</v>
      </c>
      <c r="AK181" s="249" t="n">
        <f aca="false">IF(AF181&gt;0,AJ181/AF181,0)</f>
        <v>0</v>
      </c>
    </row>
    <row r="182" customFormat="false" ht="12.75" hidden="false" customHeight="false" outlineLevel="0" collapsed="false">
      <c r="A182" s="180" t="n">
        <v>34.6831278943337</v>
      </c>
      <c r="B182" s="240" t="n">
        <f aca="false">'Revenues &amp; Expenses'!AX190</f>
        <v>42095</v>
      </c>
      <c r="C182" s="180" t="n">
        <f aca="false">'PJM Curve Simulation'!J190</f>
        <v>30.5750007629395</v>
      </c>
      <c r="D182" s="180" t="n">
        <f aca="false">F182+G182</f>
        <v>46.0568431064545</v>
      </c>
      <c r="F182" s="180" t="n">
        <f aca="false">('Fuel Curve Simulation'!J190*'Revenues &amp; Expenses'!$S$2/1000)</f>
        <v>43.0476956896552</v>
      </c>
      <c r="G182" s="180" t="n">
        <f aca="false">'Revenues &amp; Expenses'!$AM$5*1000*'Revenues &amp; Expenses'!O190</f>
        <v>3.0091474167993</v>
      </c>
      <c r="H182" s="204" t="n">
        <f aca="false">H181+1</f>
        <v>173</v>
      </c>
      <c r="I182" s="204" t="n">
        <f aca="false">IF(C182&gt;D182,1,0)</f>
        <v>0</v>
      </c>
      <c r="J182" s="204" t="n">
        <v>315</v>
      </c>
      <c r="K182" s="212" t="n">
        <f aca="false">IF(I182&gt;0,J182*'Revenues &amp; Expenses'!F190*16,0)</f>
        <v>0</v>
      </c>
      <c r="L182" s="211" t="n">
        <f aca="false">K182*'Revenues &amp; Expenses'!N190</f>
        <v>0</v>
      </c>
      <c r="M182" s="212"/>
      <c r="N182" s="212"/>
      <c r="AC182" s="248" t="n">
        <f aca="false">B182</f>
        <v>42095</v>
      </c>
      <c r="AD182" s="10" t="n">
        <f aca="false">AD181+1</f>
        <v>173</v>
      </c>
      <c r="AE182" s="10" t="n">
        <f aca="false">C182*L182</f>
        <v>0</v>
      </c>
      <c r="AF182" s="10" t="n">
        <f aca="false">L182</f>
        <v>0</v>
      </c>
      <c r="AG182" s="205" t="n">
        <f aca="false">IF(AF182&gt;0,AE182/AF182,0)</f>
        <v>0</v>
      </c>
      <c r="AJ182" s="10" t="n">
        <f aca="false">D182*L182</f>
        <v>0</v>
      </c>
      <c r="AK182" s="249" t="n">
        <f aca="false">IF(AF182&gt;0,AJ182/AF182,0)</f>
        <v>0</v>
      </c>
    </row>
    <row r="183" customFormat="false" ht="12.75" hidden="false" customHeight="false" outlineLevel="0" collapsed="false">
      <c r="A183" s="180" t="n">
        <v>42.3477965165632</v>
      </c>
      <c r="B183" s="240" t="n">
        <f aca="false">'Revenues &amp; Expenses'!AX191</f>
        <v>42125</v>
      </c>
      <c r="C183" s="180" t="n">
        <f aca="false">'PJM Curve Simulation'!J191</f>
        <v>38.575</v>
      </c>
      <c r="D183" s="180" t="n">
        <f aca="false">F183+G183</f>
        <v>45.419426147222</v>
      </c>
      <c r="F183" s="180" t="n">
        <f aca="false">('Fuel Curve Simulation'!J191*'Revenues &amp; Expenses'!$S$2/1000)</f>
        <v>42.4035905172414</v>
      </c>
      <c r="G183" s="180" t="n">
        <f aca="false">'Revenues &amp; Expenses'!$AM$5*1000*'Revenues &amp; Expenses'!O191</f>
        <v>3.01583562998062</v>
      </c>
      <c r="H183" s="204" t="n">
        <f aca="false">H182+1</f>
        <v>174</v>
      </c>
      <c r="I183" s="204" t="n">
        <f aca="false">IF(C183&gt;D183,1,0)</f>
        <v>0</v>
      </c>
      <c r="J183" s="204" t="n">
        <v>315</v>
      </c>
      <c r="K183" s="212" t="n">
        <f aca="false">IF(I183&gt;0,J183*'Revenues &amp; Expenses'!F191*16,0)</f>
        <v>0</v>
      </c>
      <c r="L183" s="211" t="n">
        <f aca="false">K183*'Revenues &amp; Expenses'!N191</f>
        <v>0</v>
      </c>
      <c r="M183" s="212"/>
      <c r="N183" s="212"/>
      <c r="AC183" s="248" t="n">
        <f aca="false">B183</f>
        <v>42125</v>
      </c>
      <c r="AD183" s="10" t="n">
        <f aca="false">AD182+1</f>
        <v>174</v>
      </c>
      <c r="AE183" s="10" t="n">
        <f aca="false">C183*L183</f>
        <v>0</v>
      </c>
      <c r="AF183" s="10" t="n">
        <f aca="false">L183</f>
        <v>0</v>
      </c>
      <c r="AG183" s="205" t="n">
        <f aca="false">IF(AF183&gt;0,AE183/AF183,0)</f>
        <v>0</v>
      </c>
      <c r="AJ183" s="10" t="n">
        <f aca="false">D183*L183</f>
        <v>0</v>
      </c>
      <c r="AK183" s="249" t="n">
        <f aca="false">IF(AF183&gt;0,AJ183/AF183,0)</f>
        <v>0</v>
      </c>
    </row>
    <row r="184" customFormat="false" ht="12.75" hidden="false" customHeight="false" outlineLevel="0" collapsed="false">
      <c r="A184" s="180" t="n">
        <v>81.565562853089</v>
      </c>
      <c r="B184" s="240" t="n">
        <f aca="false">'Revenues &amp; Expenses'!AX192</f>
        <v>42156</v>
      </c>
      <c r="C184" s="180" t="n">
        <f aca="false">'PJM Curve Simulation'!J192</f>
        <v>66.0999984741211</v>
      </c>
      <c r="D184" s="180" t="n">
        <f aca="false">F184+G184</f>
        <v>45.3633702602913</v>
      </c>
      <c r="F184" s="180" t="n">
        <f aca="false">('Fuel Curve Simulation'!J192*'Revenues &amp; Expenses'!$S$2/1000)</f>
        <v>42.3408315517242</v>
      </c>
      <c r="G184" s="180" t="n">
        <f aca="false">'Revenues &amp; Expenses'!$AM$5*1000*'Revenues &amp; Expenses'!O192</f>
        <v>3.02253870856711</v>
      </c>
      <c r="H184" s="204" t="n">
        <f aca="false">H183+1</f>
        <v>175</v>
      </c>
      <c r="I184" s="204" t="n">
        <f aca="false">IF(C184&gt;D184,1,0)</f>
        <v>1</v>
      </c>
      <c r="J184" s="204" t="n">
        <v>315</v>
      </c>
      <c r="K184" s="212" t="n">
        <f aca="false">IF(I184&gt;0,J184*'Revenues &amp; Expenses'!F192*16,0)</f>
        <v>105840</v>
      </c>
      <c r="L184" s="211" t="n">
        <f aca="false">K184*'Revenues &amp; Expenses'!N192</f>
        <v>34611.0467150695</v>
      </c>
      <c r="M184" s="212"/>
      <c r="N184" s="212"/>
      <c r="AC184" s="248" t="n">
        <f aca="false">B184</f>
        <v>42156</v>
      </c>
      <c r="AD184" s="10" t="n">
        <f aca="false">AD183+1</f>
        <v>175</v>
      </c>
      <c r="AE184" s="10" t="n">
        <f aca="false">C184*L184</f>
        <v>2287790.13505383</v>
      </c>
      <c r="AF184" s="10" t="n">
        <f aca="false">L184</f>
        <v>34611.0467150695</v>
      </c>
      <c r="AG184" s="205" t="n">
        <f aca="false">IF(AF184&gt;0,AE184/AF184,0)</f>
        <v>66.0999984741211</v>
      </c>
      <c r="AJ184" s="10" t="n">
        <f aca="false">D184*L184</f>
        <v>1570073.72723194</v>
      </c>
      <c r="AK184" s="249" t="n">
        <f aca="false">IF(AF184&gt;0,AJ184/AF184,0)</f>
        <v>45.3633702602913</v>
      </c>
    </row>
    <row r="185" customFormat="false" ht="12.75" hidden="false" customHeight="false" outlineLevel="0" collapsed="false">
      <c r="A185" s="180" t="n">
        <v>155.204369241922</v>
      </c>
      <c r="B185" s="240" t="n">
        <f aca="false">'Revenues &amp; Expenses'!AX193</f>
        <v>42186</v>
      </c>
      <c r="C185" s="180" t="n">
        <f aca="false">'PJM Curve Simulation'!J193</f>
        <v>118.199996948242</v>
      </c>
      <c r="D185" s="180" t="n">
        <f aca="false">F185+G185</f>
        <v>45.918403409737</v>
      </c>
      <c r="F185" s="180" t="n">
        <f aca="false">('Fuel Curve Simulation'!J193*'Revenues &amp; Expenses'!$S$2/1000)</f>
        <v>42.8891467241379</v>
      </c>
      <c r="G185" s="180" t="n">
        <f aca="false">'Revenues &amp; Expenses'!$AM$5*1000*'Revenues &amp; Expenses'!O193</f>
        <v>3.02925668559902</v>
      </c>
      <c r="H185" s="204" t="n">
        <f aca="false">H184+1</f>
        <v>176</v>
      </c>
      <c r="I185" s="204" t="n">
        <f aca="false">IF(C185&gt;D185,1,0)</f>
        <v>1</v>
      </c>
      <c r="J185" s="204" t="n">
        <v>315</v>
      </c>
      <c r="K185" s="212" t="n">
        <f aca="false">IF(I185&gt;0,J185*'Revenues &amp; Expenses'!F193*16,0)</f>
        <v>115920</v>
      </c>
      <c r="L185" s="211" t="n">
        <f aca="false">K185*'Revenues &amp; Expenses'!N193</f>
        <v>37684.2788596924</v>
      </c>
      <c r="M185" s="212"/>
      <c r="N185" s="212"/>
      <c r="AC185" s="248" t="n">
        <f aca="false">B185</f>
        <v>42186</v>
      </c>
      <c r="AD185" s="10" t="n">
        <f aca="false">AD184+1</f>
        <v>176</v>
      </c>
      <c r="AE185" s="10" t="n">
        <f aca="false">C185*L185</f>
        <v>4454281.64621235</v>
      </c>
      <c r="AF185" s="10" t="n">
        <f aca="false">L185</f>
        <v>37684.2788596924</v>
      </c>
      <c r="AG185" s="205" t="n">
        <f aca="false">IF(AF185&gt;0,AE185/AF185,0)</f>
        <v>118.199996948242</v>
      </c>
      <c r="AJ185" s="10" t="n">
        <f aca="false">D185*L185</f>
        <v>1730401.91888438</v>
      </c>
      <c r="AK185" s="249" t="n">
        <f aca="false">IF(AF185&gt;0,AJ185/AF185,0)</f>
        <v>45.918403409737</v>
      </c>
    </row>
    <row r="186" customFormat="false" ht="12.75" hidden="false" customHeight="false" outlineLevel="0" collapsed="false">
      <c r="A186" s="180" t="n">
        <v>129.116152796019</v>
      </c>
      <c r="B186" s="240" t="n">
        <f aca="false">'Revenues &amp; Expenses'!AX194</f>
        <v>42217</v>
      </c>
      <c r="C186" s="180" t="n">
        <f aca="false">'PJM Curve Simulation'!J194</f>
        <v>105.199996948242</v>
      </c>
      <c r="D186" s="180" t="n">
        <f aca="false">F186+G186</f>
        <v>46.7922009735004</v>
      </c>
      <c r="F186" s="180" t="n">
        <f aca="false">('Fuel Curve Simulation'!J194*'Revenues &amp; Expenses'!$S$2/1000)</f>
        <v>43.7562113793104</v>
      </c>
      <c r="G186" s="180" t="n">
        <f aca="false">'Revenues &amp; Expenses'!$AM$5*1000*'Revenues &amp; Expenses'!O194</f>
        <v>3.03598959419005</v>
      </c>
      <c r="H186" s="204" t="n">
        <f aca="false">H185+1</f>
        <v>177</v>
      </c>
      <c r="I186" s="204" t="n">
        <f aca="false">IF(C186&gt;D186,1,0)</f>
        <v>1</v>
      </c>
      <c r="J186" s="204" t="n">
        <v>315</v>
      </c>
      <c r="K186" s="212" t="n">
        <f aca="false">IF(I186&gt;0,J186*'Revenues &amp; Expenses'!F194*16,0)</f>
        <v>105840</v>
      </c>
      <c r="L186" s="211" t="n">
        <f aca="false">K186*'Revenues &amp; Expenses'!N194</f>
        <v>34198.2220621197</v>
      </c>
      <c r="M186" s="212"/>
      <c r="N186" s="212"/>
      <c r="AC186" s="248" t="n">
        <f aca="false">B186</f>
        <v>42217</v>
      </c>
      <c r="AD186" s="10" t="n">
        <f aca="false">AD185+1</f>
        <v>177</v>
      </c>
      <c r="AE186" s="10" t="n">
        <f aca="false">C186*L186</f>
        <v>3597652.8565703</v>
      </c>
      <c r="AF186" s="10" t="n">
        <f aca="false">L186</f>
        <v>34198.2220621197</v>
      </c>
      <c r="AG186" s="205" t="n">
        <f aca="false">IF(AF186&gt;0,AE186/AF186,0)</f>
        <v>105.199996948242</v>
      </c>
      <c r="AJ186" s="10" t="n">
        <f aca="false">D186*L186</f>
        <v>1600210.0796671</v>
      </c>
      <c r="AK186" s="249" t="n">
        <f aca="false">IF(AF186&gt;0,AJ186/AF186,0)</f>
        <v>46.7922009735004</v>
      </c>
    </row>
    <row r="187" customFormat="false" ht="12.75" hidden="false" customHeight="false" outlineLevel="0" collapsed="false">
      <c r="A187" s="180" t="n">
        <v>44.9612135159121</v>
      </c>
      <c r="B187" s="240" t="n">
        <f aca="false">'Revenues &amp; Expenses'!AX195</f>
        <v>42248</v>
      </c>
      <c r="C187" s="180" t="n">
        <f aca="false">'PJM Curve Simulation'!J195</f>
        <v>38.9249984741211</v>
      </c>
      <c r="D187" s="180" t="n">
        <f aca="false">F187+G187</f>
        <v>47.7073022951137</v>
      </c>
      <c r="F187" s="180" t="n">
        <f aca="false">('Fuel Curve Simulation'!J195*'Revenues &amp; Expenses'!$S$2/1000)</f>
        <v>44.6645648275862</v>
      </c>
      <c r="G187" s="180" t="n">
        <f aca="false">'Revenues &amp; Expenses'!$AM$5*1000*'Revenues &amp; Expenses'!O195</f>
        <v>3.04273746752748</v>
      </c>
      <c r="H187" s="204" t="n">
        <f aca="false">H186+1</f>
        <v>178</v>
      </c>
      <c r="I187" s="204" t="n">
        <f aca="false">IF(C187&gt;D187,1,0)</f>
        <v>0</v>
      </c>
      <c r="J187" s="204" t="n">
        <v>315</v>
      </c>
      <c r="K187" s="212" t="n">
        <f aca="false">IF(I187&gt;0,J187*'Revenues &amp; Expenses'!F195*16,0)</f>
        <v>0</v>
      </c>
      <c r="L187" s="211" t="n">
        <f aca="false">K187*'Revenues &amp; Expenses'!N195</f>
        <v>0</v>
      </c>
      <c r="M187" s="212"/>
      <c r="N187" s="212"/>
      <c r="AC187" s="248" t="n">
        <f aca="false">B187</f>
        <v>42248</v>
      </c>
      <c r="AD187" s="10" t="n">
        <f aca="false">AD186+1</f>
        <v>178</v>
      </c>
      <c r="AE187" s="10" t="n">
        <f aca="false">C187*L187</f>
        <v>0</v>
      </c>
      <c r="AF187" s="10" t="n">
        <f aca="false">L187</f>
        <v>0</v>
      </c>
      <c r="AG187" s="205" t="n">
        <f aca="false">IF(AF187&gt;0,AE187/AF187,0)</f>
        <v>0</v>
      </c>
      <c r="AJ187" s="10" t="n">
        <f aca="false">D187*L187</f>
        <v>0</v>
      </c>
      <c r="AK187" s="249" t="n">
        <f aca="false">IF(AF187&gt;0,AJ187/AF187,0)</f>
        <v>0</v>
      </c>
    </row>
    <row r="188" customFormat="false" ht="12.75" hidden="false" customHeight="false" outlineLevel="0" collapsed="false">
      <c r="A188" s="180" t="n">
        <v>36.798261073122</v>
      </c>
      <c r="B188" s="240" t="n">
        <f aca="false">'Revenues &amp; Expenses'!AX196</f>
        <v>42278</v>
      </c>
      <c r="C188" s="180" t="n">
        <f aca="false">'PJM Curve Simulation'!J196</f>
        <v>31.3250003814697</v>
      </c>
      <c r="D188" s="180" t="n">
        <f aca="false">F188+G188</f>
        <v>48.6009484423206</v>
      </c>
      <c r="F188" s="180" t="n">
        <f aca="false">('Fuel Curve Simulation'!J196*'Revenues &amp; Expenses'!$S$2/1000)</f>
        <v>45.5514481034483</v>
      </c>
      <c r="G188" s="180" t="n">
        <f aca="false">'Revenues &amp; Expenses'!$AM$5*1000*'Revenues &amp; Expenses'!O196</f>
        <v>3.04950033887237</v>
      </c>
      <c r="H188" s="204" t="n">
        <f aca="false">H187+1</f>
        <v>179</v>
      </c>
      <c r="I188" s="204" t="n">
        <f aca="false">IF(C188&gt;D188,1,0)</f>
        <v>0</v>
      </c>
      <c r="J188" s="204" t="n">
        <v>315</v>
      </c>
      <c r="K188" s="212" t="n">
        <f aca="false">IF(I188&gt;0,J188*'Revenues &amp; Expenses'!F196*16,0)</f>
        <v>0</v>
      </c>
      <c r="L188" s="211" t="n">
        <f aca="false">K188*'Revenues &amp; Expenses'!N196</f>
        <v>0</v>
      </c>
      <c r="M188" s="212"/>
      <c r="N188" s="212"/>
      <c r="AC188" s="248" t="n">
        <f aca="false">B188</f>
        <v>42278</v>
      </c>
      <c r="AD188" s="10" t="n">
        <f aca="false">AD187+1</f>
        <v>179</v>
      </c>
      <c r="AE188" s="10" t="n">
        <f aca="false">C188*L188</f>
        <v>0</v>
      </c>
      <c r="AF188" s="10" t="n">
        <f aca="false">L188</f>
        <v>0</v>
      </c>
      <c r="AG188" s="205" t="n">
        <f aca="false">IF(AF188&gt;0,AE188/AF188,0)</f>
        <v>0</v>
      </c>
      <c r="AJ188" s="10" t="n">
        <f aca="false">D188*L188</f>
        <v>0</v>
      </c>
      <c r="AK188" s="249" t="n">
        <f aca="false">IF(AF188&gt;0,AJ188/AF188,0)</f>
        <v>0</v>
      </c>
    </row>
    <row r="189" customFormat="false" ht="12.75" hidden="false" customHeight="false" outlineLevel="0" collapsed="false">
      <c r="A189" s="180" t="n">
        <v>36.9125968472672</v>
      </c>
      <c r="B189" s="240" t="n">
        <f aca="false">'Revenues &amp; Expenses'!AX197</f>
        <v>42309</v>
      </c>
      <c r="C189" s="180" t="n">
        <f aca="false">'PJM Curve Simulation'!J197</f>
        <v>30.9974990844727</v>
      </c>
      <c r="D189" s="180" t="n">
        <f aca="false">F189+G189</f>
        <v>49.0800701381114</v>
      </c>
      <c r="F189" s="180" t="n">
        <f aca="false">('Fuel Curve Simulation'!J197*'Revenues &amp; Expenses'!$S$2/1000)</f>
        <v>46.0237918965517</v>
      </c>
      <c r="G189" s="180" t="n">
        <f aca="false">'Revenues &amp; Expenses'!$AM$5*1000*'Revenues &amp; Expenses'!O197</f>
        <v>3.0562782415597</v>
      </c>
      <c r="H189" s="204" t="n">
        <f aca="false">H188+1</f>
        <v>180</v>
      </c>
      <c r="I189" s="204" t="n">
        <f aca="false">IF(C189&gt;D189,1,0)</f>
        <v>0</v>
      </c>
      <c r="J189" s="204" t="n">
        <v>315</v>
      </c>
      <c r="K189" s="212" t="n">
        <f aca="false">IF(I189&gt;0,J189*'Revenues &amp; Expenses'!F197*16,0)</f>
        <v>0</v>
      </c>
      <c r="L189" s="211" t="n">
        <f aca="false">K189*'Revenues &amp; Expenses'!N197</f>
        <v>0</v>
      </c>
      <c r="M189" s="212"/>
      <c r="N189" s="212"/>
      <c r="AC189" s="248" t="n">
        <f aca="false">B189</f>
        <v>42309</v>
      </c>
      <c r="AD189" s="10" t="n">
        <f aca="false">AD188+1</f>
        <v>180</v>
      </c>
      <c r="AE189" s="10" t="n">
        <f aca="false">C189*L189</f>
        <v>0</v>
      </c>
      <c r="AF189" s="10" t="n">
        <f aca="false">L189</f>
        <v>0</v>
      </c>
      <c r="AG189" s="205" t="n">
        <f aca="false">IF(AF189&gt;0,AE189/AF189,0)</f>
        <v>0</v>
      </c>
      <c r="AJ189" s="10" t="n">
        <f aca="false">D189*L189</f>
        <v>0</v>
      </c>
      <c r="AK189" s="249" t="n">
        <f aca="false">IF(AF189&gt;0,AJ189/AF189,0)</f>
        <v>0</v>
      </c>
    </row>
    <row r="190" customFormat="false" ht="12.75" hidden="false" customHeight="false" outlineLevel="0" collapsed="false">
      <c r="A190" s="180" t="n">
        <v>39.4953169471039</v>
      </c>
      <c r="B190" s="240" t="n">
        <f aca="false">'Revenues &amp; Expenses'!AX198</f>
        <v>42339</v>
      </c>
      <c r="C190" s="180" t="n">
        <f aca="false">'PJM Curve Simulation'!J198</f>
        <v>32.7499996185303</v>
      </c>
      <c r="D190" s="180" t="n">
        <f aca="false">F190+G190</f>
        <v>49.4964479331365</v>
      </c>
      <c r="F190" s="180" t="n">
        <f aca="false">('Fuel Curve Simulation'!J198*'Revenues &amp; Expenses'!$S$2/1000)</f>
        <v>46.4333767241379</v>
      </c>
      <c r="G190" s="180" t="n">
        <f aca="false">'Revenues &amp; Expenses'!$AM$5*1000*'Revenues &amp; Expenses'!O198</f>
        <v>3.06307120899854</v>
      </c>
      <c r="H190" s="204" t="n">
        <f aca="false">H189+1</f>
        <v>181</v>
      </c>
      <c r="I190" s="204" t="n">
        <f aca="false">IF(C190&gt;D190,1,0)</f>
        <v>0</v>
      </c>
      <c r="J190" s="204" t="n">
        <v>315</v>
      </c>
      <c r="K190" s="212" t="n">
        <f aca="false">IF(I190&gt;0,J190*'Revenues &amp; Expenses'!F198*16,0)</f>
        <v>0</v>
      </c>
      <c r="L190" s="211" t="n">
        <f aca="false">K190*'Revenues &amp; Expenses'!N198</f>
        <v>0</v>
      </c>
      <c r="M190" s="212" t="n">
        <f aca="false">SUM(L179:L190)</f>
        <v>106493.547636882</v>
      </c>
      <c r="N190" s="212" t="n">
        <f aca="false">SUM(K179:K190)</f>
        <v>327600</v>
      </c>
      <c r="AC190" s="248" t="n">
        <f aca="false">B190</f>
        <v>42339</v>
      </c>
      <c r="AD190" s="10" t="n">
        <f aca="false">AD189+1</f>
        <v>181</v>
      </c>
      <c r="AE190" s="10" t="n">
        <f aca="false">C190*L190</f>
        <v>0</v>
      </c>
      <c r="AF190" s="10" t="n">
        <f aca="false">L190</f>
        <v>0</v>
      </c>
      <c r="AG190" s="205" t="n">
        <f aca="false">IF(AF190&gt;0,AE190/AF190,0)</f>
        <v>0</v>
      </c>
      <c r="AH190" s="205" t="n">
        <f aca="false">IF(SUM(AF179:AF190)=0,0,SUM(AE179:AE190)/SUM(AF179:AF190))</f>
        <v>97.0924987220123</v>
      </c>
      <c r="AJ190" s="10" t="n">
        <f aca="false">D190*L190</f>
        <v>0</v>
      </c>
      <c r="AK190" s="249" t="n">
        <f aca="false">IF(AF190&gt;0,AJ190/AF190,0)</f>
        <v>0</v>
      </c>
      <c r="AL190" s="249" t="n">
        <f aca="false">IF(SUM(AF179:AF190)=0,0,SUM(AJ179:AJ190)/SUM(AF179:AF190))</f>
        <v>46.0186164751842</v>
      </c>
    </row>
    <row r="191" customFormat="false" ht="12.75" hidden="false" customHeight="false" outlineLevel="0" collapsed="false">
      <c r="A191" s="180" t="n">
        <v>50.6734466179865</v>
      </c>
      <c r="B191" s="240" t="n">
        <f aca="false">'Revenues &amp; Expenses'!AX199</f>
        <v>42370</v>
      </c>
      <c r="C191" s="180" t="n">
        <f aca="false">'PJM Curve Simulation'!J199</f>
        <v>41.3249984741211</v>
      </c>
      <c r="D191" s="180" t="n">
        <f aca="false">F191+G191</f>
        <v>48.9549408263964</v>
      </c>
      <c r="F191" s="180" t="n">
        <f aca="false">('Fuel Curve Simulation'!J199*'Revenues &amp; Expenses'!$S$2/1000)</f>
        <v>45.8850615517242</v>
      </c>
      <c r="G191" s="180" t="n">
        <f aca="false">'Revenues &amp; Expenses'!$AM$5*1000*'Revenues &amp; Expenses'!O199</f>
        <v>3.06987927467222</v>
      </c>
      <c r="H191" s="204" t="n">
        <f aca="false">H190+1</f>
        <v>182</v>
      </c>
      <c r="I191" s="204" t="n">
        <f aca="false">IF(C191&gt;D191,1,0)</f>
        <v>0</v>
      </c>
      <c r="J191" s="204" t="n">
        <v>315</v>
      </c>
      <c r="K191" s="212" t="n">
        <f aca="false">IF(I191&gt;0,J191*'Revenues &amp; Expenses'!F199*16,0)</f>
        <v>0</v>
      </c>
      <c r="L191" s="211" t="n">
        <f aca="false">K191*'Revenues &amp; Expenses'!N199</f>
        <v>0</v>
      </c>
      <c r="M191" s="212"/>
      <c r="N191" s="212"/>
      <c r="AC191" s="248" t="n">
        <f aca="false">B191</f>
        <v>42370</v>
      </c>
      <c r="AD191" s="10" t="n">
        <f aca="false">AD190+1</f>
        <v>182</v>
      </c>
      <c r="AE191" s="10" t="n">
        <f aca="false">C191*L191</f>
        <v>0</v>
      </c>
      <c r="AF191" s="10" t="n">
        <f aca="false">L191</f>
        <v>0</v>
      </c>
      <c r="AG191" s="205" t="n">
        <f aca="false">IF(AF191&gt;0,AE191/AF191,0)</f>
        <v>0</v>
      </c>
      <c r="AJ191" s="10" t="n">
        <f aca="false">D191*L191</f>
        <v>0</v>
      </c>
      <c r="AK191" s="249" t="n">
        <f aca="false">IF(AF191&gt;0,AJ191/AF191,0)</f>
        <v>0</v>
      </c>
    </row>
    <row r="192" customFormat="false" ht="12.75" hidden="false" customHeight="false" outlineLevel="0" collapsed="false">
      <c r="A192" s="180" t="n">
        <v>50.6734466179865</v>
      </c>
      <c r="B192" s="240" t="n">
        <f aca="false">'Revenues &amp; Expenses'!AX200</f>
        <v>42401</v>
      </c>
      <c r="C192" s="180" t="n">
        <f aca="false">'PJM Curve Simulation'!J200</f>
        <v>41.3249984741211</v>
      </c>
      <c r="D192" s="180" t="n">
        <f aca="false">F192+G192</f>
        <v>48.0121217824833</v>
      </c>
      <c r="F192" s="180" t="n">
        <f aca="false">('Fuel Curve Simulation'!J200*'Revenues &amp; Expenses'!$S$2/1000)</f>
        <v>44.9354193103448</v>
      </c>
      <c r="G192" s="180" t="n">
        <f aca="false">'Revenues &amp; Expenses'!$AM$5*1000*'Revenues &amp; Expenses'!O200</f>
        <v>3.07670247213849</v>
      </c>
      <c r="H192" s="204" t="n">
        <f aca="false">H191+1</f>
        <v>183</v>
      </c>
      <c r="I192" s="204" t="n">
        <f aca="false">IF(C192&gt;D192,1,0)</f>
        <v>0</v>
      </c>
      <c r="J192" s="204" t="n">
        <v>315</v>
      </c>
      <c r="K192" s="212" t="n">
        <f aca="false">IF(I192&gt;0,J192*'Revenues &amp; Expenses'!F200*16,0)</f>
        <v>0</v>
      </c>
      <c r="L192" s="211" t="n">
        <f aca="false">K192*'Revenues &amp; Expenses'!N200</f>
        <v>0</v>
      </c>
      <c r="M192" s="212"/>
      <c r="N192" s="212"/>
      <c r="AC192" s="248" t="n">
        <f aca="false">B192</f>
        <v>42401</v>
      </c>
      <c r="AD192" s="10" t="n">
        <f aca="false">AD191+1</f>
        <v>183</v>
      </c>
      <c r="AE192" s="10" t="n">
        <f aca="false">C192*L192</f>
        <v>0</v>
      </c>
      <c r="AF192" s="10" t="n">
        <f aca="false">L192</f>
        <v>0</v>
      </c>
      <c r="AG192" s="205" t="n">
        <f aca="false">IF(AF192&gt;0,AE192/AF192,0)</f>
        <v>0</v>
      </c>
      <c r="AJ192" s="10" t="n">
        <f aca="false">D192*L192</f>
        <v>0</v>
      </c>
      <c r="AK192" s="249" t="n">
        <f aca="false">IF(AF192&gt;0,AJ192/AF192,0)</f>
        <v>0</v>
      </c>
    </row>
    <row r="193" customFormat="false" ht="12.75" hidden="false" customHeight="false" outlineLevel="0" collapsed="false">
      <c r="A193" s="180" t="n">
        <v>37.763787177906</v>
      </c>
      <c r="B193" s="240" t="n">
        <f aca="false">'Revenues &amp; Expenses'!AX201</f>
        <v>42430</v>
      </c>
      <c r="C193" s="180" t="n">
        <f aca="false">'PJM Curve Simulation'!J201</f>
        <v>31.0500007629395</v>
      </c>
      <c r="D193" s="180" t="n">
        <f aca="false">F193+G193</f>
        <v>47.0891365246849</v>
      </c>
      <c r="F193" s="180" t="n">
        <f aca="false">('Fuel Curve Simulation'!J201*'Revenues &amp; Expenses'!$S$2/1000)</f>
        <v>44.0055956896552</v>
      </c>
      <c r="G193" s="180" t="n">
        <f aca="false">'Revenues &amp; Expenses'!$AM$5*1000*'Revenues &amp; Expenses'!O201</f>
        <v>3.08354083502968</v>
      </c>
      <c r="H193" s="204" t="n">
        <f aca="false">H192+1</f>
        <v>184</v>
      </c>
      <c r="I193" s="204" t="n">
        <f aca="false">IF(C193&gt;D193,1,0)</f>
        <v>0</v>
      </c>
      <c r="J193" s="204" t="n">
        <v>315</v>
      </c>
      <c r="K193" s="212" t="n">
        <f aca="false">IF(I193&gt;0,J193*'Revenues &amp; Expenses'!F201*16,0)</f>
        <v>0</v>
      </c>
      <c r="L193" s="211" t="n">
        <f aca="false">K193*'Revenues &amp; Expenses'!N201</f>
        <v>0</v>
      </c>
      <c r="M193" s="212"/>
      <c r="N193" s="212"/>
      <c r="AC193" s="248" t="n">
        <f aca="false">B193</f>
        <v>42430</v>
      </c>
      <c r="AD193" s="10" t="n">
        <f aca="false">AD192+1</f>
        <v>184</v>
      </c>
      <c r="AE193" s="10" t="n">
        <f aca="false">C193*L193</f>
        <v>0</v>
      </c>
      <c r="AF193" s="10" t="n">
        <f aca="false">L193</f>
        <v>0</v>
      </c>
      <c r="AG193" s="205" t="n">
        <f aca="false">IF(AF193&gt;0,AE193/AF193,0)</f>
        <v>0</v>
      </c>
      <c r="AJ193" s="10" t="n">
        <f aca="false">D193*L193</f>
        <v>0</v>
      </c>
      <c r="AK193" s="249" t="n">
        <f aca="false">IF(AF193&gt;0,AJ193/AF193,0)</f>
        <v>0</v>
      </c>
    </row>
    <row r="194" customFormat="false" ht="12.75" hidden="false" customHeight="false" outlineLevel="0" collapsed="false">
      <c r="A194" s="180" t="n">
        <v>34.9667184669329</v>
      </c>
      <c r="B194" s="240" t="n">
        <f aca="false">'Revenues &amp; Expenses'!AX202</f>
        <v>42461</v>
      </c>
      <c r="C194" s="180" t="n">
        <f aca="false">'PJM Curve Simulation'!J202</f>
        <v>30.8250007629395</v>
      </c>
      <c r="D194" s="180" t="n">
        <f aca="false">F194+G194</f>
        <v>46.1380900867081</v>
      </c>
      <c r="F194" s="180" t="n">
        <f aca="false">('Fuel Curve Simulation'!J202*'Revenues &amp; Expenses'!$S$2/1000)</f>
        <v>43.0476956896552</v>
      </c>
      <c r="G194" s="180" t="n">
        <f aca="false">'Revenues &amp; Expenses'!$AM$5*1000*'Revenues &amp; Expenses'!O202</f>
        <v>3.09039439705288</v>
      </c>
      <c r="H194" s="204" t="n">
        <f aca="false">H193+1</f>
        <v>185</v>
      </c>
      <c r="I194" s="204" t="n">
        <f aca="false">IF(C194&gt;D194,1,0)</f>
        <v>0</v>
      </c>
      <c r="J194" s="204" t="n">
        <v>315</v>
      </c>
      <c r="K194" s="212" t="n">
        <f aca="false">IF(I194&gt;0,J194*'Revenues &amp; Expenses'!F202*16,0)</f>
        <v>0</v>
      </c>
      <c r="L194" s="211" t="n">
        <f aca="false">K194*'Revenues &amp; Expenses'!N202</f>
        <v>0</v>
      </c>
      <c r="M194" s="212"/>
      <c r="N194" s="212"/>
      <c r="AC194" s="248" t="n">
        <f aca="false">B194</f>
        <v>42461</v>
      </c>
      <c r="AD194" s="10" t="n">
        <f aca="false">AD193+1</f>
        <v>185</v>
      </c>
      <c r="AE194" s="10" t="n">
        <f aca="false">C194*L194</f>
        <v>0</v>
      </c>
      <c r="AF194" s="10" t="n">
        <f aca="false">L194</f>
        <v>0</v>
      </c>
      <c r="AG194" s="205" t="n">
        <f aca="false">IF(AF194&gt;0,AE194/AF194,0)</f>
        <v>0</v>
      </c>
      <c r="AJ194" s="10" t="n">
        <f aca="false">D194*L194</f>
        <v>0</v>
      </c>
      <c r="AK194" s="249" t="n">
        <f aca="false">IF(AF194&gt;0,AJ194/AF194,0)</f>
        <v>0</v>
      </c>
    </row>
    <row r="195" customFormat="false" ht="12.75" hidden="false" customHeight="false" outlineLevel="0" collapsed="false">
      <c r="A195" s="180" t="n">
        <v>42.6222475633329</v>
      </c>
      <c r="B195" s="240" t="n">
        <f aca="false">'Revenues &amp; Expenses'!AX203</f>
        <v>42491</v>
      </c>
      <c r="C195" s="180" t="n">
        <f aca="false">'PJM Curve Simulation'!J203</f>
        <v>38.825</v>
      </c>
      <c r="D195" s="180" t="n">
        <f aca="false">F195+G195</f>
        <v>45.5008537092315</v>
      </c>
      <c r="F195" s="180" t="n">
        <f aca="false">('Fuel Curve Simulation'!J203*'Revenues &amp; Expenses'!$S$2/1000)</f>
        <v>42.4035905172414</v>
      </c>
      <c r="G195" s="180" t="n">
        <f aca="false">'Revenues &amp; Expenses'!$AM$5*1000*'Revenues &amp; Expenses'!O203</f>
        <v>3.0972631919901</v>
      </c>
      <c r="H195" s="204" t="n">
        <f aca="false">H194+1</f>
        <v>186</v>
      </c>
      <c r="I195" s="204" t="n">
        <f aca="false">IF(C195&gt;D195,1,0)</f>
        <v>0</v>
      </c>
      <c r="J195" s="204" t="n">
        <v>315</v>
      </c>
      <c r="K195" s="212" t="n">
        <f aca="false">IF(I195&gt;0,J195*'Revenues &amp; Expenses'!F203*16,0)</f>
        <v>0</v>
      </c>
      <c r="L195" s="211" t="n">
        <f aca="false">K195*'Revenues &amp; Expenses'!N203</f>
        <v>0</v>
      </c>
      <c r="M195" s="212"/>
      <c r="N195" s="212"/>
      <c r="AC195" s="248" t="n">
        <f aca="false">B195</f>
        <v>42491</v>
      </c>
      <c r="AD195" s="10" t="n">
        <f aca="false">AD194+1</f>
        <v>186</v>
      </c>
      <c r="AE195" s="10" t="n">
        <f aca="false">C195*L195</f>
        <v>0</v>
      </c>
      <c r="AF195" s="10" t="n">
        <f aca="false">L195</f>
        <v>0</v>
      </c>
      <c r="AG195" s="205" t="n">
        <f aca="false">IF(AF195&gt;0,AE195/AF195,0)</f>
        <v>0</v>
      </c>
      <c r="AJ195" s="10" t="n">
        <f aca="false">D195*L195</f>
        <v>0</v>
      </c>
      <c r="AK195" s="249" t="n">
        <f aca="false">IF(AF195&gt;0,AJ195/AF195,0)</f>
        <v>0</v>
      </c>
    </row>
    <row r="196" customFormat="false" ht="12.75" hidden="false" customHeight="false" outlineLevel="0" collapsed="false">
      <c r="A196" s="180" t="n">
        <v>82.4910420293672</v>
      </c>
      <c r="B196" s="240" t="n">
        <f aca="false">'Revenues &amp; Expenses'!AX204</f>
        <v>42522</v>
      </c>
      <c r="C196" s="180" t="n">
        <f aca="false">'PJM Curve Simulation'!J204</f>
        <v>66.8499984741211</v>
      </c>
      <c r="D196" s="180" t="n">
        <f aca="false">F196+G196</f>
        <v>45.4449788054226</v>
      </c>
      <c r="F196" s="180" t="n">
        <f aca="false">('Fuel Curve Simulation'!J204*'Revenues &amp; Expenses'!$S$2/1000)</f>
        <v>42.3408315517242</v>
      </c>
      <c r="G196" s="180" t="n">
        <f aca="false">'Revenues &amp; Expenses'!$AM$5*1000*'Revenues &amp; Expenses'!O204</f>
        <v>3.10414725369842</v>
      </c>
      <c r="H196" s="204" t="n">
        <f aca="false">H195+1</f>
        <v>187</v>
      </c>
      <c r="I196" s="204" t="n">
        <f aca="false">IF(C196&gt;D196,1,0)</f>
        <v>1</v>
      </c>
      <c r="J196" s="204" t="n">
        <v>315</v>
      </c>
      <c r="K196" s="212" t="n">
        <f aca="false">IF(I196&gt;0,J196*'Revenues &amp; Expenses'!F204*16,0)</f>
        <v>110880</v>
      </c>
      <c r="L196" s="211" t="n">
        <f aca="false">K196*'Revenues &amp; Expenses'!N204</f>
        <v>33742.1111286424</v>
      </c>
      <c r="M196" s="212"/>
      <c r="N196" s="212"/>
      <c r="AC196" s="248" t="n">
        <f aca="false">B196</f>
        <v>42522</v>
      </c>
      <c r="AD196" s="10" t="n">
        <f aca="false">AD195+1</f>
        <v>187</v>
      </c>
      <c r="AE196" s="10" t="n">
        <f aca="false">C196*L196</f>
        <v>2255660.07746337</v>
      </c>
      <c r="AF196" s="10" t="n">
        <f aca="false">L196</f>
        <v>33742.1111286424</v>
      </c>
      <c r="AG196" s="205" t="n">
        <f aca="false">IF(AF196&gt;0,AE196/AF196,0)</f>
        <v>66.8499984741211</v>
      </c>
      <c r="AJ196" s="10" t="n">
        <f aca="false">D196*L196</f>
        <v>1533409.52509137</v>
      </c>
      <c r="AK196" s="249" t="n">
        <f aca="false">IF(AF196&gt;0,AJ196/AF196,0)</f>
        <v>45.4449788054226</v>
      </c>
    </row>
    <row r="197" customFormat="false" ht="12.75" hidden="false" customHeight="false" outlineLevel="0" collapsed="false">
      <c r="A197" s="180" t="n">
        <v>158.158767209861</v>
      </c>
      <c r="B197" s="240" t="n">
        <f aca="false">'Revenues &amp; Expenses'!AX205</f>
        <v>42552</v>
      </c>
      <c r="C197" s="180" t="n">
        <f aca="false">'PJM Curve Simulation'!J205</f>
        <v>120.449996948242</v>
      </c>
      <c r="D197" s="180" t="n">
        <f aca="false">F197+G197</f>
        <v>46.0001933402481</v>
      </c>
      <c r="F197" s="180" t="n">
        <f aca="false">('Fuel Curve Simulation'!J205*'Revenues &amp; Expenses'!$S$2/1000)</f>
        <v>42.8891467241379</v>
      </c>
      <c r="G197" s="180" t="n">
        <f aca="false">'Revenues &amp; Expenses'!$AM$5*1000*'Revenues &amp; Expenses'!O205</f>
        <v>3.11104661611019</v>
      </c>
      <c r="H197" s="204" t="n">
        <f aca="false">H196+1</f>
        <v>188</v>
      </c>
      <c r="I197" s="204" t="n">
        <f aca="false">IF(C197&gt;D197,1,0)</f>
        <v>1</v>
      </c>
      <c r="J197" s="204" t="n">
        <v>315</v>
      </c>
      <c r="K197" s="212" t="n">
        <f aca="false">IF(I197&gt;0,J197*'Revenues &amp; Expenses'!F205*16,0)</f>
        <v>110880</v>
      </c>
      <c r="L197" s="211" t="n">
        <f aca="false">K197*'Revenues &amp; Expenses'!N205</f>
        <v>33543.8871580244</v>
      </c>
      <c r="M197" s="212"/>
      <c r="N197" s="212"/>
      <c r="AC197" s="248" t="n">
        <f aca="false">B197</f>
        <v>42552</v>
      </c>
      <c r="AD197" s="10" t="n">
        <f aca="false">AD196+1</f>
        <v>188</v>
      </c>
      <c r="AE197" s="10" t="n">
        <f aca="false">C197*L197</f>
        <v>4040361.10581622</v>
      </c>
      <c r="AF197" s="10" t="n">
        <f aca="false">L197</f>
        <v>33543.8871580244</v>
      </c>
      <c r="AG197" s="205" t="n">
        <f aca="false">IF(AF197&gt;0,AE197/AF197,0)</f>
        <v>120.449996948242</v>
      </c>
      <c r="AJ197" s="10" t="n">
        <f aca="false">D197*L197</f>
        <v>1543025.29465259</v>
      </c>
      <c r="AK197" s="249" t="n">
        <f aca="false">IF(AF197&gt;0,AJ197/AF197,0)</f>
        <v>46.0001933402481</v>
      </c>
    </row>
    <row r="198" customFormat="false" ht="12.75" hidden="false" customHeight="false" outlineLevel="0" collapsed="false">
      <c r="A198" s="180" t="n">
        <v>131.877667550948</v>
      </c>
      <c r="B198" s="240" t="n">
        <f aca="false">'Revenues &amp; Expenses'!AX206</f>
        <v>42583</v>
      </c>
      <c r="C198" s="180" t="n">
        <f aca="false">'PJM Curve Simulation'!J206</f>
        <v>107.449996948242</v>
      </c>
      <c r="D198" s="180" t="n">
        <f aca="false">F198+G198</f>
        <v>46.8741726925435</v>
      </c>
      <c r="F198" s="180" t="n">
        <f aca="false">('Fuel Curve Simulation'!J206*'Revenues &amp; Expenses'!$S$2/1000)</f>
        <v>43.7562113793104</v>
      </c>
      <c r="G198" s="180" t="n">
        <f aca="false">'Revenues &amp; Expenses'!$AM$5*1000*'Revenues &amp; Expenses'!O206</f>
        <v>3.11796131323318</v>
      </c>
      <c r="H198" s="204" t="n">
        <f aca="false">H197+1</f>
        <v>189</v>
      </c>
      <c r="I198" s="204" t="n">
        <f aca="false">IF(C198&gt;D198,1,0)</f>
        <v>1</v>
      </c>
      <c r="J198" s="204" t="n">
        <v>315</v>
      </c>
      <c r="K198" s="212" t="n">
        <f aca="false">IF(I198&gt;0,J198*'Revenues &amp; Expenses'!F206*16,0)</f>
        <v>110880</v>
      </c>
      <c r="L198" s="211" t="n">
        <f aca="false">K198*'Revenues &amp; Expenses'!N206</f>
        <v>33340.3068002315</v>
      </c>
      <c r="M198" s="212"/>
      <c r="N198" s="212"/>
      <c r="AC198" s="248" t="n">
        <f aca="false">B198</f>
        <v>42583</v>
      </c>
      <c r="AD198" s="10" t="n">
        <f aca="false">AD197+1</f>
        <v>189</v>
      </c>
      <c r="AE198" s="10" t="n">
        <f aca="false">C198*L198</f>
        <v>3582415.86393833</v>
      </c>
      <c r="AF198" s="10" t="n">
        <f aca="false">L198</f>
        <v>33340.3068002315</v>
      </c>
      <c r="AG198" s="205" t="n">
        <f aca="false">IF(AF198&gt;0,AE198/AF198,0)</f>
        <v>107.449996948242</v>
      </c>
      <c r="AJ198" s="10" t="n">
        <f aca="false">D198*L198</f>
        <v>1562799.29857643</v>
      </c>
      <c r="AK198" s="249" t="n">
        <f aca="false">IF(AF198&gt;0,AJ198/AF198,0)</f>
        <v>46.8741726925435</v>
      </c>
    </row>
    <row r="199" customFormat="false" ht="12.75" hidden="false" customHeight="false" outlineLevel="0" collapsed="false">
      <c r="A199" s="180" t="n">
        <v>45.5387499998995</v>
      </c>
      <c r="B199" s="240" t="n">
        <f aca="false">'Revenues &amp; Expenses'!AX207</f>
        <v>42614</v>
      </c>
      <c r="C199" s="180" t="n">
        <f aca="false">'PJM Curve Simulation'!J207</f>
        <v>39.4249984741211</v>
      </c>
      <c r="D199" s="180" t="n">
        <f aca="false">F199+G199</f>
        <v>47.7894562067369</v>
      </c>
      <c r="F199" s="180" t="n">
        <f aca="false">('Fuel Curve Simulation'!J207*'Revenues &amp; Expenses'!$S$2/1000)</f>
        <v>44.6645648275862</v>
      </c>
      <c r="G199" s="180" t="n">
        <f aca="false">'Revenues &amp; Expenses'!$AM$5*1000*'Revenues &amp; Expenses'!O207</f>
        <v>3.12489137915072</v>
      </c>
      <c r="H199" s="204" t="n">
        <f aca="false">H198+1</f>
        <v>190</v>
      </c>
      <c r="I199" s="204" t="n">
        <f aca="false">IF(C199&gt;D199,1,0)</f>
        <v>0</v>
      </c>
      <c r="J199" s="204" t="n">
        <v>315</v>
      </c>
      <c r="K199" s="212" t="n">
        <f aca="false">IF(I199&gt;0,J199*'Revenues &amp; Expenses'!F207*16,0)</f>
        <v>0</v>
      </c>
      <c r="L199" s="211" t="n">
        <f aca="false">K199*'Revenues &amp; Expenses'!N207</f>
        <v>0</v>
      </c>
      <c r="M199" s="212"/>
      <c r="N199" s="212"/>
      <c r="AC199" s="248" t="n">
        <f aca="false">B199</f>
        <v>42614</v>
      </c>
      <c r="AD199" s="10" t="n">
        <f aca="false">AD198+1</f>
        <v>190</v>
      </c>
      <c r="AE199" s="10" t="n">
        <f aca="false">C199*L199</f>
        <v>0</v>
      </c>
      <c r="AF199" s="10" t="n">
        <f aca="false">L199</f>
        <v>0</v>
      </c>
      <c r="AG199" s="205" t="n">
        <f aca="false">IF(AF199&gt;0,AE199/AF199,0)</f>
        <v>0</v>
      </c>
      <c r="AJ199" s="10" t="n">
        <f aca="false">D199*L199</f>
        <v>0</v>
      </c>
      <c r="AK199" s="249" t="n">
        <f aca="false">IF(AF199&gt;0,AJ199/AF199,0)</f>
        <v>0</v>
      </c>
    </row>
    <row r="200" customFormat="false" ht="12.75" hidden="false" customHeight="false" outlineLevel="0" collapsed="false">
      <c r="A200" s="180" t="n">
        <v>37.091942323122</v>
      </c>
      <c r="B200" s="240" t="n">
        <f aca="false">'Revenues &amp; Expenses'!AX208</f>
        <v>42644</v>
      </c>
      <c r="C200" s="180" t="n">
        <f aca="false">'PJM Curve Simulation'!J208</f>
        <v>31.5750003814697</v>
      </c>
      <c r="D200" s="180" t="n">
        <f aca="false">F200+G200</f>
        <v>48.6832849514702</v>
      </c>
      <c r="F200" s="180" t="n">
        <f aca="false">('Fuel Curve Simulation'!J208*'Revenues &amp; Expenses'!$S$2/1000)</f>
        <v>45.5514481034483</v>
      </c>
      <c r="G200" s="180" t="n">
        <f aca="false">'Revenues &amp; Expenses'!$AM$5*1000*'Revenues &amp; Expenses'!O208</f>
        <v>3.13183684802192</v>
      </c>
      <c r="H200" s="204" t="n">
        <f aca="false">H199+1</f>
        <v>191</v>
      </c>
      <c r="I200" s="204" t="n">
        <f aca="false">IF(C200&gt;D200,1,0)</f>
        <v>0</v>
      </c>
      <c r="J200" s="204" t="n">
        <v>315</v>
      </c>
      <c r="K200" s="212" t="n">
        <f aca="false">IF(I200&gt;0,J200*'Revenues &amp; Expenses'!F208*16,0)</f>
        <v>0</v>
      </c>
      <c r="L200" s="211" t="n">
        <f aca="false">K200*'Revenues &amp; Expenses'!N208</f>
        <v>0</v>
      </c>
      <c r="M200" s="212"/>
      <c r="N200" s="212"/>
      <c r="AC200" s="248" t="n">
        <f aca="false">B200</f>
        <v>42644</v>
      </c>
      <c r="AD200" s="10" t="n">
        <f aca="false">AD199+1</f>
        <v>191</v>
      </c>
      <c r="AE200" s="10" t="n">
        <f aca="false">C200*L200</f>
        <v>0</v>
      </c>
      <c r="AF200" s="10" t="n">
        <f aca="false">L200</f>
        <v>0</v>
      </c>
      <c r="AG200" s="205" t="n">
        <f aca="false">IF(AF200&gt;0,AE200/AF200,0)</f>
        <v>0</v>
      </c>
      <c r="AJ200" s="10" t="n">
        <f aca="false">D200*L200</f>
        <v>0</v>
      </c>
      <c r="AK200" s="249" t="n">
        <f aca="false">IF(AF200&gt;0,AJ200/AF200,0)</f>
        <v>0</v>
      </c>
    </row>
    <row r="201" customFormat="false" ht="12.75" hidden="false" customHeight="false" outlineLevel="0" collapsed="false">
      <c r="A201" s="180" t="n">
        <v>37.2103030972672</v>
      </c>
      <c r="B201" s="240" t="n">
        <f aca="false">'Revenues &amp; Expenses'!AX209</f>
        <v>42675</v>
      </c>
      <c r="C201" s="180" t="n">
        <f aca="false">'PJM Curve Simulation'!J209</f>
        <v>31.2474990844727</v>
      </c>
      <c r="D201" s="180" t="n">
        <f aca="false">F201+G201</f>
        <v>49.1625896506335</v>
      </c>
      <c r="F201" s="180" t="n">
        <f aca="false">('Fuel Curve Simulation'!J209*'Revenues &amp; Expenses'!$S$2/1000)</f>
        <v>46.0237918965517</v>
      </c>
      <c r="G201" s="180" t="n">
        <f aca="false">'Revenues &amp; Expenses'!$AM$5*1000*'Revenues &amp; Expenses'!O209</f>
        <v>3.13879775408181</v>
      </c>
      <c r="H201" s="204" t="n">
        <f aca="false">H200+1</f>
        <v>192</v>
      </c>
      <c r="I201" s="204" t="n">
        <f aca="false">IF(C201&gt;D201,1,0)</f>
        <v>0</v>
      </c>
      <c r="J201" s="204" t="n">
        <v>315</v>
      </c>
      <c r="K201" s="212" t="n">
        <f aca="false">IF(I201&gt;0,J201*'Revenues &amp; Expenses'!F209*16,0)</f>
        <v>0</v>
      </c>
      <c r="L201" s="211" t="n">
        <f aca="false">K201*'Revenues &amp; Expenses'!N209</f>
        <v>0</v>
      </c>
      <c r="M201" s="212"/>
      <c r="N201" s="212"/>
      <c r="AC201" s="248" t="n">
        <f aca="false">B201</f>
        <v>42675</v>
      </c>
      <c r="AD201" s="10" t="n">
        <f aca="false">AD200+1</f>
        <v>192</v>
      </c>
      <c r="AE201" s="10" t="n">
        <f aca="false">C201*L201</f>
        <v>0</v>
      </c>
      <c r="AF201" s="10" t="n">
        <f aca="false">L201</f>
        <v>0</v>
      </c>
      <c r="AG201" s="205" t="n">
        <f aca="false">IF(AF201&gt;0,AE201/AF201,0)</f>
        <v>0</v>
      </c>
      <c r="AJ201" s="10" t="n">
        <f aca="false">D201*L201</f>
        <v>0</v>
      </c>
      <c r="AK201" s="249" t="n">
        <f aca="false">IF(AF201&gt;0,AJ201/AF201,0)</f>
        <v>0</v>
      </c>
    </row>
    <row r="202" customFormat="false" ht="12.75" hidden="false" customHeight="false" outlineLevel="0" collapsed="false">
      <c r="A202" s="180" t="n">
        <v>39.7968079196775</v>
      </c>
      <c r="B202" s="240" t="n">
        <f aca="false">'Revenues &amp; Expenses'!AX210</f>
        <v>42705</v>
      </c>
      <c r="C202" s="180" t="n">
        <f aca="false">'PJM Curve Simulation'!J210</f>
        <v>32.9999996185303</v>
      </c>
      <c r="D202" s="180" t="n">
        <f aca="false">F202+G202</f>
        <v>49.5791508557794</v>
      </c>
      <c r="F202" s="180" t="n">
        <f aca="false">('Fuel Curve Simulation'!J210*'Revenues &amp; Expenses'!$S$2/1000)</f>
        <v>46.4333767241379</v>
      </c>
      <c r="G202" s="180" t="n">
        <f aca="false">'Revenues &amp; Expenses'!$AM$5*1000*'Revenues &amp; Expenses'!O210</f>
        <v>3.1457741316415</v>
      </c>
      <c r="H202" s="204" t="n">
        <f aca="false">H201+1</f>
        <v>193</v>
      </c>
      <c r="I202" s="204" t="n">
        <f aca="false">IF(C202&gt;D202,1,0)</f>
        <v>0</v>
      </c>
      <c r="J202" s="204" t="n">
        <v>315</v>
      </c>
      <c r="K202" s="212" t="n">
        <f aca="false">IF(I202&gt;0,J202*'Revenues &amp; Expenses'!F210*16,0)</f>
        <v>0</v>
      </c>
      <c r="L202" s="211" t="n">
        <f aca="false">K202*'Revenues &amp; Expenses'!N210</f>
        <v>0</v>
      </c>
      <c r="M202" s="212" t="n">
        <f aca="false">SUM(L191:L202)</f>
        <v>100626.305086898</v>
      </c>
      <c r="N202" s="212" t="n">
        <f aca="false">SUM(K191:K202)</f>
        <v>332640</v>
      </c>
      <c r="AC202" s="248" t="n">
        <f aca="false">B202</f>
        <v>42705</v>
      </c>
      <c r="AD202" s="10" t="n">
        <f aca="false">AD201+1</f>
        <v>193</v>
      </c>
      <c r="AE202" s="10" t="n">
        <f aca="false">C202*L202</f>
        <v>0</v>
      </c>
      <c r="AF202" s="10" t="n">
        <f aca="false">L202</f>
        <v>0</v>
      </c>
      <c r="AG202" s="205" t="n">
        <f aca="false">IF(AF202&gt;0,AE202/AF202,0)</f>
        <v>0</v>
      </c>
      <c r="AH202" s="205" t="n">
        <f aca="false">IF(SUM(AF191:AF202)=0,0,SUM(AE191:AE202)/SUM(AF191:AF202))</f>
        <v>98.1695297137975</v>
      </c>
      <c r="AJ202" s="10" t="n">
        <f aca="false">D202*L202</f>
        <v>0</v>
      </c>
      <c r="AK202" s="249" t="n">
        <f aca="false">IF(AF202&gt;0,AJ202/AF202,0)</f>
        <v>0</v>
      </c>
      <c r="AL202" s="249" t="n">
        <f aca="false">IF(SUM(AF191:AF202)=0,0,SUM(AJ191:AJ202)/SUM(AF191:AF202))</f>
        <v>46.1035920410082</v>
      </c>
    </row>
    <row r="203" customFormat="false" ht="12.75" hidden="false" customHeight="false" outlineLevel="0" collapsed="false">
      <c r="A203" s="180" t="n">
        <v>50.9800010553068</v>
      </c>
      <c r="B203" s="240" t="n">
        <f aca="false">'Revenues &amp; Expenses'!AX211</f>
        <v>42736</v>
      </c>
      <c r="C203" s="180" t="n">
        <f aca="false">'PJM Curve Simulation'!J211</f>
        <v>41.5749984741211</v>
      </c>
      <c r="D203" s="180" t="n">
        <f aca="false">F203+G203</f>
        <v>49.0378275668125</v>
      </c>
      <c r="F203" s="180" t="n">
        <f aca="false">('Fuel Curve Simulation'!J211*'Revenues &amp; Expenses'!$S$2/1000)</f>
        <v>45.8850615517242</v>
      </c>
      <c r="G203" s="180" t="n">
        <f aca="false">'Revenues &amp; Expenses'!$AM$5*1000*'Revenues &amp; Expenses'!O211</f>
        <v>3.15276601508837</v>
      </c>
      <c r="H203" s="204" t="n">
        <f aca="false">H202+1</f>
        <v>194</v>
      </c>
      <c r="I203" s="204" t="n">
        <f aca="false">IF(C203&gt;D203,1,0)</f>
        <v>0</v>
      </c>
      <c r="J203" s="204" t="n">
        <v>315</v>
      </c>
      <c r="K203" s="212" t="n">
        <f aca="false">IF(I203&gt;0,J203*'Revenues &amp; Expenses'!F211*16,0)</f>
        <v>0</v>
      </c>
      <c r="L203" s="211" t="n">
        <f aca="false">K203*'Revenues &amp; Expenses'!N211</f>
        <v>0</v>
      </c>
      <c r="M203" s="212"/>
      <c r="N203" s="212"/>
      <c r="AC203" s="248" t="n">
        <f aca="false">B203</f>
        <v>42736</v>
      </c>
      <c r="AD203" s="10" t="n">
        <f aca="false">AD202+1</f>
        <v>194</v>
      </c>
      <c r="AE203" s="10" t="n">
        <f aca="false">C203*L203</f>
        <v>0</v>
      </c>
      <c r="AF203" s="10" t="n">
        <f aca="false">L203</f>
        <v>0</v>
      </c>
      <c r="AG203" s="205" t="n">
        <f aca="false">IF(AF203&gt;0,AE203/AF203,0)</f>
        <v>0</v>
      </c>
      <c r="AJ203" s="10" t="n">
        <f aca="false">D203*L203</f>
        <v>0</v>
      </c>
      <c r="AK203" s="249" t="n">
        <f aca="false">IF(AF203&gt;0,AJ203/AF203,0)</f>
        <v>0</v>
      </c>
    </row>
    <row r="204" customFormat="false" ht="12.75" hidden="false" customHeight="false" outlineLevel="0" collapsed="false">
      <c r="A204" s="180" t="n">
        <v>50.9800010553068</v>
      </c>
      <c r="B204" s="240" t="n">
        <f aca="false">'Revenues &amp; Expenses'!AX212</f>
        <v>42767</v>
      </c>
      <c r="C204" s="180" t="n">
        <f aca="false">'PJM Curve Simulation'!J212</f>
        <v>41.5749984741211</v>
      </c>
      <c r="D204" s="180" t="n">
        <f aca="false">F204+G204</f>
        <v>48.0951927492311</v>
      </c>
      <c r="F204" s="180" t="n">
        <f aca="false">('Fuel Curve Simulation'!J212*'Revenues &amp; Expenses'!$S$2/1000)</f>
        <v>44.9354193103448</v>
      </c>
      <c r="G204" s="180" t="n">
        <f aca="false">'Revenues &amp; Expenses'!$AM$5*1000*'Revenues &amp; Expenses'!O212</f>
        <v>3.15977343888622</v>
      </c>
      <c r="H204" s="204" t="n">
        <f aca="false">H203+1</f>
        <v>195</v>
      </c>
      <c r="I204" s="204" t="n">
        <f aca="false">IF(C204&gt;D204,1,0)</f>
        <v>0</v>
      </c>
      <c r="J204" s="204" t="n">
        <v>315</v>
      </c>
      <c r="K204" s="212" t="n">
        <f aca="false">IF(I204&gt;0,J204*'Revenues &amp; Expenses'!F212*16,0)</f>
        <v>0</v>
      </c>
      <c r="L204" s="211" t="n">
        <f aca="false">K204*'Revenues &amp; Expenses'!N212</f>
        <v>0</v>
      </c>
      <c r="M204" s="212"/>
      <c r="N204" s="212"/>
      <c r="AC204" s="248" t="n">
        <f aca="false">B204</f>
        <v>42767</v>
      </c>
      <c r="AD204" s="10" t="n">
        <f aca="false">AD203+1</f>
        <v>195</v>
      </c>
      <c r="AE204" s="10" t="n">
        <f aca="false">C204*L204</f>
        <v>0</v>
      </c>
      <c r="AF204" s="10" t="n">
        <f aca="false">L204</f>
        <v>0</v>
      </c>
      <c r="AG204" s="205" t="n">
        <f aca="false">IF(AF204&gt;0,AE204/AF204,0)</f>
        <v>0</v>
      </c>
      <c r="AJ204" s="10" t="n">
        <f aca="false">D204*L204</f>
        <v>0</v>
      </c>
      <c r="AK204" s="249" t="n">
        <f aca="false">IF(AF204&gt;0,AJ204/AF204,0)</f>
        <v>0</v>
      </c>
    </row>
    <row r="205" customFormat="false" ht="12.75" hidden="false" customHeight="false" outlineLevel="0" collapsed="false">
      <c r="A205" s="180" t="n">
        <v>38.067843427906</v>
      </c>
      <c r="B205" s="240" t="n">
        <f aca="false">'Revenues &amp; Expenses'!AX213</f>
        <v>42795</v>
      </c>
      <c r="C205" s="180" t="n">
        <f aca="false">'PJM Curve Simulation'!J213</f>
        <v>31.3000007629395</v>
      </c>
      <c r="D205" s="180" t="n">
        <f aca="false">F205+G205</f>
        <v>47.1723921272307</v>
      </c>
      <c r="F205" s="180" t="n">
        <f aca="false">('Fuel Curve Simulation'!J213*'Revenues &amp; Expenses'!$S$2/1000)</f>
        <v>44.0055956896552</v>
      </c>
      <c r="G205" s="180" t="n">
        <f aca="false">'Revenues &amp; Expenses'!$AM$5*1000*'Revenues &amp; Expenses'!O213</f>
        <v>3.16679643757548</v>
      </c>
      <c r="H205" s="204" t="n">
        <f aca="false">H204+1</f>
        <v>196</v>
      </c>
      <c r="I205" s="204" t="n">
        <f aca="false">IF(C205&gt;D205,1,0)</f>
        <v>0</v>
      </c>
      <c r="J205" s="204" t="n">
        <v>315</v>
      </c>
      <c r="K205" s="212" t="n">
        <f aca="false">IF(I205&gt;0,J205*'Revenues &amp; Expenses'!F213*16,0)</f>
        <v>0</v>
      </c>
      <c r="L205" s="211" t="n">
        <f aca="false">K205*'Revenues &amp; Expenses'!N213</f>
        <v>0</v>
      </c>
      <c r="M205" s="212"/>
      <c r="N205" s="212"/>
      <c r="AC205" s="248" t="n">
        <f aca="false">B205</f>
        <v>42795</v>
      </c>
      <c r="AD205" s="10" t="n">
        <f aca="false">AD204+1</f>
        <v>196</v>
      </c>
      <c r="AE205" s="10" t="n">
        <f aca="false">C205*L205</f>
        <v>0</v>
      </c>
      <c r="AF205" s="10" t="n">
        <f aca="false">L205</f>
        <v>0</v>
      </c>
      <c r="AG205" s="205" t="n">
        <f aca="false">IF(AF205&gt;0,AE205/AF205,0)</f>
        <v>0</v>
      </c>
      <c r="AJ205" s="10" t="n">
        <f aca="false">D205*L205</f>
        <v>0</v>
      </c>
      <c r="AK205" s="249" t="n">
        <f aca="false">IF(AF205&gt;0,AJ205/AF205,0)</f>
        <v>0</v>
      </c>
    </row>
    <row r="206" customFormat="false" ht="12.75" hidden="false" customHeight="false" outlineLevel="0" collapsed="false">
      <c r="A206" s="180" t="n">
        <v>35.2503090395321</v>
      </c>
      <c r="B206" s="240" t="n">
        <f aca="false">'Revenues &amp; Expenses'!AX214</f>
        <v>42826</v>
      </c>
      <c r="C206" s="180" t="n">
        <f aca="false">'PJM Curve Simulation'!J214</f>
        <v>31.0750007629395</v>
      </c>
      <c r="D206" s="180" t="n">
        <f aca="false">F206+G206</f>
        <v>46.2215307354285</v>
      </c>
      <c r="F206" s="180" t="n">
        <f aca="false">('Fuel Curve Simulation'!J214*'Revenues &amp; Expenses'!$S$2/1000)</f>
        <v>43.0476956896552</v>
      </c>
      <c r="G206" s="180" t="n">
        <f aca="false">'Revenues &amp; Expenses'!$AM$5*1000*'Revenues &amp; Expenses'!O214</f>
        <v>3.17383504577331</v>
      </c>
      <c r="H206" s="204" t="n">
        <f aca="false">H205+1</f>
        <v>197</v>
      </c>
      <c r="I206" s="204" t="n">
        <f aca="false">IF(C206&gt;D206,1,0)</f>
        <v>0</v>
      </c>
      <c r="J206" s="204" t="n">
        <v>315</v>
      </c>
      <c r="K206" s="212" t="n">
        <f aca="false">IF(I206&gt;0,J206*'Revenues &amp; Expenses'!F214*16,0)</f>
        <v>0</v>
      </c>
      <c r="L206" s="211" t="n">
        <f aca="false">K206*'Revenues &amp; Expenses'!N214</f>
        <v>0</v>
      </c>
      <c r="M206" s="212"/>
      <c r="N206" s="212"/>
      <c r="AC206" s="248" t="n">
        <f aca="false">B206</f>
        <v>42826</v>
      </c>
      <c r="AD206" s="10" t="n">
        <f aca="false">AD205+1</f>
        <v>197</v>
      </c>
      <c r="AE206" s="10" t="n">
        <f aca="false">C206*L206</f>
        <v>0</v>
      </c>
      <c r="AF206" s="10" t="n">
        <f aca="false">L206</f>
        <v>0</v>
      </c>
      <c r="AG206" s="205" t="n">
        <f aca="false">IF(AF206&gt;0,AE206/AF206,0)</f>
        <v>0</v>
      </c>
      <c r="AJ206" s="10" t="n">
        <f aca="false">D206*L206</f>
        <v>0</v>
      </c>
      <c r="AK206" s="249" t="n">
        <f aca="false">IF(AF206&gt;0,AJ206/AF206,0)</f>
        <v>0</v>
      </c>
    </row>
    <row r="207" customFormat="false" ht="12.75" hidden="false" customHeight="false" outlineLevel="0" collapsed="false">
      <c r="A207" s="180" t="n">
        <v>42.8966986101026</v>
      </c>
      <c r="B207" s="240" t="n">
        <f aca="false">'Revenues &amp; Expenses'!AX215</f>
        <v>42856</v>
      </c>
      <c r="C207" s="180" t="n">
        <f aca="false">'PJM Curve Simulation'!J215</f>
        <v>39.075</v>
      </c>
      <c r="D207" s="180" t="n">
        <f aca="false">F207+G207</f>
        <v>45.5844798154152</v>
      </c>
      <c r="F207" s="180" t="n">
        <f aca="false">('Fuel Curve Simulation'!J215*'Revenues &amp; Expenses'!$S$2/1000)</f>
        <v>42.4035905172414</v>
      </c>
      <c r="G207" s="180" t="n">
        <f aca="false">'Revenues &amp; Expenses'!$AM$5*1000*'Revenues &amp; Expenses'!O215</f>
        <v>3.18088929817383</v>
      </c>
      <c r="H207" s="204" t="n">
        <f aca="false">H206+1</f>
        <v>198</v>
      </c>
      <c r="I207" s="204" t="n">
        <f aca="false">IF(C207&gt;D207,1,0)</f>
        <v>0</v>
      </c>
      <c r="J207" s="204" t="n">
        <v>315</v>
      </c>
      <c r="K207" s="212" t="n">
        <f aca="false">IF(I207&gt;0,J207*'Revenues &amp; Expenses'!F215*16,0)</f>
        <v>0</v>
      </c>
      <c r="L207" s="211" t="n">
        <f aca="false">K207*'Revenues &amp; Expenses'!N215</f>
        <v>0</v>
      </c>
      <c r="M207" s="212"/>
      <c r="N207" s="212"/>
      <c r="AC207" s="248" t="n">
        <f aca="false">B207</f>
        <v>42856</v>
      </c>
      <c r="AD207" s="10" t="n">
        <f aca="false">AD206+1</f>
        <v>198</v>
      </c>
      <c r="AE207" s="10" t="n">
        <f aca="false">C207*L207</f>
        <v>0</v>
      </c>
      <c r="AF207" s="10" t="n">
        <f aca="false">L207</f>
        <v>0</v>
      </c>
      <c r="AG207" s="205" t="n">
        <f aca="false">IF(AF207&gt;0,AE207/AF207,0)</f>
        <v>0</v>
      </c>
      <c r="AJ207" s="10" t="n">
        <f aca="false">D207*L207</f>
        <v>0</v>
      </c>
      <c r="AK207" s="249" t="n">
        <f aca="false">IF(AF207&gt;0,AJ207/AF207,0)</f>
        <v>0</v>
      </c>
    </row>
    <row r="208" customFormat="false" ht="12.75" hidden="false" customHeight="false" outlineLevel="0" collapsed="false">
      <c r="A208" s="180" t="n">
        <v>83.4165212056453</v>
      </c>
      <c r="B208" s="240" t="n">
        <f aca="false">'Revenues &amp; Expenses'!AX216</f>
        <v>42887</v>
      </c>
      <c r="C208" s="180" t="n">
        <f aca="false">'PJM Curve Simulation'!J216</f>
        <v>67.5999984741211</v>
      </c>
      <c r="D208" s="180" t="n">
        <f aca="false">F208+G208</f>
        <v>45.5287907812724</v>
      </c>
      <c r="F208" s="180" t="n">
        <f aca="false">('Fuel Curve Simulation'!J216*'Revenues &amp; Expenses'!$S$2/1000)</f>
        <v>42.3408315517242</v>
      </c>
      <c r="G208" s="180" t="n">
        <f aca="false">'Revenues &amp; Expenses'!$AM$5*1000*'Revenues &amp; Expenses'!O216</f>
        <v>3.18795922954828</v>
      </c>
      <c r="H208" s="204" t="n">
        <f aca="false">H207+1</f>
        <v>199</v>
      </c>
      <c r="I208" s="204" t="n">
        <f aca="false">IF(C208&gt;D208,1,0)</f>
        <v>1</v>
      </c>
      <c r="J208" s="204" t="n">
        <v>315</v>
      </c>
      <c r="K208" s="212" t="n">
        <f aca="false">IF(I208&gt;0,J208*'Revenues &amp; Expenses'!F216*16,0)</f>
        <v>105840</v>
      </c>
      <c r="L208" s="211" t="n">
        <f aca="false">K208*'Revenues &amp; Expenses'!N216</f>
        <v>29981.9196087766</v>
      </c>
      <c r="M208" s="212"/>
      <c r="N208" s="212"/>
      <c r="AC208" s="248" t="n">
        <f aca="false">B208</f>
        <v>42887</v>
      </c>
      <c r="AD208" s="10" t="n">
        <f aca="false">AD207+1</f>
        <v>199</v>
      </c>
      <c r="AE208" s="10" t="n">
        <f aca="false">C208*L208</f>
        <v>2026777.71980452</v>
      </c>
      <c r="AF208" s="10" t="n">
        <f aca="false">L208</f>
        <v>29981.9196087766</v>
      </c>
      <c r="AG208" s="205" t="n">
        <f aca="false">IF(AF208&gt;0,AE208/AF208,0)</f>
        <v>67.5999984741211</v>
      </c>
      <c r="AJ208" s="10" t="n">
        <f aca="false">D208*L208</f>
        <v>1365040.54508892</v>
      </c>
      <c r="AK208" s="249" t="n">
        <f aca="false">IF(AF208&gt;0,AJ208/AF208,0)</f>
        <v>45.5287907812724</v>
      </c>
    </row>
    <row r="209" customFormat="false" ht="12.75" hidden="false" customHeight="false" outlineLevel="0" collapsed="false">
      <c r="A209" s="180" t="n">
        <v>161.113165177801</v>
      </c>
      <c r="B209" s="240" t="n">
        <f aca="false">'Revenues &amp; Expenses'!AX217</f>
        <v>42917</v>
      </c>
      <c r="C209" s="180" t="n">
        <f aca="false">'PJM Curve Simulation'!J217</f>
        <v>122.699996948242</v>
      </c>
      <c r="D209" s="180" t="n">
        <f aca="false">F209+G209</f>
        <v>46.0841915988831</v>
      </c>
      <c r="F209" s="180" t="n">
        <f aca="false">('Fuel Curve Simulation'!J217*'Revenues &amp; Expenses'!$S$2/1000)</f>
        <v>42.8891467241379</v>
      </c>
      <c r="G209" s="180" t="n">
        <f aca="false">'Revenues &amp; Expenses'!$AM$5*1000*'Revenues &amp; Expenses'!O217</f>
        <v>3.19504487474517</v>
      </c>
      <c r="H209" s="204" t="n">
        <f aca="false">H208+1</f>
        <v>200</v>
      </c>
      <c r="I209" s="204" t="n">
        <f aca="false">IF(C209&gt;D209,1,0)</f>
        <v>1</v>
      </c>
      <c r="J209" s="204" t="n">
        <v>315</v>
      </c>
      <c r="K209" s="212" t="n">
        <f aca="false">IF(I209&gt;0,J209*'Revenues &amp; Expenses'!F217*16,0)</f>
        <v>110880</v>
      </c>
      <c r="L209" s="211" t="n">
        <f aca="false">K209*'Revenues &amp; Expenses'!N217</f>
        <v>31225.4100404432</v>
      </c>
      <c r="M209" s="212"/>
      <c r="N209" s="212"/>
      <c r="AC209" s="248" t="n">
        <f aca="false">B209</f>
        <v>42917</v>
      </c>
      <c r="AD209" s="10" t="n">
        <f aca="false">AD208+1</f>
        <v>200</v>
      </c>
      <c r="AE209" s="10" t="n">
        <f aca="false">C209*L209</f>
        <v>3831357.71666999</v>
      </c>
      <c r="AF209" s="10" t="n">
        <f aca="false">L209</f>
        <v>31225.4100404432</v>
      </c>
      <c r="AG209" s="205" t="n">
        <f aca="false">IF(AF209&gt;0,AE209/AF209,0)</f>
        <v>122.699996948242</v>
      </c>
      <c r="AJ209" s="10" t="n">
        <f aca="false">D209*L209</f>
        <v>1438997.77905747</v>
      </c>
      <c r="AK209" s="249" t="n">
        <f aca="false">IF(AF209&gt;0,AJ209/AF209,0)</f>
        <v>46.0841915988831</v>
      </c>
    </row>
    <row r="210" customFormat="false" ht="12.75" hidden="false" customHeight="false" outlineLevel="0" collapsed="false">
      <c r="A210" s="180" t="n">
        <v>134.639182305877</v>
      </c>
      <c r="B210" s="240" t="n">
        <f aca="false">'Revenues &amp; Expenses'!AX218</f>
        <v>42948</v>
      </c>
      <c r="C210" s="180" t="n">
        <f aca="false">'PJM Curve Simulation'!J218</f>
        <v>109.699996948242</v>
      </c>
      <c r="D210" s="180" t="n">
        <f aca="false">F210+G210</f>
        <v>46.9583576480008</v>
      </c>
      <c r="F210" s="180" t="n">
        <f aca="false">('Fuel Curve Simulation'!J218*'Revenues &amp; Expenses'!$S$2/1000)</f>
        <v>43.7562113793104</v>
      </c>
      <c r="G210" s="180" t="n">
        <f aca="false">'Revenues &amp; Expenses'!$AM$5*1000*'Revenues &amp; Expenses'!O218</f>
        <v>3.20214626869047</v>
      </c>
      <c r="H210" s="204" t="n">
        <f aca="false">H209+1</f>
        <v>201</v>
      </c>
      <c r="I210" s="204" t="n">
        <f aca="false">IF(C210&gt;D210,1,0)</f>
        <v>1</v>
      </c>
      <c r="J210" s="204" t="n">
        <v>315</v>
      </c>
      <c r="K210" s="212" t="n">
        <f aca="false">IF(I210&gt;0,J210*'Revenues &amp; Expenses'!F218*16,0)</f>
        <v>115920</v>
      </c>
      <c r="L210" s="211" t="n">
        <f aca="false">K210*'Revenues &amp; Expenses'!N218</f>
        <v>32446.9470562063</v>
      </c>
      <c r="M210" s="212"/>
      <c r="N210" s="212"/>
      <c r="AC210" s="248" t="n">
        <f aca="false">B210</f>
        <v>42948</v>
      </c>
      <c r="AD210" s="10" t="n">
        <f aca="false">AD209+1</f>
        <v>201</v>
      </c>
      <c r="AE210" s="10" t="n">
        <f aca="false">C210*L210</f>
        <v>3559429.99304561</v>
      </c>
      <c r="AF210" s="10" t="n">
        <f aca="false">L210</f>
        <v>32446.9470562063</v>
      </c>
      <c r="AG210" s="205" t="n">
        <f aca="false">IF(AF210&gt;0,AE210/AF210,0)</f>
        <v>109.699996948242</v>
      </c>
      <c r="AJ210" s="10" t="n">
        <f aca="false">D210*L210</f>
        <v>1523655.34445108</v>
      </c>
      <c r="AK210" s="249" t="n">
        <f aca="false">IF(AF210&gt;0,AJ210/AF210,0)</f>
        <v>46.9583576480008</v>
      </c>
    </row>
    <row r="211" customFormat="false" ht="12.75" hidden="false" customHeight="false" outlineLevel="0" collapsed="false">
      <c r="A211" s="180" t="n">
        <v>46.1162864838868</v>
      </c>
      <c r="B211" s="240" t="n">
        <f aca="false">'Revenues &amp; Expenses'!AX219</f>
        <v>42979</v>
      </c>
      <c r="C211" s="180" t="n">
        <f aca="false">'PJM Curve Simulation'!J219</f>
        <v>39.9249984741211</v>
      </c>
      <c r="D211" s="180" t="n">
        <f aca="false">F211+G211</f>
        <v>47.873828273974</v>
      </c>
      <c r="F211" s="180" t="n">
        <f aca="false">('Fuel Curve Simulation'!J219*'Revenues &amp; Expenses'!$S$2/1000)</f>
        <v>44.6645648275862</v>
      </c>
      <c r="G211" s="180" t="n">
        <f aca="false">'Revenues &amp; Expenses'!$AM$5*1000*'Revenues &amp; Expenses'!O219</f>
        <v>3.20926344638779</v>
      </c>
      <c r="H211" s="204" t="n">
        <f aca="false">H210+1</f>
        <v>202</v>
      </c>
      <c r="I211" s="204" t="n">
        <f aca="false">IF(C211&gt;D211,1,0)</f>
        <v>0</v>
      </c>
      <c r="J211" s="204" t="n">
        <v>315</v>
      </c>
      <c r="K211" s="212" t="n">
        <f aca="false">IF(I211&gt;0,J211*'Revenues &amp; Expenses'!F219*16,0)</f>
        <v>0</v>
      </c>
      <c r="L211" s="211" t="n">
        <f aca="false">K211*'Revenues &amp; Expenses'!N219</f>
        <v>0</v>
      </c>
      <c r="M211" s="212"/>
      <c r="N211" s="212"/>
      <c r="AC211" s="248" t="n">
        <f aca="false">B211</f>
        <v>42979</v>
      </c>
      <c r="AD211" s="10" t="n">
        <f aca="false">AD210+1</f>
        <v>202</v>
      </c>
      <c r="AE211" s="10" t="n">
        <f aca="false">C211*L211</f>
        <v>0</v>
      </c>
      <c r="AF211" s="10" t="n">
        <f aca="false">L211</f>
        <v>0</v>
      </c>
      <c r="AG211" s="205" t="n">
        <f aca="false">IF(AF211&gt;0,AE211/AF211,0)</f>
        <v>0</v>
      </c>
      <c r="AJ211" s="10" t="n">
        <f aca="false">D211*L211</f>
        <v>0</v>
      </c>
      <c r="AK211" s="249" t="n">
        <f aca="false">IF(AF211&gt;0,AJ211/AF211,0)</f>
        <v>0</v>
      </c>
    </row>
    <row r="212" customFormat="false" ht="12.75" hidden="false" customHeight="false" outlineLevel="0" collapsed="false">
      <c r="A212" s="180" t="n">
        <v>37.385623573122</v>
      </c>
      <c r="B212" s="240" t="n">
        <f aca="false">'Revenues &amp; Expenses'!AX220</f>
        <v>43009</v>
      </c>
      <c r="C212" s="180" t="n">
        <f aca="false">'PJM Curve Simulation'!J220</f>
        <v>31.8250003814697</v>
      </c>
      <c r="D212" s="180" t="n">
        <f aca="false">F212+G212</f>
        <v>48.7678445463668</v>
      </c>
      <c r="F212" s="180" t="n">
        <f aca="false">('Fuel Curve Simulation'!J220*'Revenues &amp; Expenses'!$S$2/1000)</f>
        <v>45.5514481034483</v>
      </c>
      <c r="G212" s="180" t="n">
        <f aca="false">'Revenues &amp; Expenses'!$AM$5*1000*'Revenues &amp; Expenses'!O220</f>
        <v>3.21639644291851</v>
      </c>
      <c r="H212" s="204" t="n">
        <f aca="false">H211+1</f>
        <v>203</v>
      </c>
      <c r="I212" s="204" t="n">
        <f aca="false">IF(C212&gt;D212,1,0)</f>
        <v>0</v>
      </c>
      <c r="J212" s="204" t="n">
        <v>315</v>
      </c>
      <c r="K212" s="212" t="n">
        <f aca="false">IF(I212&gt;0,J212*'Revenues &amp; Expenses'!F220*16,0)</f>
        <v>0</v>
      </c>
      <c r="L212" s="211" t="n">
        <f aca="false">K212*'Revenues &amp; Expenses'!N220</f>
        <v>0</v>
      </c>
      <c r="M212" s="212"/>
      <c r="N212" s="212"/>
      <c r="AC212" s="248" t="n">
        <f aca="false">B212</f>
        <v>43009</v>
      </c>
      <c r="AD212" s="10" t="n">
        <f aca="false">AD211+1</f>
        <v>203</v>
      </c>
      <c r="AE212" s="10" t="n">
        <f aca="false">C212*L212</f>
        <v>0</v>
      </c>
      <c r="AF212" s="10" t="n">
        <f aca="false">L212</f>
        <v>0</v>
      </c>
      <c r="AG212" s="205" t="n">
        <f aca="false">IF(AF212&gt;0,AE212/AF212,0)</f>
        <v>0</v>
      </c>
      <c r="AJ212" s="10" t="n">
        <f aca="false">D212*L212</f>
        <v>0</v>
      </c>
      <c r="AK212" s="249" t="n">
        <f aca="false">IF(AF212&gt;0,AJ212/AF212,0)</f>
        <v>0</v>
      </c>
    </row>
    <row r="213" customFormat="false" ht="12.75" hidden="false" customHeight="false" outlineLevel="0" collapsed="false">
      <c r="A213" s="180" t="n">
        <v>37.5080093472672</v>
      </c>
      <c r="B213" s="240" t="n">
        <f aca="false">'Revenues &amp; Expenses'!AX221</f>
        <v>43040</v>
      </c>
      <c r="C213" s="180" t="n">
        <f aca="false">'PJM Curve Simulation'!J221</f>
        <v>31.4974990844727</v>
      </c>
      <c r="D213" s="180" t="n">
        <f aca="false">F213+G213</f>
        <v>49.2473371899937</v>
      </c>
      <c r="F213" s="180" t="n">
        <f aca="false">('Fuel Curve Simulation'!J221*'Revenues &amp; Expenses'!$S$2/1000)</f>
        <v>46.0237918965517</v>
      </c>
      <c r="G213" s="180" t="n">
        <f aca="false">'Revenues &amp; Expenses'!$AM$5*1000*'Revenues &amp; Expenses'!O221</f>
        <v>3.22354529344202</v>
      </c>
      <c r="H213" s="204" t="n">
        <f aca="false">H212+1</f>
        <v>204</v>
      </c>
      <c r="I213" s="204" t="n">
        <f aca="false">IF(C213&gt;D213,1,0)</f>
        <v>0</v>
      </c>
      <c r="J213" s="204" t="n">
        <v>315</v>
      </c>
      <c r="K213" s="212" t="n">
        <f aca="false">IF(I213&gt;0,J213*'Revenues &amp; Expenses'!F221*16,0)</f>
        <v>0</v>
      </c>
      <c r="L213" s="211" t="n">
        <f aca="false">K213*'Revenues &amp; Expenses'!N221</f>
        <v>0</v>
      </c>
      <c r="M213" s="212"/>
      <c r="N213" s="212"/>
      <c r="AC213" s="248" t="n">
        <f aca="false">B213</f>
        <v>43040</v>
      </c>
      <c r="AD213" s="10" t="n">
        <f aca="false">AD212+1</f>
        <v>204</v>
      </c>
      <c r="AE213" s="10" t="n">
        <f aca="false">C213*L213</f>
        <v>0</v>
      </c>
      <c r="AF213" s="10" t="n">
        <f aca="false">L213</f>
        <v>0</v>
      </c>
      <c r="AG213" s="205" t="n">
        <f aca="false">IF(AF213&gt;0,AE213/AF213,0)</f>
        <v>0</v>
      </c>
      <c r="AJ213" s="10" t="n">
        <f aca="false">D213*L213</f>
        <v>0</v>
      </c>
      <c r="AK213" s="249" t="n">
        <f aca="false">IF(AF213&gt;0,AJ213/AF213,0)</f>
        <v>0</v>
      </c>
    </row>
    <row r="214" customFormat="false" ht="12.75" hidden="false" customHeight="false" outlineLevel="0" collapsed="false">
      <c r="A214" s="180" t="n">
        <v>40.0982988922511</v>
      </c>
      <c r="B214" s="240" t="n">
        <f aca="false">'Revenues &amp; Expenses'!AX222</f>
        <v>43070</v>
      </c>
      <c r="C214" s="180" t="n">
        <f aca="false">'PJM Curve Simulation'!J222</f>
        <v>33.2499996185303</v>
      </c>
      <c r="D214" s="180" t="n">
        <f aca="false">F214+G214</f>
        <v>49.6640867573338</v>
      </c>
      <c r="F214" s="180" t="n">
        <f aca="false">('Fuel Curve Simulation'!J222*'Revenues &amp; Expenses'!$S$2/1000)</f>
        <v>46.4333767241379</v>
      </c>
      <c r="G214" s="180" t="n">
        <f aca="false">'Revenues &amp; Expenses'!$AM$5*1000*'Revenues &amp; Expenses'!O222</f>
        <v>3.23071003319582</v>
      </c>
      <c r="H214" s="204" t="n">
        <f aca="false">H213+1</f>
        <v>205</v>
      </c>
      <c r="I214" s="204" t="n">
        <f aca="false">IF(C214&gt;D214,1,0)</f>
        <v>0</v>
      </c>
      <c r="J214" s="204" t="n">
        <v>315</v>
      </c>
      <c r="K214" s="212" t="n">
        <f aca="false">IF(I214&gt;0,J214*'Revenues &amp; Expenses'!F222*16,0)</f>
        <v>0</v>
      </c>
      <c r="L214" s="211" t="n">
        <f aca="false">K214*'Revenues &amp; Expenses'!N222</f>
        <v>0</v>
      </c>
      <c r="M214" s="212" t="n">
        <f aca="false">SUM(L203:L214)</f>
        <v>93654.2767054261</v>
      </c>
      <c r="N214" s="212" t="n">
        <f aca="false">SUM(K203:K214)</f>
        <v>332640</v>
      </c>
      <c r="AC214" s="248" t="n">
        <f aca="false">B214</f>
        <v>43070</v>
      </c>
      <c r="AD214" s="10" t="n">
        <f aca="false">AD213+1</f>
        <v>205</v>
      </c>
      <c r="AE214" s="10" t="n">
        <f aca="false">C214*L214</f>
        <v>0</v>
      </c>
      <c r="AF214" s="10" t="n">
        <f aca="false">L214</f>
        <v>0</v>
      </c>
      <c r="AG214" s="205" t="n">
        <f aca="false">IF(AF214&gt;0,AE214/AF214,0)</f>
        <v>0</v>
      </c>
      <c r="AH214" s="205" t="n">
        <f aca="false">IF(SUM(AF203:AF214)=0,0,SUM(AE203:AE214)/SUM(AF203:AF214))</f>
        <v>100.55670451806</v>
      </c>
      <c r="AJ214" s="10" t="n">
        <f aca="false">D214*L214</f>
        <v>0</v>
      </c>
      <c r="AK214" s="249" t="n">
        <f aca="false">IF(AF214&gt;0,AJ214/AF214,0)</f>
        <v>0</v>
      </c>
      <c r="AL214" s="249" t="n">
        <f aca="false">IF(SUM(AF203:AF214)=0,0,SUM(AJ203:AJ214)/SUM(AF203:AF214))</f>
        <v>46.2092476802689</v>
      </c>
    </row>
    <row r="215" customFormat="false" ht="12.75" hidden="false" customHeight="false" outlineLevel="0" collapsed="false">
      <c r="A215" s="180" t="n">
        <v>51.2865554926271</v>
      </c>
      <c r="B215" s="240" t="n">
        <f aca="false">'Revenues &amp; Expenses'!AX223</f>
        <v>43101</v>
      </c>
      <c r="C215" s="180" t="n">
        <f aca="false">'PJM Curve Simulation'!J223</f>
        <v>41.8249984741211</v>
      </c>
      <c r="D215" s="180" t="n">
        <f aca="false">F215+G215</f>
        <v>49.1229522492199</v>
      </c>
      <c r="F215" s="180" t="n">
        <f aca="false">('Fuel Curve Simulation'!J223*'Revenues &amp; Expenses'!$S$2/1000)</f>
        <v>45.8850615517242</v>
      </c>
      <c r="G215" s="180" t="n">
        <f aca="false">'Revenues &amp; Expenses'!$AM$5*1000*'Revenues &amp; Expenses'!O223</f>
        <v>3.23789069749575</v>
      </c>
      <c r="H215" s="204" t="n">
        <f aca="false">H214+1</f>
        <v>206</v>
      </c>
      <c r="I215" s="204" t="n">
        <f aca="false">IF(C215&gt;D215,1,0)</f>
        <v>0</v>
      </c>
      <c r="J215" s="204" t="n">
        <v>315</v>
      </c>
      <c r="K215" s="212" t="n">
        <f aca="false">IF(I215&gt;0,J215*'Revenues &amp; Expenses'!F223*16,0)</f>
        <v>0</v>
      </c>
      <c r="L215" s="211" t="n">
        <f aca="false">K215*'Revenues &amp; Expenses'!N223</f>
        <v>0</v>
      </c>
      <c r="M215" s="212"/>
      <c r="N215" s="212"/>
      <c r="AC215" s="248" t="n">
        <f aca="false">B215</f>
        <v>43101</v>
      </c>
      <c r="AD215" s="10" t="n">
        <f aca="false">AD214+1</f>
        <v>206</v>
      </c>
      <c r="AE215" s="10" t="n">
        <f aca="false">C215*L215</f>
        <v>0</v>
      </c>
      <c r="AF215" s="10" t="n">
        <f aca="false">L215</f>
        <v>0</v>
      </c>
      <c r="AG215" s="205" t="n">
        <f aca="false">IF(AF215&gt;0,AE215/AF215,0)</f>
        <v>0</v>
      </c>
      <c r="AJ215" s="10" t="n">
        <f aca="false">D215*L215</f>
        <v>0</v>
      </c>
      <c r="AK215" s="249" t="n">
        <f aca="false">IF(AF215&gt;0,AJ215/AF215,0)</f>
        <v>0</v>
      </c>
    </row>
    <row r="216" customFormat="false" ht="12.75" hidden="false" customHeight="false" outlineLevel="0" collapsed="false">
      <c r="A216" s="180" t="n">
        <v>51.2865554926271</v>
      </c>
      <c r="B216" s="240" t="n">
        <f aca="false">'Revenues &amp; Expenses'!AX224</f>
        <v>43132</v>
      </c>
      <c r="C216" s="180" t="n">
        <f aca="false">'PJM Curve Simulation'!J224</f>
        <v>41.8249984741211</v>
      </c>
      <c r="D216" s="180" t="n">
        <f aca="false">F216+G216</f>
        <v>48.180506632081</v>
      </c>
      <c r="F216" s="180" t="n">
        <f aca="false">('Fuel Curve Simulation'!J224*'Revenues &amp; Expenses'!$S$2/1000)</f>
        <v>44.9354193103448</v>
      </c>
      <c r="G216" s="180" t="n">
        <f aca="false">'Revenues &amp; Expenses'!$AM$5*1000*'Revenues &amp; Expenses'!O224</f>
        <v>3.24508732173615</v>
      </c>
      <c r="H216" s="204" t="n">
        <f aca="false">H215+1</f>
        <v>207</v>
      </c>
      <c r="I216" s="204" t="n">
        <f aca="false">IF(C216&gt;D216,1,0)</f>
        <v>0</v>
      </c>
      <c r="J216" s="204" t="n">
        <v>315</v>
      </c>
      <c r="K216" s="212" t="n">
        <f aca="false">IF(I216&gt;0,J216*'Revenues &amp; Expenses'!F224*16,0)</f>
        <v>0</v>
      </c>
      <c r="L216" s="211" t="n">
        <f aca="false">K216*'Revenues &amp; Expenses'!N224</f>
        <v>0</v>
      </c>
      <c r="M216" s="212"/>
      <c r="N216" s="212"/>
      <c r="AC216" s="248" t="n">
        <f aca="false">B216</f>
        <v>43132</v>
      </c>
      <c r="AD216" s="10" t="n">
        <f aca="false">AD215+1</f>
        <v>207</v>
      </c>
      <c r="AE216" s="10" t="n">
        <f aca="false">C216*L216</f>
        <v>0</v>
      </c>
      <c r="AF216" s="10" t="n">
        <f aca="false">L216</f>
        <v>0</v>
      </c>
      <c r="AG216" s="205" t="n">
        <f aca="false">IF(AF216&gt;0,AE216/AF216,0)</f>
        <v>0</v>
      </c>
      <c r="AJ216" s="10" t="n">
        <f aca="false">D216*L216</f>
        <v>0</v>
      </c>
      <c r="AK216" s="249" t="n">
        <f aca="false">IF(AF216&gt;0,AJ216/AF216,0)</f>
        <v>0</v>
      </c>
    </row>
    <row r="217" customFormat="false" ht="12.75" hidden="false" customHeight="false" outlineLevel="0" collapsed="false">
      <c r="A217" s="180" t="n">
        <v>38.371899677906</v>
      </c>
      <c r="B217" s="240" t="n">
        <f aca="false">'Revenues &amp; Expenses'!AX225</f>
        <v>43160</v>
      </c>
      <c r="C217" s="180" t="n">
        <f aca="false">'PJM Curve Simulation'!J225</f>
        <v>31.5500007629395</v>
      </c>
      <c r="D217" s="180" t="n">
        <f aca="false">F217+G217</f>
        <v>47.2578956310452</v>
      </c>
      <c r="F217" s="180" t="n">
        <f aca="false">('Fuel Curve Simulation'!J225*'Revenues &amp; Expenses'!$S$2/1000)</f>
        <v>44.0055956896552</v>
      </c>
      <c r="G217" s="180" t="n">
        <f aca="false">'Revenues &amp; Expenses'!$AM$5*1000*'Revenues &amp; Expenses'!O225</f>
        <v>3.25229994139001</v>
      </c>
      <c r="H217" s="204" t="n">
        <f aca="false">H216+1</f>
        <v>208</v>
      </c>
      <c r="I217" s="204" t="n">
        <f aca="false">IF(C217&gt;D217,1,0)</f>
        <v>0</v>
      </c>
      <c r="J217" s="204" t="n">
        <v>315</v>
      </c>
      <c r="K217" s="212" t="n">
        <f aca="false">IF(I217&gt;0,J217*'Revenues &amp; Expenses'!F225*16,0)</f>
        <v>0</v>
      </c>
      <c r="L217" s="211" t="n">
        <f aca="false">K217*'Revenues &amp; Expenses'!N225</f>
        <v>0</v>
      </c>
      <c r="M217" s="212"/>
      <c r="N217" s="212"/>
      <c r="AC217" s="248" t="n">
        <f aca="false">B217</f>
        <v>43160</v>
      </c>
      <c r="AD217" s="10" t="n">
        <f aca="false">AD216+1</f>
        <v>208</v>
      </c>
      <c r="AE217" s="10" t="n">
        <f aca="false">C217*L217</f>
        <v>0</v>
      </c>
      <c r="AF217" s="10" t="n">
        <f aca="false">L217</f>
        <v>0</v>
      </c>
      <c r="AG217" s="205" t="n">
        <f aca="false">IF(AF217&gt;0,AE217/AF217,0)</f>
        <v>0</v>
      </c>
      <c r="AJ217" s="10" t="n">
        <f aca="false">D217*L217</f>
        <v>0</v>
      </c>
      <c r="AK217" s="249" t="n">
        <f aca="false">IF(AF217&gt;0,AJ217/AF217,0)</f>
        <v>0</v>
      </c>
    </row>
    <row r="218" customFormat="false" ht="12.75" hidden="false" customHeight="false" outlineLevel="0" collapsed="false">
      <c r="A218" s="180" t="n">
        <v>35.5338996121314</v>
      </c>
      <c r="B218" s="240" t="n">
        <f aca="false">'Revenues &amp; Expenses'!AX226</f>
        <v>43191</v>
      </c>
      <c r="C218" s="180" t="n">
        <f aca="false">'PJM Curve Simulation'!J226</f>
        <v>31.3250007629395</v>
      </c>
      <c r="D218" s="180" t="n">
        <f aca="false">F218+G218</f>
        <v>46.3072242816644</v>
      </c>
      <c r="F218" s="180" t="n">
        <f aca="false">('Fuel Curve Simulation'!J226*'Revenues &amp; Expenses'!$S$2/1000)</f>
        <v>43.0476956896552</v>
      </c>
      <c r="G218" s="180" t="n">
        <f aca="false">'Revenues &amp; Expenses'!$AM$5*1000*'Revenues &amp; Expenses'!O226</f>
        <v>3.25952859200918</v>
      </c>
      <c r="H218" s="204" t="n">
        <f aca="false">H217+1</f>
        <v>209</v>
      </c>
      <c r="I218" s="204" t="n">
        <f aca="false">IF(C218&gt;D218,1,0)</f>
        <v>0</v>
      </c>
      <c r="J218" s="204" t="n">
        <v>315</v>
      </c>
      <c r="K218" s="212" t="n">
        <f aca="false">IF(I218&gt;0,J218*'Revenues &amp; Expenses'!F226*16,0)</f>
        <v>0</v>
      </c>
      <c r="L218" s="211" t="n">
        <f aca="false">K218*'Revenues &amp; Expenses'!N226</f>
        <v>0</v>
      </c>
      <c r="M218" s="212"/>
      <c r="N218" s="212"/>
      <c r="AC218" s="248" t="n">
        <f aca="false">B218</f>
        <v>43191</v>
      </c>
      <c r="AD218" s="10" t="n">
        <f aca="false">AD217+1</f>
        <v>209</v>
      </c>
      <c r="AE218" s="10" t="n">
        <f aca="false">C218*L218</f>
        <v>0</v>
      </c>
      <c r="AF218" s="10" t="n">
        <f aca="false">L218</f>
        <v>0</v>
      </c>
      <c r="AG218" s="205" t="n">
        <f aca="false">IF(AF218&gt;0,AE218/AF218,0)</f>
        <v>0</v>
      </c>
      <c r="AJ218" s="10" t="n">
        <f aca="false">D218*L218</f>
        <v>0</v>
      </c>
      <c r="AK218" s="249" t="n">
        <f aca="false">IF(AF218&gt;0,AJ218/AF218,0)</f>
        <v>0</v>
      </c>
    </row>
    <row r="219" customFormat="false" ht="12.75" hidden="false" customHeight="false" outlineLevel="0" collapsed="false">
      <c r="A219" s="180" t="n">
        <v>43.1711496568723</v>
      </c>
      <c r="B219" s="240" t="n">
        <f aca="false">'Revenues &amp; Expenses'!AX227</f>
        <v>43221</v>
      </c>
      <c r="C219" s="180" t="n">
        <f aca="false">'PJM Curve Simulation'!J227</f>
        <v>39.325</v>
      </c>
      <c r="D219" s="180" t="n">
        <f aca="false">F219+G219</f>
        <v>45.6703638264659</v>
      </c>
      <c r="F219" s="180" t="n">
        <f aca="false">('Fuel Curve Simulation'!J227*'Revenues &amp; Expenses'!$S$2/1000)</f>
        <v>42.4035905172414</v>
      </c>
      <c r="G219" s="180" t="n">
        <f aca="false">'Revenues &amp; Expenses'!$AM$5*1000*'Revenues &amp; Expenses'!O227</f>
        <v>3.26677330922452</v>
      </c>
      <c r="H219" s="204" t="n">
        <f aca="false">H218+1</f>
        <v>210</v>
      </c>
      <c r="I219" s="204" t="n">
        <f aca="false">IF(C219&gt;D219,1,0)</f>
        <v>0</v>
      </c>
      <c r="J219" s="204" t="n">
        <v>315</v>
      </c>
      <c r="K219" s="212" t="n">
        <f aca="false">IF(I219&gt;0,J219*'Revenues &amp; Expenses'!F227*16,0)</f>
        <v>0</v>
      </c>
      <c r="L219" s="211" t="n">
        <f aca="false">K219*'Revenues &amp; Expenses'!N227</f>
        <v>0</v>
      </c>
      <c r="M219" s="212"/>
      <c r="N219" s="212"/>
      <c r="AC219" s="248" t="n">
        <f aca="false">B219</f>
        <v>43221</v>
      </c>
      <c r="AD219" s="10" t="n">
        <f aca="false">AD218+1</f>
        <v>210</v>
      </c>
      <c r="AE219" s="10" t="n">
        <f aca="false">C219*L219</f>
        <v>0</v>
      </c>
      <c r="AF219" s="10" t="n">
        <f aca="false">L219</f>
        <v>0</v>
      </c>
      <c r="AG219" s="205" t="n">
        <f aca="false">IF(AF219&gt;0,AE219/AF219,0)</f>
        <v>0</v>
      </c>
      <c r="AJ219" s="10" t="n">
        <f aca="false">D219*L219</f>
        <v>0</v>
      </c>
      <c r="AK219" s="249" t="n">
        <f aca="false">IF(AF219&gt;0,AJ219/AF219,0)</f>
        <v>0</v>
      </c>
    </row>
    <row r="220" customFormat="false" ht="12.75" hidden="false" customHeight="false" outlineLevel="0" collapsed="false">
      <c r="A220" s="180" t="n">
        <v>84.3420003819235</v>
      </c>
      <c r="B220" s="240" t="n">
        <f aca="false">'Revenues &amp; Expenses'!AX228</f>
        <v>43252</v>
      </c>
      <c r="C220" s="180" t="n">
        <f aca="false">'PJM Curve Simulation'!J228</f>
        <v>68.3499984741211</v>
      </c>
      <c r="D220" s="180" t="n">
        <f aca="false">F220+G220</f>
        <v>45.6148656804702</v>
      </c>
      <c r="F220" s="180" t="n">
        <f aca="false">('Fuel Curve Simulation'!J228*'Revenues &amp; Expenses'!$S$2/1000)</f>
        <v>42.3408315517242</v>
      </c>
      <c r="G220" s="180" t="n">
        <f aca="false">'Revenues &amp; Expenses'!$AM$5*1000*'Revenues &amp; Expenses'!O228</f>
        <v>3.27403412874608</v>
      </c>
      <c r="H220" s="204" t="n">
        <f aca="false">H219+1</f>
        <v>211</v>
      </c>
      <c r="I220" s="204" t="n">
        <f aca="false">IF(C220&gt;D220,1,0)</f>
        <v>1</v>
      </c>
      <c r="J220" s="204" t="n">
        <v>315</v>
      </c>
      <c r="K220" s="212" t="n">
        <f aca="false">IF(I220&gt;0,J220*'Revenues &amp; Expenses'!F228*16,0)</f>
        <v>100800</v>
      </c>
      <c r="L220" s="211" t="n">
        <f aca="false">K220*'Revenues &amp; Expenses'!N228</f>
        <v>26583.4721973149</v>
      </c>
      <c r="M220" s="212"/>
      <c r="N220" s="212"/>
      <c r="AC220" s="248" t="n">
        <f aca="false">B220</f>
        <v>43252</v>
      </c>
      <c r="AD220" s="10" t="n">
        <f aca="false">AD219+1</f>
        <v>211</v>
      </c>
      <c r="AE220" s="10" t="n">
        <f aca="false">C220*L220</f>
        <v>1816980.28412331</v>
      </c>
      <c r="AF220" s="10" t="n">
        <f aca="false">L220</f>
        <v>26583.4721973149</v>
      </c>
      <c r="AG220" s="205" t="n">
        <f aca="false">IF(AF220&gt;0,AE220/AF220,0)</f>
        <v>68.3499984741211</v>
      </c>
      <c r="AJ220" s="10" t="n">
        <f aca="false">D220*L220</f>
        <v>1212601.51360103</v>
      </c>
      <c r="AK220" s="249" t="n">
        <f aca="false">IF(AF220&gt;0,AJ220/AF220,0)</f>
        <v>45.6148656804702</v>
      </c>
    </row>
    <row r="221" customFormat="false" ht="12.75" hidden="false" customHeight="false" outlineLevel="0" collapsed="false">
      <c r="A221" s="180" t="n">
        <v>164.06756314574</v>
      </c>
      <c r="B221" s="240" t="n">
        <f aca="false">'Revenues &amp; Expenses'!AX229</f>
        <v>43282</v>
      </c>
      <c r="C221" s="180" t="n">
        <f aca="false">'PJM Curve Simulation'!J229</f>
        <v>124.949996948242</v>
      </c>
      <c r="D221" s="180" t="n">
        <f aca="false">F221+G221</f>
        <v>46.1704578105012</v>
      </c>
      <c r="F221" s="180" t="n">
        <f aca="false">('Fuel Curve Simulation'!J229*'Revenues &amp; Expenses'!$S$2/1000)</f>
        <v>42.8891467241379</v>
      </c>
      <c r="G221" s="180" t="n">
        <f aca="false">'Revenues &amp; Expenses'!$AM$5*1000*'Revenues &amp; Expenses'!O229</f>
        <v>3.28131108636329</v>
      </c>
      <c r="H221" s="204" t="n">
        <f aca="false">H220+1</f>
        <v>212</v>
      </c>
      <c r="I221" s="204" t="n">
        <f aca="false">IF(C221&gt;D221,1,0)</f>
        <v>1</v>
      </c>
      <c r="J221" s="204" t="n">
        <v>315</v>
      </c>
      <c r="K221" s="212" t="n">
        <f aca="false">IF(I221&gt;0,J221*'Revenues &amp; Expenses'!F229*16,0)</f>
        <v>115920</v>
      </c>
      <c r="L221" s="211" t="n">
        <f aca="false">K221*'Revenues &amp; Expenses'!N229</f>
        <v>30391.985018471</v>
      </c>
      <c r="M221" s="212"/>
      <c r="N221" s="212"/>
      <c r="AC221" s="248" t="n">
        <f aca="false">B221</f>
        <v>43282</v>
      </c>
      <c r="AD221" s="10" t="n">
        <f aca="false">AD220+1</f>
        <v>212</v>
      </c>
      <c r="AE221" s="10" t="n">
        <f aca="false">C221*L221</f>
        <v>3797478.43530897</v>
      </c>
      <c r="AF221" s="10" t="n">
        <f aca="false">L221</f>
        <v>30391.985018471</v>
      </c>
      <c r="AG221" s="205" t="n">
        <f aca="false">IF(AF221&gt;0,AE221/AF221,0)</f>
        <v>124.949996948242</v>
      </c>
      <c r="AJ221" s="10" t="n">
        <f aca="false">D221*L221</f>
        <v>1403211.8620727</v>
      </c>
      <c r="AK221" s="249" t="n">
        <f aca="false">IF(AF221&gt;0,AJ221/AF221,0)</f>
        <v>46.1704578105012</v>
      </c>
    </row>
    <row r="222" customFormat="false" ht="12.75" hidden="false" customHeight="false" outlineLevel="0" collapsed="false">
      <c r="A222" s="180" t="n">
        <v>137.400697060805</v>
      </c>
      <c r="B222" s="240" t="n">
        <f aca="false">'Revenues &amp; Expenses'!AX230</f>
        <v>43313</v>
      </c>
      <c r="C222" s="180" t="n">
        <f aca="false">'PJM Curve Simulation'!J230</f>
        <v>111.949996948242</v>
      </c>
      <c r="D222" s="180" t="n">
        <f aca="false">F222+G222</f>
        <v>47.0448155972555</v>
      </c>
      <c r="F222" s="180" t="n">
        <f aca="false">('Fuel Curve Simulation'!J230*'Revenues &amp; Expenses'!$S$2/1000)</f>
        <v>43.7562113793104</v>
      </c>
      <c r="G222" s="180" t="n">
        <f aca="false">'Revenues &amp; Expenses'!$AM$5*1000*'Revenues &amp; Expenses'!O230</f>
        <v>3.28860421794512</v>
      </c>
      <c r="H222" s="204" t="n">
        <f aca="false">H221+1</f>
        <v>213</v>
      </c>
      <c r="I222" s="204" t="n">
        <f aca="false">IF(C222&gt;D222,1,0)</f>
        <v>1</v>
      </c>
      <c r="J222" s="204" t="n">
        <v>315</v>
      </c>
      <c r="K222" s="212" t="n">
        <f aca="false">IF(I222&gt;0,J222*'Revenues &amp; Expenses'!F230*16,0)</f>
        <v>110880</v>
      </c>
      <c r="L222" s="211" t="n">
        <f aca="false">K222*'Revenues &amp; Expenses'!N230</f>
        <v>28894.7391188739</v>
      </c>
      <c r="M222" s="212"/>
      <c r="N222" s="212"/>
      <c r="AC222" s="248" t="n">
        <f aca="false">B222</f>
        <v>43313</v>
      </c>
      <c r="AD222" s="10" t="n">
        <f aca="false">AD221+1</f>
        <v>213</v>
      </c>
      <c r="AE222" s="10" t="n">
        <f aca="false">C222*L222</f>
        <v>3234765.95617818</v>
      </c>
      <c r="AF222" s="10" t="n">
        <f aca="false">L222</f>
        <v>28894.7391188739</v>
      </c>
      <c r="AG222" s="205" t="n">
        <f aca="false">IF(AF222&gt;0,AE222/AF222,0)</f>
        <v>111.949996948242</v>
      </c>
      <c r="AJ222" s="10" t="n">
        <f aca="false">D222*L222</f>
        <v>1359347.67357822</v>
      </c>
      <c r="AK222" s="249" t="n">
        <f aca="false">IF(AF222&gt;0,AJ222/AF222,0)</f>
        <v>47.0448155972555</v>
      </c>
    </row>
    <row r="223" customFormat="false" ht="12.75" hidden="false" customHeight="false" outlineLevel="0" collapsed="false">
      <c r="A223" s="180" t="n">
        <f aca="false">A211</f>
        <v>46.1162864838868</v>
      </c>
      <c r="B223" s="240" t="n">
        <f aca="false">'Revenues &amp; Expenses'!AX231</f>
        <v>43344</v>
      </c>
      <c r="C223" s="180" t="n">
        <f aca="false">'PJM Curve Simulation'!J231</f>
        <v>39.9249984741211</v>
      </c>
      <c r="D223" s="180" t="n">
        <f aca="false">F223+G223</f>
        <v>47.9604783870265</v>
      </c>
      <c r="F223" s="180" t="n">
        <f aca="false">('Fuel Curve Simulation'!J231*'Revenues &amp; Expenses'!$S$2/1000)</f>
        <v>44.6645648275862</v>
      </c>
      <c r="G223" s="180" t="n">
        <f aca="false">'Revenues &amp; Expenses'!$AM$5*1000*'Revenues &amp; Expenses'!O231</f>
        <v>3.29591355944026</v>
      </c>
      <c r="H223" s="204" t="n">
        <f aca="false">H222+1</f>
        <v>214</v>
      </c>
      <c r="I223" s="204" t="n">
        <f aca="false">IF(C223&gt;D223,1,0)</f>
        <v>0</v>
      </c>
      <c r="J223" s="204" t="n">
        <v>315</v>
      </c>
      <c r="K223" s="212" t="n">
        <f aca="false">IF(I223&gt;0,J223*'Revenues &amp; Expenses'!F231*16,0)</f>
        <v>0</v>
      </c>
      <c r="L223" s="211" t="n">
        <f aca="false">K223*'Revenues &amp; Expenses'!N231</f>
        <v>0</v>
      </c>
      <c r="M223" s="212"/>
      <c r="N223" s="212"/>
      <c r="AC223" s="248" t="n">
        <f aca="false">B223</f>
        <v>43344</v>
      </c>
      <c r="AD223" s="10" t="n">
        <f aca="false">AD222+1</f>
        <v>214</v>
      </c>
      <c r="AE223" s="10" t="n">
        <f aca="false">C223*L223</f>
        <v>0</v>
      </c>
      <c r="AF223" s="10" t="n">
        <f aca="false">L223</f>
        <v>0</v>
      </c>
      <c r="AG223" s="205" t="n">
        <f aca="false">IF(AF223&gt;0,AE223/AF223,0)</f>
        <v>0</v>
      </c>
      <c r="AJ223" s="10" t="n">
        <f aca="false">D223*L223</f>
        <v>0</v>
      </c>
      <c r="AK223" s="249" t="n">
        <f aca="false">IF(AF223&gt;0,AJ223/AF223,0)</f>
        <v>0</v>
      </c>
    </row>
    <row r="224" customFormat="false" ht="12.75" hidden="false" customHeight="false" outlineLevel="0" collapsed="false">
      <c r="A224" s="180" t="n">
        <f aca="false">A212</f>
        <v>37.385623573122</v>
      </c>
      <c r="B224" s="240" t="n">
        <f aca="false">'Revenues &amp; Expenses'!AX232</f>
        <v>43374</v>
      </c>
      <c r="C224" s="180" t="n">
        <f aca="false">'PJM Curve Simulation'!J232</f>
        <v>31.8250003814697</v>
      </c>
      <c r="D224" s="180" t="n">
        <f aca="false">F224+G224</f>
        <v>48.8546872503256</v>
      </c>
      <c r="F224" s="180" t="n">
        <f aca="false">('Fuel Curve Simulation'!J232*'Revenues &amp; Expenses'!$S$2/1000)</f>
        <v>45.5514481034483</v>
      </c>
      <c r="G224" s="180" t="n">
        <f aca="false">'Revenues &amp; Expenses'!$AM$5*1000*'Revenues &amp; Expenses'!O232</f>
        <v>3.30323914687731</v>
      </c>
      <c r="H224" s="204" t="n">
        <f aca="false">H223+1</f>
        <v>215</v>
      </c>
      <c r="I224" s="204" t="n">
        <f aca="false">IF(C224&gt;D224,1,0)</f>
        <v>0</v>
      </c>
      <c r="J224" s="204" t="n">
        <v>315</v>
      </c>
      <c r="K224" s="212" t="n">
        <f aca="false">IF(I224&gt;0,J224*'Revenues &amp; Expenses'!F232*16,0)</f>
        <v>0</v>
      </c>
      <c r="L224" s="211" t="n">
        <f aca="false">K224*'Revenues &amp; Expenses'!N232</f>
        <v>0</v>
      </c>
      <c r="M224" s="212"/>
      <c r="N224" s="212"/>
      <c r="AC224" s="248" t="n">
        <f aca="false">B224</f>
        <v>43374</v>
      </c>
      <c r="AD224" s="10" t="n">
        <f aca="false">AD223+1</f>
        <v>215</v>
      </c>
      <c r="AE224" s="10" t="n">
        <f aca="false">C224*L224</f>
        <v>0</v>
      </c>
      <c r="AF224" s="10" t="n">
        <f aca="false">L224</f>
        <v>0</v>
      </c>
      <c r="AG224" s="205" t="n">
        <f aca="false">IF(AF224&gt;0,AE224/AF224,0)</f>
        <v>0</v>
      </c>
      <c r="AJ224" s="10" t="n">
        <f aca="false">D224*L224</f>
        <v>0</v>
      </c>
      <c r="AK224" s="249" t="n">
        <f aca="false">IF(AF224&gt;0,AJ224/AF224,0)</f>
        <v>0</v>
      </c>
    </row>
    <row r="225" customFormat="false" ht="12.75" hidden="false" customHeight="false" outlineLevel="0" collapsed="false">
      <c r="A225" s="180" t="n">
        <f aca="false">A213</f>
        <v>37.5080093472672</v>
      </c>
      <c r="B225" s="240" t="n">
        <f aca="false">'Revenues &amp; Expenses'!AX233</f>
        <v>43405</v>
      </c>
      <c r="C225" s="180" t="n">
        <f aca="false">'PJM Curve Simulation'!J233</f>
        <v>31.4974990844727</v>
      </c>
      <c r="D225" s="180" t="n">
        <f aca="false">F225+G225</f>
        <v>49.3343729129167</v>
      </c>
      <c r="F225" s="180" t="n">
        <f aca="false">('Fuel Curve Simulation'!J233*'Revenues &amp; Expenses'!$S$2/1000)</f>
        <v>46.0237918965517</v>
      </c>
      <c r="G225" s="180" t="n">
        <f aca="false">'Revenues &amp; Expenses'!$AM$5*1000*'Revenues &amp; Expenses'!O233</f>
        <v>3.31058101636495</v>
      </c>
      <c r="H225" s="204" t="n">
        <f aca="false">H224+1</f>
        <v>216</v>
      </c>
      <c r="I225" s="204" t="n">
        <f aca="false">IF(C225&gt;D225,1,0)</f>
        <v>0</v>
      </c>
      <c r="J225" s="204" t="n">
        <v>315</v>
      </c>
      <c r="K225" s="212" t="n">
        <f aca="false">IF(I225&gt;0,J225*'Revenues &amp; Expenses'!F233*16,0)</f>
        <v>0</v>
      </c>
      <c r="L225" s="211" t="n">
        <f aca="false">K225*'Revenues &amp; Expenses'!N233</f>
        <v>0</v>
      </c>
      <c r="M225" s="212"/>
      <c r="N225" s="212"/>
      <c r="AC225" s="248" t="n">
        <f aca="false">B225</f>
        <v>43405</v>
      </c>
      <c r="AD225" s="10" t="n">
        <f aca="false">AD224+1</f>
        <v>216</v>
      </c>
      <c r="AE225" s="10" t="n">
        <f aca="false">C225*L225</f>
        <v>0</v>
      </c>
      <c r="AF225" s="10" t="n">
        <f aca="false">L225</f>
        <v>0</v>
      </c>
      <c r="AG225" s="205" t="n">
        <f aca="false">IF(AF225&gt;0,AE225/AF225,0)</f>
        <v>0</v>
      </c>
      <c r="AJ225" s="10" t="n">
        <f aca="false">D225*L225</f>
        <v>0</v>
      </c>
      <c r="AK225" s="249" t="n">
        <f aca="false">IF(AF225&gt;0,AJ225/AF225,0)</f>
        <v>0</v>
      </c>
    </row>
    <row r="226" customFormat="false" ht="12.75" hidden="false" customHeight="false" outlineLevel="0" collapsed="false">
      <c r="A226" s="180" t="n">
        <f aca="false">A214</f>
        <v>40.0982988922511</v>
      </c>
      <c r="B226" s="240" t="n">
        <f aca="false">'Revenues &amp; Expenses'!AX234</f>
        <v>43435</v>
      </c>
      <c r="C226" s="180" t="n">
        <f aca="false">'PJM Curve Simulation'!J234</f>
        <v>33.2499996185303</v>
      </c>
      <c r="D226" s="180" t="n">
        <f aca="false">F226+G226</f>
        <v>49.75131592823</v>
      </c>
      <c r="F226" s="180" t="n">
        <f aca="false">('Fuel Curve Simulation'!J234*'Revenues &amp; Expenses'!$S$2/1000)</f>
        <v>46.4333767241379</v>
      </c>
      <c r="G226" s="180" t="n">
        <f aca="false">'Revenues &amp; Expenses'!$AM$5*1000*'Revenues &amp; Expenses'!O234</f>
        <v>3.31793920409211</v>
      </c>
      <c r="H226" s="204" t="n">
        <f aca="false">H225+1</f>
        <v>217</v>
      </c>
      <c r="I226" s="204" t="n">
        <f aca="false">IF(C226&gt;D226,1,0)</f>
        <v>0</v>
      </c>
      <c r="J226" s="204" t="n">
        <v>315</v>
      </c>
      <c r="K226" s="212" t="n">
        <f aca="false">IF(I226&gt;0,J226*'Revenues &amp; Expenses'!F234*16,0)</f>
        <v>0</v>
      </c>
      <c r="L226" s="211" t="n">
        <f aca="false">K226*'Revenues &amp; Expenses'!N234</f>
        <v>0</v>
      </c>
      <c r="M226" s="212" t="n">
        <f aca="false">SUM(L215:L226)</f>
        <v>85870.1963346597</v>
      </c>
      <c r="N226" s="212" t="n">
        <f aca="false">SUM(K215:K226)</f>
        <v>327600</v>
      </c>
      <c r="AC226" s="248" t="n">
        <f aca="false">B226</f>
        <v>43435</v>
      </c>
      <c r="AD226" s="10" t="n">
        <f aca="false">AD225+1</f>
        <v>217</v>
      </c>
      <c r="AE226" s="10" t="n">
        <f aca="false">C226*L226</f>
        <v>0</v>
      </c>
      <c r="AF226" s="10" t="n">
        <f aca="false">L226</f>
        <v>0</v>
      </c>
      <c r="AG226" s="205" t="n">
        <f aca="false">IF(AF226&gt;0,AE226/AF226,0)</f>
        <v>0</v>
      </c>
      <c r="AH226" s="205" t="n">
        <f aca="false">IF(SUM(AF215:AF226)=0,0,SUM(AE215:AE226)/SUM(AF215:AF226))</f>
        <v>103.053504630671</v>
      </c>
      <c r="AJ226" s="10" t="n">
        <f aca="false">D226*L226</f>
        <v>0</v>
      </c>
      <c r="AK226" s="249" t="n">
        <f aca="false">IF(AF226&gt;0,AJ226/AF226,0)</f>
        <v>0</v>
      </c>
      <c r="AL226" s="249" t="n">
        <f aca="false">IF(SUM(AF215:AF226)=0,0,SUM(AJ215:AJ226)/SUM(AF215:AF226))</f>
        <v>46.2926745125825</v>
      </c>
    </row>
    <row r="227" customFormat="false" ht="12.75" hidden="false" customHeight="false" outlineLevel="0" collapsed="false">
      <c r="A227" s="180" t="n">
        <f aca="false">A215</f>
        <v>51.2865554926271</v>
      </c>
      <c r="B227" s="240" t="n">
        <f aca="false">'Revenues &amp; Expenses'!AX235</f>
        <v>43466</v>
      </c>
      <c r="C227" s="180" t="n">
        <f aca="false">'PJM Curve Simulation'!J235</f>
        <v>41.8249984741211</v>
      </c>
      <c r="D227" s="180" t="n">
        <f aca="false">F227+G227</f>
        <v>49.2103752980523</v>
      </c>
      <c r="F227" s="180" t="n">
        <f aca="false">('Fuel Curve Simulation'!J235*'Revenues &amp; Expenses'!$S$2/1000)</f>
        <v>45.8850615517242</v>
      </c>
      <c r="G227" s="180" t="n">
        <f aca="false">'Revenues &amp; Expenses'!$AM$5*1000*'Revenues &amp; Expenses'!O235</f>
        <v>3.32531374632814</v>
      </c>
      <c r="H227" s="204" t="n">
        <f aca="false">H226+1</f>
        <v>218</v>
      </c>
      <c r="I227" s="204" t="n">
        <f aca="false">IF(C227&gt;D227,1,0)</f>
        <v>0</v>
      </c>
      <c r="J227" s="204" t="n">
        <v>315</v>
      </c>
      <c r="K227" s="212" t="n">
        <f aca="false">IF(I227&gt;0,J227*'Revenues &amp; Expenses'!F235*16,0)</f>
        <v>0</v>
      </c>
      <c r="L227" s="211" t="n">
        <f aca="false">K227*'Revenues &amp; Expenses'!N235</f>
        <v>0</v>
      </c>
      <c r="M227" s="212"/>
      <c r="N227" s="212"/>
      <c r="AC227" s="248" t="n">
        <f aca="false">B227</f>
        <v>43466</v>
      </c>
      <c r="AD227" s="10" t="n">
        <f aca="false">AD226+1</f>
        <v>218</v>
      </c>
      <c r="AE227" s="10" t="n">
        <f aca="false">C227*L227</f>
        <v>0</v>
      </c>
      <c r="AF227" s="10" t="n">
        <f aca="false">L227</f>
        <v>0</v>
      </c>
      <c r="AG227" s="205" t="n">
        <f aca="false">IF(AF227&gt;0,AE227/AF227,0)</f>
        <v>0</v>
      </c>
      <c r="AJ227" s="10" t="n">
        <f aca="false">D227*L227</f>
        <v>0</v>
      </c>
      <c r="AK227" s="249" t="n">
        <f aca="false">IF(AF227&gt;0,AJ227/AF227,0)</f>
        <v>0</v>
      </c>
    </row>
    <row r="228" customFormat="false" ht="12.75" hidden="false" customHeight="false" outlineLevel="0" collapsed="false">
      <c r="A228" s="180" t="n">
        <f aca="false">A216</f>
        <v>51.2865554926271</v>
      </c>
      <c r="B228" s="240" t="n">
        <f aca="false">'Revenues &amp; Expenses'!AX236</f>
        <v>43497</v>
      </c>
      <c r="C228" s="180" t="n">
        <f aca="false">'PJM Curve Simulation'!J236</f>
        <v>41.8249984741211</v>
      </c>
      <c r="D228" s="180" t="n">
        <f aca="false">F228+G228</f>
        <v>48.2681239897679</v>
      </c>
      <c r="F228" s="180" t="n">
        <f aca="false">('Fuel Curve Simulation'!J236*'Revenues &amp; Expenses'!$S$2/1000)</f>
        <v>44.9354193103448</v>
      </c>
      <c r="G228" s="180" t="n">
        <f aca="false">'Revenues &amp; Expenses'!$AM$5*1000*'Revenues &amp; Expenses'!O236</f>
        <v>3.33270467942303</v>
      </c>
      <c r="H228" s="204" t="n">
        <f aca="false">H227+1</f>
        <v>219</v>
      </c>
      <c r="I228" s="204" t="n">
        <f aca="false">IF(C228&gt;D228,1,0)</f>
        <v>0</v>
      </c>
      <c r="J228" s="204" t="n">
        <v>315</v>
      </c>
      <c r="K228" s="212" t="n">
        <f aca="false">IF(I228&gt;0,J228*'Revenues &amp; Expenses'!F236*16,0)</f>
        <v>0</v>
      </c>
      <c r="L228" s="211" t="n">
        <f aca="false">K228*'Revenues &amp; Expenses'!N236</f>
        <v>0</v>
      </c>
      <c r="M228" s="212"/>
      <c r="N228" s="212"/>
      <c r="AC228" s="248" t="n">
        <f aca="false">B228</f>
        <v>43497</v>
      </c>
      <c r="AD228" s="10" t="n">
        <f aca="false">AD227+1</f>
        <v>219</v>
      </c>
      <c r="AE228" s="10" t="n">
        <f aca="false">C228*L228</f>
        <v>0</v>
      </c>
      <c r="AF228" s="10" t="n">
        <f aca="false">L228</f>
        <v>0</v>
      </c>
      <c r="AG228" s="205" t="n">
        <f aca="false">IF(AF228&gt;0,AE228/AF228,0)</f>
        <v>0</v>
      </c>
      <c r="AJ228" s="10" t="n">
        <f aca="false">D228*L228</f>
        <v>0</v>
      </c>
      <c r="AK228" s="249" t="n">
        <f aca="false">IF(AF228&gt;0,AJ228/AF228,0)</f>
        <v>0</v>
      </c>
    </row>
    <row r="229" customFormat="false" ht="12.75" hidden="false" customHeight="false" outlineLevel="0" collapsed="false">
      <c r="A229" s="180" t="n">
        <f aca="false">A217</f>
        <v>38.371899677906</v>
      </c>
      <c r="B229" s="240" t="n">
        <f aca="false">'Revenues &amp; Expenses'!AX237</f>
        <v>43525</v>
      </c>
      <c r="C229" s="180" t="n">
        <f aca="false">'PJM Curve Simulation'!J237</f>
        <v>31.5500007629395</v>
      </c>
      <c r="D229" s="180" t="n">
        <f aca="false">F229+G229</f>
        <v>47.3457077294627</v>
      </c>
      <c r="F229" s="180" t="n">
        <f aca="false">('Fuel Curve Simulation'!J237*'Revenues &amp; Expenses'!$S$2/1000)</f>
        <v>44.0055956896552</v>
      </c>
      <c r="G229" s="180" t="n">
        <f aca="false">'Revenues &amp; Expenses'!$AM$5*1000*'Revenues &amp; Expenses'!O237</f>
        <v>3.34011203980755</v>
      </c>
      <c r="H229" s="204" t="n">
        <f aca="false">H228+1</f>
        <v>220</v>
      </c>
      <c r="I229" s="204" t="n">
        <f aca="false">IF(C229&gt;D229,1,0)</f>
        <v>0</v>
      </c>
      <c r="J229" s="204" t="n">
        <v>315</v>
      </c>
      <c r="K229" s="212" t="n">
        <f aca="false">IF(I229&gt;0,J229*'Revenues &amp; Expenses'!F237*16,0)</f>
        <v>0</v>
      </c>
      <c r="L229" s="211" t="n">
        <f aca="false">K229*'Revenues &amp; Expenses'!N237</f>
        <v>0</v>
      </c>
      <c r="M229" s="212"/>
      <c r="N229" s="212"/>
      <c r="AC229" s="248" t="n">
        <f aca="false">B229</f>
        <v>43525</v>
      </c>
      <c r="AD229" s="10" t="n">
        <f aca="false">AD228+1</f>
        <v>220</v>
      </c>
      <c r="AE229" s="10" t="n">
        <f aca="false">C229*L229</f>
        <v>0</v>
      </c>
      <c r="AF229" s="10" t="n">
        <f aca="false">L229</f>
        <v>0</v>
      </c>
      <c r="AG229" s="205" t="n">
        <f aca="false">IF(AF229&gt;0,AE229/AF229,0)</f>
        <v>0</v>
      </c>
      <c r="AJ229" s="10" t="n">
        <f aca="false">D229*L229</f>
        <v>0</v>
      </c>
      <c r="AK229" s="249" t="n">
        <f aca="false">IF(AF229&gt;0,AJ229/AF229,0)</f>
        <v>0</v>
      </c>
    </row>
    <row r="230" customFormat="false" ht="12.75" hidden="false" customHeight="false" outlineLevel="0" collapsed="false">
      <c r="A230" s="180" t="n">
        <f aca="false">A218</f>
        <v>35.5338996121314</v>
      </c>
      <c r="B230" s="240" t="n">
        <f aca="false">'Revenues &amp; Expenses'!AX238</f>
        <v>43556</v>
      </c>
      <c r="C230" s="180" t="n">
        <f aca="false">'PJM Curve Simulation'!J238</f>
        <v>31.3250007629395</v>
      </c>
      <c r="D230" s="180" t="n">
        <f aca="false">F230+G230</f>
        <v>46.3952315536486</v>
      </c>
      <c r="F230" s="180" t="n">
        <f aca="false">('Fuel Curve Simulation'!J238*'Revenues &amp; Expenses'!$S$2/1000)</f>
        <v>43.0476956896552</v>
      </c>
      <c r="G230" s="180" t="n">
        <f aca="false">'Revenues &amp; Expenses'!$AM$5*1000*'Revenues &amp; Expenses'!O238</f>
        <v>3.34753586399343</v>
      </c>
      <c r="H230" s="204" t="n">
        <f aca="false">H229+1</f>
        <v>221</v>
      </c>
      <c r="I230" s="204" t="n">
        <f aca="false">IF(C230&gt;D230,1,0)</f>
        <v>0</v>
      </c>
      <c r="J230" s="204" t="n">
        <v>315</v>
      </c>
      <c r="K230" s="212" t="n">
        <f aca="false">IF(I230&gt;0,J230*'Revenues &amp; Expenses'!F238*16,0)</f>
        <v>0</v>
      </c>
      <c r="L230" s="211" t="n">
        <f aca="false">K230*'Revenues &amp; Expenses'!N238</f>
        <v>0</v>
      </c>
      <c r="M230" s="212"/>
      <c r="N230" s="212"/>
      <c r="AC230" s="248" t="n">
        <f aca="false">B230</f>
        <v>43556</v>
      </c>
      <c r="AD230" s="10" t="n">
        <f aca="false">AD229+1</f>
        <v>221</v>
      </c>
      <c r="AE230" s="10" t="n">
        <f aca="false">C230*L230</f>
        <v>0</v>
      </c>
      <c r="AF230" s="10" t="n">
        <f aca="false">L230</f>
        <v>0</v>
      </c>
      <c r="AG230" s="205" t="n">
        <f aca="false">IF(AF230&gt;0,AE230/AF230,0)</f>
        <v>0</v>
      </c>
      <c r="AJ230" s="10" t="n">
        <f aca="false">D230*L230</f>
        <v>0</v>
      </c>
      <c r="AK230" s="249" t="n">
        <f aca="false">IF(AF230&gt;0,AJ230/AF230,0)</f>
        <v>0</v>
      </c>
    </row>
    <row r="231" customFormat="false" ht="12.75" hidden="false" customHeight="false" outlineLevel="0" collapsed="false">
      <c r="A231" s="180" t="n">
        <f aca="false">A219</f>
        <v>43.1711496568723</v>
      </c>
      <c r="B231" s="240" t="n">
        <f aca="false">'Revenues &amp; Expenses'!AX239</f>
        <v>43586</v>
      </c>
      <c r="C231" s="180" t="n">
        <f aca="false">'PJM Curve Simulation'!J239</f>
        <v>39.325</v>
      </c>
      <c r="D231" s="180" t="n">
        <f aca="false">F231+G231</f>
        <v>45.758566705815</v>
      </c>
      <c r="F231" s="180" t="n">
        <f aca="false">('Fuel Curve Simulation'!J239*'Revenues &amp; Expenses'!$S$2/1000)</f>
        <v>42.4035905172414</v>
      </c>
      <c r="G231" s="180" t="n">
        <f aca="false">'Revenues &amp; Expenses'!$AM$5*1000*'Revenues &amp; Expenses'!O239</f>
        <v>3.35497618857358</v>
      </c>
      <c r="H231" s="204" t="n">
        <f aca="false">H230+1</f>
        <v>222</v>
      </c>
      <c r="I231" s="204" t="n">
        <f aca="false">IF(C231&gt;D231,1,0)</f>
        <v>0</v>
      </c>
      <c r="J231" s="204" t="n">
        <v>315</v>
      </c>
      <c r="K231" s="212" t="n">
        <f aca="false">IF(I231&gt;0,J231*'Revenues &amp; Expenses'!F239*16,0)</f>
        <v>0</v>
      </c>
      <c r="L231" s="211" t="n">
        <f aca="false">K231*'Revenues &amp; Expenses'!N239</f>
        <v>0</v>
      </c>
      <c r="M231" s="212"/>
      <c r="N231" s="212"/>
      <c r="AC231" s="248" t="n">
        <f aca="false">B231</f>
        <v>43586</v>
      </c>
      <c r="AD231" s="10" t="n">
        <f aca="false">AD230+1</f>
        <v>222</v>
      </c>
      <c r="AE231" s="10" t="n">
        <f aca="false">C231*L231</f>
        <v>0</v>
      </c>
      <c r="AF231" s="10" t="n">
        <f aca="false">L231</f>
        <v>0</v>
      </c>
      <c r="AG231" s="205" t="n">
        <f aca="false">IF(AF231&gt;0,AE231/AF231,0)</f>
        <v>0</v>
      </c>
      <c r="AJ231" s="10" t="n">
        <f aca="false">D231*L231</f>
        <v>0</v>
      </c>
      <c r="AK231" s="249" t="n">
        <f aca="false">IF(AF231&gt;0,AJ231/AF231,0)</f>
        <v>0</v>
      </c>
    </row>
    <row r="232" customFormat="false" ht="12.75" hidden="false" customHeight="false" outlineLevel="0" collapsed="false">
      <c r="A232" s="180" t="n">
        <f aca="false">A220</f>
        <v>84.3420003819235</v>
      </c>
      <c r="B232" s="240" t="n">
        <f aca="false">'Revenues &amp; Expenses'!AX240</f>
        <v>43617</v>
      </c>
      <c r="C232" s="180" t="n">
        <f aca="false">'PJM Curve Simulation'!J240</f>
        <v>68.3499984741211</v>
      </c>
      <c r="D232" s="180" t="n">
        <f aca="false">F232+G232</f>
        <v>45.7032646019464</v>
      </c>
      <c r="F232" s="180" t="n">
        <f aca="false">('Fuel Curve Simulation'!J240*'Revenues &amp; Expenses'!$S$2/1000)</f>
        <v>42.3408315517242</v>
      </c>
      <c r="G232" s="180" t="n">
        <f aca="false">'Revenues &amp; Expenses'!$AM$5*1000*'Revenues &amp; Expenses'!O240</f>
        <v>3.36243305022223</v>
      </c>
      <c r="H232" s="204" t="n">
        <f aca="false">H231+1</f>
        <v>223</v>
      </c>
      <c r="I232" s="204" t="n">
        <f aca="false">IF(C232&gt;D232,1,0)</f>
        <v>1</v>
      </c>
      <c r="J232" s="204" t="n">
        <v>315</v>
      </c>
      <c r="K232" s="212" t="n">
        <f aca="false">IF(I232&gt;0,J232*'Revenues &amp; Expenses'!F240*16,0)</f>
        <v>105840</v>
      </c>
      <c r="L232" s="211" t="n">
        <f aca="false">K232*'Revenues &amp; Expenses'!N240</f>
        <v>25989.2397609723</v>
      </c>
      <c r="M232" s="212"/>
      <c r="N232" s="212"/>
      <c r="AC232" s="248" t="n">
        <f aca="false">B232</f>
        <v>43617</v>
      </c>
      <c r="AD232" s="10" t="n">
        <f aca="false">AD231+1</f>
        <v>223</v>
      </c>
      <c r="AE232" s="10" t="n">
        <f aca="false">C232*L232</f>
        <v>1776364.49800603</v>
      </c>
      <c r="AF232" s="10" t="n">
        <f aca="false">L232</f>
        <v>25989.2397609723</v>
      </c>
      <c r="AG232" s="205" t="n">
        <f aca="false">IF(AF232&gt;0,AE232/AF232,0)</f>
        <v>68.3499984741211</v>
      </c>
      <c r="AJ232" s="10" t="n">
        <f aca="false">D232*L232</f>
        <v>1187793.10159914</v>
      </c>
      <c r="AK232" s="249" t="n">
        <f aca="false">IF(AF232&gt;0,AJ232/AF232,0)</f>
        <v>45.7032646019464</v>
      </c>
    </row>
    <row r="233" customFormat="false" ht="12.75" hidden="false" customHeight="false" outlineLevel="0" collapsed="false">
      <c r="A233" s="180" t="n">
        <f aca="false">A221</f>
        <v>164.06756314574</v>
      </c>
      <c r="B233" s="240" t="n">
        <f aca="false">'Revenues &amp; Expenses'!AX241</f>
        <v>43647</v>
      </c>
      <c r="C233" s="180" t="n">
        <f aca="false">'PJM Curve Simulation'!J241</f>
        <v>124.949996948242</v>
      </c>
      <c r="D233" s="180" t="n">
        <f aca="false">F233+G233</f>
        <v>46.259053209833</v>
      </c>
      <c r="F233" s="180" t="n">
        <f aca="false">('Fuel Curve Simulation'!J241*'Revenues &amp; Expenses'!$S$2/1000)</f>
        <v>42.8891467241379</v>
      </c>
      <c r="G233" s="180" t="n">
        <f aca="false">'Revenues &amp; Expenses'!$AM$5*1000*'Revenues &amp; Expenses'!O241</f>
        <v>3.3699064856951</v>
      </c>
      <c r="H233" s="204" t="n">
        <f aca="false">H232+1</f>
        <v>224</v>
      </c>
      <c r="I233" s="204" t="n">
        <f aca="false">IF(C233&gt;D233,1,0)</f>
        <v>1</v>
      </c>
      <c r="J233" s="204" t="n">
        <v>315</v>
      </c>
      <c r="K233" s="212" t="n">
        <f aca="false">IF(I233&gt;0,J233*'Revenues &amp; Expenses'!F241*16,0)</f>
        <v>115920</v>
      </c>
      <c r="L233" s="211" t="n">
        <f aca="false">K233*'Revenues &amp; Expenses'!N241</f>
        <v>28298.0056813924</v>
      </c>
      <c r="M233" s="212"/>
      <c r="N233" s="212"/>
      <c r="AC233" s="248" t="n">
        <f aca="false">B233</f>
        <v>43647</v>
      </c>
      <c r="AD233" s="10" t="n">
        <f aca="false">AD232+1</f>
        <v>224</v>
      </c>
      <c r="AE233" s="10" t="n">
        <f aca="false">C233*L233</f>
        <v>3535835.72353133</v>
      </c>
      <c r="AF233" s="10" t="n">
        <f aca="false">L233</f>
        <v>28298.0056813924</v>
      </c>
      <c r="AG233" s="205" t="n">
        <f aca="false">IF(AF233&gt;0,AE233/AF233,0)</f>
        <v>124.949996948242</v>
      </c>
      <c r="AJ233" s="10" t="n">
        <f aca="false">D233*L233</f>
        <v>1309038.95054769</v>
      </c>
      <c r="AK233" s="249" t="n">
        <f aca="false">IF(AF233&gt;0,AJ233/AF233,0)</f>
        <v>46.259053209833</v>
      </c>
    </row>
    <row r="234" customFormat="false" ht="12.75" hidden="false" customHeight="false" outlineLevel="0" collapsed="false">
      <c r="A234" s="180" t="n">
        <f aca="false">A222</f>
        <v>137.400697060805</v>
      </c>
      <c r="B234" s="240" t="n">
        <f aca="false">'Revenues &amp; Expenses'!AX242</f>
        <v>43678</v>
      </c>
      <c r="C234" s="180" t="n">
        <f aca="false">'PJM Curve Simulation'!J242</f>
        <v>111.949996948242</v>
      </c>
      <c r="D234" s="180" t="n">
        <f aca="false">F234+G234</f>
        <v>47.13360791114</v>
      </c>
      <c r="F234" s="180" t="n">
        <f aca="false">('Fuel Curve Simulation'!J242*'Revenues &amp; Expenses'!$S$2/1000)</f>
        <v>43.7562113793104</v>
      </c>
      <c r="G234" s="180" t="n">
        <f aca="false">'Revenues &amp; Expenses'!$AM$5*1000*'Revenues &amp; Expenses'!O242</f>
        <v>3.37739653182963</v>
      </c>
      <c r="H234" s="204" t="n">
        <f aca="false">H233+1</f>
        <v>225</v>
      </c>
      <c r="I234" s="204" t="n">
        <f aca="false">IF(C234&gt;D234,1,0)</f>
        <v>1</v>
      </c>
      <c r="J234" s="204" t="n">
        <v>315</v>
      </c>
      <c r="K234" s="212" t="n">
        <f aca="false">IF(I234&gt;0,J234*'Revenues &amp; Expenses'!F242*16,0)</f>
        <v>105840</v>
      </c>
      <c r="L234" s="211" t="n">
        <f aca="false">K234*'Revenues &amp; Expenses'!N242</f>
        <v>25681.269381816</v>
      </c>
      <c r="M234" s="212"/>
      <c r="N234" s="212"/>
      <c r="AC234" s="248" t="n">
        <f aca="false">B234</f>
        <v>43678</v>
      </c>
      <c r="AD234" s="10" t="n">
        <f aca="false">AD233+1</f>
        <v>225</v>
      </c>
      <c r="AE234" s="10" t="n">
        <f aca="false">C234*L234</f>
        <v>2875018.02892129</v>
      </c>
      <c r="AF234" s="10" t="n">
        <f aca="false">L234</f>
        <v>25681.269381816</v>
      </c>
      <c r="AG234" s="205" t="n">
        <f aca="false">IF(AF234&gt;0,AE234/AF234,0)</f>
        <v>111.949996948242</v>
      </c>
      <c r="AJ234" s="10" t="n">
        <f aca="false">D234*L234</f>
        <v>1210450.88170288</v>
      </c>
      <c r="AK234" s="249" t="n">
        <f aca="false">IF(AF234&gt;0,AJ234/AF234,0)</f>
        <v>47.13360791114</v>
      </c>
    </row>
    <row r="235" customFormat="false" ht="12.75" hidden="false" customHeight="false" outlineLevel="0" collapsed="false">
      <c r="A235" s="180" t="n">
        <f aca="false">A223</f>
        <v>46.1162864838868</v>
      </c>
      <c r="B235" s="240" t="n">
        <f aca="false">'Revenues &amp; Expenses'!AX243</f>
        <v>43709</v>
      </c>
      <c r="C235" s="180" t="n">
        <f aca="false">'PJM Curve Simulation'!J243</f>
        <v>39.9249984741211</v>
      </c>
      <c r="D235" s="180" t="n">
        <f aca="false">F235+G235</f>
        <v>48.0494680531314</v>
      </c>
      <c r="F235" s="180" t="n">
        <f aca="false">('Fuel Curve Simulation'!J243*'Revenues &amp; Expenses'!$S$2/1000)</f>
        <v>44.6645648275862</v>
      </c>
      <c r="G235" s="180" t="n">
        <f aca="false">'Revenues &amp; Expenses'!$AM$5*1000*'Revenues &amp; Expenses'!O243</f>
        <v>3.38490322554515</v>
      </c>
      <c r="H235" s="204" t="n">
        <f aca="false">H234+1</f>
        <v>226</v>
      </c>
      <c r="I235" s="204" t="n">
        <f aca="false">IF(C235&gt;D235,1,0)</f>
        <v>0</v>
      </c>
      <c r="J235" s="204" t="n">
        <v>315</v>
      </c>
      <c r="K235" s="212" t="n">
        <f aca="false">IF(I235&gt;0,J235*'Revenues &amp; Expenses'!F243*16,0)</f>
        <v>0</v>
      </c>
      <c r="L235" s="211" t="n">
        <f aca="false">K235*'Revenues &amp; Expenses'!N243</f>
        <v>0</v>
      </c>
      <c r="M235" s="212"/>
      <c r="N235" s="212"/>
      <c r="AC235" s="248" t="n">
        <f aca="false">B235</f>
        <v>43709</v>
      </c>
      <c r="AD235" s="10" t="n">
        <f aca="false">AD234+1</f>
        <v>226</v>
      </c>
      <c r="AE235" s="10" t="n">
        <f aca="false">C235*L235</f>
        <v>0</v>
      </c>
      <c r="AF235" s="10" t="n">
        <f aca="false">L235</f>
        <v>0</v>
      </c>
      <c r="AG235" s="205" t="n">
        <f aca="false">IF(AF235&gt;0,AE235/AF235,0)</f>
        <v>0</v>
      </c>
      <c r="AJ235" s="10" t="n">
        <f aca="false">D235*L235</f>
        <v>0</v>
      </c>
      <c r="AK235" s="249" t="n">
        <f aca="false">IF(AF235&gt;0,AJ235/AF235,0)</f>
        <v>0</v>
      </c>
    </row>
    <row r="236" customFormat="false" ht="12.75" hidden="false" customHeight="false" outlineLevel="0" collapsed="false">
      <c r="A236" s="180" t="n">
        <f aca="false">A224</f>
        <v>37.385623573122</v>
      </c>
      <c r="B236" s="240" t="n">
        <f aca="false">'Revenues &amp; Expenses'!AX244</f>
        <v>43739</v>
      </c>
      <c r="C236" s="180" t="n">
        <f aca="false">'PJM Curve Simulation'!J244</f>
        <v>31.8250003814697</v>
      </c>
      <c r="D236" s="180" t="n">
        <f aca="false">F236+G236</f>
        <v>48.9438747072913</v>
      </c>
      <c r="F236" s="180" t="n">
        <f aca="false">('Fuel Curve Simulation'!J244*'Revenues &amp; Expenses'!$S$2/1000)</f>
        <v>45.5514481034483</v>
      </c>
      <c r="G236" s="180" t="n">
        <f aca="false">'Revenues &amp; Expenses'!$AM$5*1000*'Revenues &amp; Expenses'!O244</f>
        <v>3.392426603843</v>
      </c>
      <c r="H236" s="204" t="n">
        <f aca="false">H235+1</f>
        <v>227</v>
      </c>
      <c r="I236" s="204" t="n">
        <f aca="false">IF(C236&gt;D236,1,0)</f>
        <v>0</v>
      </c>
      <c r="J236" s="204" t="n">
        <v>315</v>
      </c>
      <c r="K236" s="212" t="n">
        <f aca="false">IF(I236&gt;0,J236*'Revenues &amp; Expenses'!F244*16,0)</f>
        <v>0</v>
      </c>
      <c r="L236" s="211" t="n">
        <f aca="false">K236*'Revenues &amp; Expenses'!N244</f>
        <v>0</v>
      </c>
      <c r="M236" s="212"/>
      <c r="N236" s="212"/>
      <c r="AC236" s="248" t="n">
        <f aca="false">B236</f>
        <v>43739</v>
      </c>
      <c r="AD236" s="10" t="n">
        <f aca="false">AD235+1</f>
        <v>227</v>
      </c>
      <c r="AE236" s="10" t="n">
        <f aca="false">C236*L236</f>
        <v>0</v>
      </c>
      <c r="AF236" s="10" t="n">
        <f aca="false">L236</f>
        <v>0</v>
      </c>
      <c r="AG236" s="205" t="n">
        <f aca="false">IF(AF236&gt;0,AE236/AF236,0)</f>
        <v>0</v>
      </c>
      <c r="AJ236" s="10" t="n">
        <f aca="false">D236*L236</f>
        <v>0</v>
      </c>
      <c r="AK236" s="249" t="n">
        <f aca="false">IF(AF236&gt;0,AJ236/AF236,0)</f>
        <v>0</v>
      </c>
    </row>
    <row r="237" customFormat="false" ht="12.75" hidden="false" customHeight="false" outlineLevel="0" collapsed="false">
      <c r="A237" s="180" t="n">
        <f aca="false">A225</f>
        <v>37.5080093472672</v>
      </c>
      <c r="B237" s="240" t="n">
        <f aca="false">'Revenues &amp; Expenses'!AX245</f>
        <v>43770</v>
      </c>
      <c r="C237" s="180" t="n">
        <f aca="false">'PJM Curve Simulation'!J245</f>
        <v>31.4974990844727</v>
      </c>
      <c r="D237" s="180" t="n">
        <f aca="false">F237+G237</f>
        <v>49.4237586003585</v>
      </c>
      <c r="F237" s="180" t="n">
        <f aca="false">('Fuel Curve Simulation'!J245*'Revenues &amp; Expenses'!$S$2/1000)</f>
        <v>46.0237918965517</v>
      </c>
      <c r="G237" s="180" t="n">
        <f aca="false">'Revenues &amp; Expenses'!$AM$5*1000*'Revenues &amp; Expenses'!O245</f>
        <v>3.39996670380681</v>
      </c>
      <c r="H237" s="204" t="n">
        <f aca="false">H236+1</f>
        <v>228</v>
      </c>
      <c r="I237" s="204" t="n">
        <f aca="false">IF(C237&gt;D237,1,0)</f>
        <v>0</v>
      </c>
      <c r="J237" s="204" t="n">
        <v>315</v>
      </c>
      <c r="K237" s="212" t="n">
        <f aca="false">IF(I237&gt;0,J237*'Revenues &amp; Expenses'!F245*16,0)</f>
        <v>0</v>
      </c>
      <c r="L237" s="211" t="n">
        <f aca="false">K237*'Revenues &amp; Expenses'!N245</f>
        <v>0</v>
      </c>
      <c r="M237" s="212"/>
      <c r="N237" s="212"/>
      <c r="AC237" s="248" t="n">
        <f aca="false">B237</f>
        <v>43770</v>
      </c>
      <c r="AD237" s="10" t="n">
        <f aca="false">AD236+1</f>
        <v>228</v>
      </c>
      <c r="AE237" s="10" t="n">
        <f aca="false">C237*L237</f>
        <v>0</v>
      </c>
      <c r="AF237" s="10" t="n">
        <f aca="false">L237</f>
        <v>0</v>
      </c>
      <c r="AG237" s="205" t="n">
        <f aca="false">IF(AF237&gt;0,AE237/AF237,0)</f>
        <v>0</v>
      </c>
      <c r="AJ237" s="10" t="n">
        <f aca="false">D237*L237</f>
        <v>0</v>
      </c>
      <c r="AK237" s="249" t="n">
        <f aca="false">IF(AF237&gt;0,AJ237/AF237,0)</f>
        <v>0</v>
      </c>
    </row>
    <row r="238" customFormat="false" ht="12.75" hidden="false" customHeight="false" outlineLevel="0" collapsed="false">
      <c r="A238" s="180" t="n">
        <f aca="false">A226</f>
        <v>40.0982988922511</v>
      </c>
      <c r="B238" s="240" t="n">
        <f aca="false">'Revenues &amp; Expenses'!AX246</f>
        <v>43800</v>
      </c>
      <c r="C238" s="180" t="n">
        <f aca="false">'PJM Curve Simulation'!J246</f>
        <v>33.2499996185303</v>
      </c>
      <c r="D238" s="180" t="n">
        <f aca="false">F238+G238</f>
        <v>49.8409002867405</v>
      </c>
      <c r="F238" s="180" t="n">
        <f aca="false">('Fuel Curve Simulation'!J246*'Revenues &amp; Expenses'!$S$2/1000)</f>
        <v>46.4333767241379</v>
      </c>
      <c r="G238" s="180" t="n">
        <f aca="false">'Revenues &amp; Expenses'!$AM$5*1000*'Revenues &amp; Expenses'!O246</f>
        <v>3.40752356260259</v>
      </c>
      <c r="H238" s="204" t="n">
        <f aca="false">H237+1</f>
        <v>229</v>
      </c>
      <c r="I238" s="204" t="n">
        <f aca="false">IF(C238&gt;D238,1,0)</f>
        <v>0</v>
      </c>
      <c r="J238" s="204" t="n">
        <v>315</v>
      </c>
      <c r="K238" s="212" t="n">
        <f aca="false">IF(I238&gt;0,J238*'Revenues &amp; Expenses'!F246*16,0)</f>
        <v>0</v>
      </c>
      <c r="L238" s="211" t="n">
        <f aca="false">K238*'Revenues &amp; Expenses'!N246</f>
        <v>0</v>
      </c>
      <c r="M238" s="212" t="n">
        <f aca="false">SUM(L227:L238)</f>
        <v>79968.5148241808</v>
      </c>
      <c r="N238" s="212" t="n">
        <f aca="false">SUM(K227:K238)</f>
        <v>327600</v>
      </c>
      <c r="AC238" s="248" t="n">
        <f aca="false">B238</f>
        <v>43800</v>
      </c>
      <c r="AD238" s="10" t="n">
        <f aca="false">AD237+1</f>
        <v>229</v>
      </c>
      <c r="AE238" s="10" t="n">
        <f aca="false">C238*L238</f>
        <v>0</v>
      </c>
      <c r="AF238" s="10" t="n">
        <f aca="false">L238</f>
        <v>0</v>
      </c>
      <c r="AG238" s="205" t="n">
        <f aca="false">IF(AF238&gt;0,AE238/AF238,0)</f>
        <v>0</v>
      </c>
      <c r="AH238" s="205" t="n">
        <f aca="false">IF(SUM(AF227:AF238)=0,0,SUM(AE227:AE238)/SUM(AF227:AF238))</f>
        <v>102.380521489728</v>
      </c>
      <c r="AJ238" s="10" t="n">
        <f aca="false">D238*L238</f>
        <v>0</v>
      </c>
      <c r="AK238" s="249" t="n">
        <f aca="false">IF(AF238&gt;0,AJ238/AF238,0)</f>
        <v>0</v>
      </c>
      <c r="AL238" s="249" t="n">
        <f aca="false">IF(SUM(AF227:AF238)=0,0,SUM(AJ227:AJ238)/SUM(AF227:AF238))</f>
        <v>46.3592820499489</v>
      </c>
    </row>
    <row r="239" customFormat="false" ht="12.75" hidden="false" customHeight="false" outlineLevel="0" collapsed="false">
      <c r="B239" s="240" t="n">
        <f aca="false">'Revenues &amp; Expenses'!AX247</f>
        <v>43831</v>
      </c>
      <c r="C239" s="180" t="n">
        <f aca="false">'PJM Curve Simulation'!J247</f>
        <v>41.8249984741211</v>
      </c>
      <c r="D239" s="180" t="n">
        <f aca="false">F239+G239</f>
        <v>49.3001587692032</v>
      </c>
      <c r="F239" s="180" t="n">
        <f aca="false">('Fuel Curve Simulation'!J247*'Revenues &amp; Expenses'!$S$2/1000)</f>
        <v>45.8850615517242</v>
      </c>
      <c r="G239" s="180" t="n">
        <f aca="false">'Revenues &amp; Expenses'!$AM$5*1000*'Revenues &amp; Expenses'!O247</f>
        <v>3.415097217479</v>
      </c>
      <c r="H239" s="204" t="n">
        <f aca="false">H238+1</f>
        <v>230</v>
      </c>
      <c r="I239" s="204" t="n">
        <f aca="false">IF(C239&gt;D239,1,0)</f>
        <v>0</v>
      </c>
      <c r="J239" s="204" t="n">
        <v>315</v>
      </c>
      <c r="K239" s="212" t="n">
        <f aca="false">IF(I239&gt;0,J239*'Revenues &amp; Expenses'!F247*16,0)</f>
        <v>0</v>
      </c>
      <c r="L239" s="211" t="n">
        <f aca="false">K239*'Revenues &amp; Expenses'!N247</f>
        <v>0</v>
      </c>
      <c r="M239" s="212"/>
      <c r="N239" s="212"/>
      <c r="AC239" s="248" t="n">
        <f aca="false">B239</f>
        <v>43831</v>
      </c>
      <c r="AD239" s="10" t="n">
        <f aca="false">AD238+1</f>
        <v>230</v>
      </c>
      <c r="AE239" s="10" t="n">
        <f aca="false">C239*L239</f>
        <v>0</v>
      </c>
      <c r="AF239" s="10" t="n">
        <f aca="false">L239</f>
        <v>0</v>
      </c>
      <c r="AG239" s="205" t="n">
        <f aca="false">IF(AF239&gt;0,AE239/AF239,0)</f>
        <v>0</v>
      </c>
      <c r="AJ239" s="10" t="n">
        <f aca="false">D239*L239</f>
        <v>0</v>
      </c>
      <c r="AK239" s="249" t="n">
        <f aca="false">IF(AF239&gt;0,AJ239/AF239,0)</f>
        <v>0</v>
      </c>
    </row>
    <row r="240" customFormat="false" ht="12.75" hidden="false" customHeight="false" outlineLevel="0" collapsed="false">
      <c r="B240" s="240" t="n">
        <f aca="false">'Revenues &amp; Expenses'!AX248</f>
        <v>43862</v>
      </c>
      <c r="C240" s="180" t="n">
        <f aca="false">'PJM Curve Simulation'!J248</f>
        <v>41.8249984741211</v>
      </c>
      <c r="D240" s="180" t="n">
        <f aca="false">F240+G240</f>
        <v>48.3581070161123</v>
      </c>
      <c r="F240" s="180" t="n">
        <f aca="false">('Fuel Curve Simulation'!J248*'Revenues &amp; Expenses'!$S$2/1000)</f>
        <v>44.9354193103448</v>
      </c>
      <c r="G240" s="180" t="n">
        <f aca="false">'Revenues &amp; Expenses'!$AM$5*1000*'Revenues &amp; Expenses'!O248</f>
        <v>3.42268770576745</v>
      </c>
      <c r="H240" s="204" t="n">
        <f aca="false">H239+1</f>
        <v>231</v>
      </c>
      <c r="I240" s="204" t="n">
        <f aca="false">IF(C240&gt;D240,1,0)</f>
        <v>0</v>
      </c>
      <c r="J240" s="204" t="n">
        <v>315</v>
      </c>
      <c r="K240" s="212" t="n">
        <f aca="false">IF(I240&gt;0,J240*'Revenues &amp; Expenses'!F248*16,0)</f>
        <v>0</v>
      </c>
      <c r="L240" s="211" t="n">
        <f aca="false">K240*'Revenues &amp; Expenses'!N248</f>
        <v>0</v>
      </c>
      <c r="M240" s="212"/>
      <c r="N240" s="212"/>
      <c r="AC240" s="248" t="n">
        <f aca="false">B240</f>
        <v>43862</v>
      </c>
      <c r="AD240" s="10" t="n">
        <f aca="false">AD239+1</f>
        <v>231</v>
      </c>
      <c r="AE240" s="10" t="n">
        <f aca="false">C240*L240</f>
        <v>0</v>
      </c>
      <c r="AF240" s="10" t="n">
        <f aca="false">L240</f>
        <v>0</v>
      </c>
      <c r="AG240" s="205" t="n">
        <f aca="false">IF(AF240&gt;0,AE240/AF240,0)</f>
        <v>0</v>
      </c>
      <c r="AJ240" s="10" t="n">
        <f aca="false">D240*L240</f>
        <v>0</v>
      </c>
      <c r="AK240" s="249" t="n">
        <f aca="false">IF(AF240&gt;0,AJ240/AF240,0)</f>
        <v>0</v>
      </c>
    </row>
    <row r="241" customFormat="false" ht="12.75" hidden="false" customHeight="false" outlineLevel="0" collapsed="false">
      <c r="B241" s="240" t="n">
        <f aca="false">'Revenues &amp; Expenses'!AX249</f>
        <v>43891</v>
      </c>
      <c r="C241" s="180" t="n">
        <f aca="false">'PJM Curve Simulation'!J249</f>
        <v>31.5500007629395</v>
      </c>
      <c r="D241" s="180" t="n">
        <f aca="false">F241+G241</f>
        <v>47.4358907545375</v>
      </c>
      <c r="F241" s="180" t="n">
        <f aca="false">('Fuel Curve Simulation'!J249*'Revenues &amp; Expenses'!$S$2/1000)</f>
        <v>44.0055956896552</v>
      </c>
      <c r="G241" s="180" t="n">
        <f aca="false">'Revenues &amp; Expenses'!$AM$5*1000*'Revenues &amp; Expenses'!O249</f>
        <v>3.43029506488235</v>
      </c>
      <c r="H241" s="204" t="n">
        <f aca="false">H240+1</f>
        <v>232</v>
      </c>
      <c r="I241" s="204" t="n">
        <f aca="false">IF(C241&gt;D241,1,0)</f>
        <v>0</v>
      </c>
      <c r="J241" s="204" t="n">
        <v>315</v>
      </c>
      <c r="K241" s="212" t="n">
        <f aca="false">IF(I241&gt;0,J241*'Revenues &amp; Expenses'!F249*16,0)</f>
        <v>0</v>
      </c>
      <c r="L241" s="211" t="n">
        <f aca="false">K241*'Revenues &amp; Expenses'!N249</f>
        <v>0</v>
      </c>
      <c r="M241" s="212"/>
      <c r="N241" s="212"/>
      <c r="AC241" s="248" t="n">
        <f aca="false">B241</f>
        <v>43891</v>
      </c>
      <c r="AD241" s="10" t="n">
        <f aca="false">AD240+1</f>
        <v>232</v>
      </c>
      <c r="AE241" s="10" t="n">
        <f aca="false">C241*L241</f>
        <v>0</v>
      </c>
      <c r="AF241" s="10" t="n">
        <f aca="false">L241</f>
        <v>0</v>
      </c>
      <c r="AG241" s="205" t="n">
        <f aca="false">IF(AF241&gt;0,AE241/AF241,0)</f>
        <v>0</v>
      </c>
      <c r="AJ241" s="10" t="n">
        <f aca="false">D241*L241</f>
        <v>0</v>
      </c>
      <c r="AK241" s="249" t="n">
        <f aca="false">IF(AF241&gt;0,AJ241/AF241,0)</f>
        <v>0</v>
      </c>
    </row>
    <row r="242" customFormat="false" ht="12.75" hidden="false" customHeight="false" outlineLevel="0" collapsed="false">
      <c r="B242" s="240" t="n">
        <f aca="false">'Revenues &amp; Expenses'!AX250</f>
        <v>43922</v>
      </c>
      <c r="C242" s="180" t="n">
        <f aca="false">'PJM Curve Simulation'!J250</f>
        <v>31.3250007629395</v>
      </c>
      <c r="D242" s="180" t="n">
        <f aca="false">F242+G242</f>
        <v>46.4856150219764</v>
      </c>
      <c r="F242" s="180" t="n">
        <f aca="false">('Fuel Curve Simulation'!J250*'Revenues &amp; Expenses'!$S$2/1000)</f>
        <v>43.0476956896552</v>
      </c>
      <c r="G242" s="180" t="n">
        <f aca="false">'Revenues &amp; Expenses'!$AM$5*1000*'Revenues &amp; Expenses'!O250</f>
        <v>3.43791933232125</v>
      </c>
      <c r="H242" s="204" t="n">
        <f aca="false">H241+1</f>
        <v>233</v>
      </c>
      <c r="I242" s="204" t="n">
        <f aca="false">IF(C242&gt;D242,1,0)</f>
        <v>0</v>
      </c>
      <c r="J242" s="204" t="n">
        <v>315</v>
      </c>
      <c r="K242" s="212" t="n">
        <f aca="false">IF(I242&gt;0,J242*'Revenues &amp; Expenses'!F250*16,0)</f>
        <v>0</v>
      </c>
      <c r="L242" s="211" t="n">
        <f aca="false">K242*'Revenues &amp; Expenses'!N250</f>
        <v>0</v>
      </c>
      <c r="M242" s="212"/>
      <c r="N242" s="212"/>
      <c r="AC242" s="248" t="n">
        <f aca="false">B242</f>
        <v>43922</v>
      </c>
      <c r="AD242" s="10" t="n">
        <f aca="false">AD241+1</f>
        <v>233</v>
      </c>
      <c r="AE242" s="10" t="n">
        <f aca="false">C242*L242</f>
        <v>0</v>
      </c>
      <c r="AF242" s="10" t="n">
        <f aca="false">L242</f>
        <v>0</v>
      </c>
      <c r="AG242" s="205" t="n">
        <f aca="false">IF(AF242&gt;0,AE242/AF242,0)</f>
        <v>0</v>
      </c>
      <c r="AJ242" s="10" t="n">
        <f aca="false">D242*L242</f>
        <v>0</v>
      </c>
      <c r="AK242" s="249" t="n">
        <f aca="false">IF(AF242&gt;0,AJ242/AF242,0)</f>
        <v>0</v>
      </c>
    </row>
    <row r="243" customFormat="false" ht="12.75" hidden="false" customHeight="false" outlineLevel="0" collapsed="false">
      <c r="B243" s="240" t="n">
        <f aca="false">'Revenues &amp; Expenses'!AX251</f>
        <v>43952</v>
      </c>
      <c r="C243" s="180" t="n">
        <f aca="false">'PJM Curve Simulation'!J251</f>
        <v>39.325</v>
      </c>
      <c r="D243" s="180" t="n">
        <f aca="false">F243+G243</f>
        <v>45.8491510629065</v>
      </c>
      <c r="F243" s="180" t="n">
        <f aca="false">('Fuel Curve Simulation'!J251*'Revenues &amp; Expenses'!$S$2/1000)</f>
        <v>42.4035905172414</v>
      </c>
      <c r="G243" s="180" t="n">
        <f aca="false">'Revenues &amp; Expenses'!$AM$5*1000*'Revenues &amp; Expenses'!O251</f>
        <v>3.44556054566507</v>
      </c>
      <c r="H243" s="204" t="n">
        <f aca="false">H242+1</f>
        <v>234</v>
      </c>
      <c r="I243" s="204" t="n">
        <f aca="false">IF(C243&gt;D243,1,0)</f>
        <v>0</v>
      </c>
      <c r="J243" s="204" t="n">
        <v>315</v>
      </c>
      <c r="K243" s="212" t="n">
        <f aca="false">IF(I243&gt;0,J243*'Revenues &amp; Expenses'!F251*16,0)</f>
        <v>0</v>
      </c>
      <c r="L243" s="211" t="n">
        <f aca="false">K243*'Revenues &amp; Expenses'!N251</f>
        <v>0</v>
      </c>
      <c r="M243" s="212"/>
      <c r="N243" s="212"/>
      <c r="AC243" s="248" t="n">
        <f aca="false">B243</f>
        <v>43952</v>
      </c>
      <c r="AD243" s="10" t="n">
        <f aca="false">AD242+1</f>
        <v>234</v>
      </c>
      <c r="AE243" s="10" t="n">
        <f aca="false">C243*L243</f>
        <v>0</v>
      </c>
      <c r="AF243" s="10" t="n">
        <f aca="false">L243</f>
        <v>0</v>
      </c>
      <c r="AG243" s="205" t="n">
        <f aca="false">IF(AF243&gt;0,AE243/AF243,0)</f>
        <v>0</v>
      </c>
      <c r="AJ243" s="10" t="n">
        <f aca="false">D243*L243</f>
        <v>0</v>
      </c>
      <c r="AK243" s="249" t="n">
        <f aca="false">IF(AF243&gt;0,AJ243/AF243,0)</f>
        <v>0</v>
      </c>
    </row>
    <row r="244" customFormat="false" ht="12.75" hidden="false" customHeight="false" outlineLevel="0" collapsed="false">
      <c r="B244" s="240" t="n">
        <f aca="false">'Revenues &amp; Expenses'!AX252</f>
        <v>43983</v>
      </c>
      <c r="C244" s="180" t="n">
        <f aca="false">'PJM Curve Simulation'!J252</f>
        <v>68.3499984741211</v>
      </c>
      <c r="D244" s="180" t="n">
        <f aca="false">F244+G244</f>
        <v>45.7940502943024</v>
      </c>
      <c r="F244" s="180" t="n">
        <f aca="false">('Fuel Curve Simulation'!J252*'Revenues &amp; Expenses'!$S$2/1000)</f>
        <v>42.3408315517242</v>
      </c>
      <c r="G244" s="180" t="n">
        <f aca="false">'Revenues &amp; Expenses'!$AM$5*1000*'Revenues &amp; Expenses'!O252</f>
        <v>3.45321874257823</v>
      </c>
      <c r="H244" s="204" t="n">
        <f aca="false">H243+1</f>
        <v>235</v>
      </c>
      <c r="I244" s="204" t="n">
        <f aca="false">IF(C244&gt;D244,1,0)</f>
        <v>1</v>
      </c>
      <c r="J244" s="204" t="n">
        <v>315</v>
      </c>
      <c r="K244" s="212" t="n">
        <f aca="false">IF(I244&gt;0,J244*'Revenues &amp; Expenses'!F252*16,0)</f>
        <v>110880</v>
      </c>
      <c r="L244" s="211" t="n">
        <f aca="false">K244*'Revenues &amp; Expenses'!N252</f>
        <v>25358.3829718999</v>
      </c>
      <c r="M244" s="212"/>
      <c r="N244" s="212"/>
      <c r="AC244" s="248" t="n">
        <f aca="false">B244</f>
        <v>43983</v>
      </c>
      <c r="AD244" s="10" t="n">
        <f aca="false">AD243+1</f>
        <v>235</v>
      </c>
      <c r="AE244" s="10" t="n">
        <f aca="false">C244*L244</f>
        <v>1733245.43743553</v>
      </c>
      <c r="AF244" s="10" t="n">
        <f aca="false">L244</f>
        <v>25358.3829718999</v>
      </c>
      <c r="AG244" s="205" t="n">
        <f aca="false">IF(AF244&gt;0,AE244/AF244,0)</f>
        <v>68.3499984741211</v>
      </c>
      <c r="AJ244" s="10" t="n">
        <f aca="false">D244*L244</f>
        <v>1161263.06519736</v>
      </c>
      <c r="AK244" s="249" t="n">
        <f aca="false">IF(AF244&gt;0,AJ244/AF244,0)</f>
        <v>45.7940502943024</v>
      </c>
    </row>
    <row r="245" customFormat="false" ht="12.75" hidden="false" customHeight="false" outlineLevel="0" collapsed="false">
      <c r="B245" s="240" t="n">
        <f aca="false">'Revenues &amp; Expenses'!AX253</f>
        <v>44013</v>
      </c>
      <c r="C245" s="180" t="n">
        <f aca="false">'PJM Curve Simulation'!J253</f>
        <v>124.949996948242</v>
      </c>
      <c r="D245" s="180" t="n">
        <f aca="false">F245+G245</f>
        <v>46.3500406849468</v>
      </c>
      <c r="F245" s="180" t="n">
        <f aca="false">('Fuel Curve Simulation'!J253*'Revenues &amp; Expenses'!$S$2/1000)</f>
        <v>42.8891467241379</v>
      </c>
      <c r="G245" s="180" t="n">
        <f aca="false">'Revenues &amp; Expenses'!$AM$5*1000*'Revenues &amp; Expenses'!O253</f>
        <v>3.46089396080886</v>
      </c>
      <c r="H245" s="204" t="n">
        <f aca="false">H244+1</f>
        <v>236</v>
      </c>
      <c r="I245" s="204" t="n">
        <f aca="false">IF(C245&gt;D245,1,0)</f>
        <v>1</v>
      </c>
      <c r="J245" s="204" t="n">
        <v>315</v>
      </c>
      <c r="K245" s="212" t="n">
        <f aca="false">IF(I245&gt;0,J245*'Revenues &amp; Expenses'!F253*16,0)</f>
        <v>110880</v>
      </c>
      <c r="L245" s="211" t="n">
        <f aca="false">K245*'Revenues &amp; Expenses'!N253</f>
        <v>25213.7551967764</v>
      </c>
      <c r="M245" s="212"/>
      <c r="N245" s="212"/>
      <c r="AC245" s="248" t="n">
        <f aca="false">B245</f>
        <v>44013</v>
      </c>
      <c r="AD245" s="10" t="n">
        <f aca="false">AD244+1</f>
        <v>236</v>
      </c>
      <c r="AE245" s="10" t="n">
        <f aca="false">C245*L245</f>
        <v>3150458.63489093</v>
      </c>
      <c r="AF245" s="10" t="n">
        <f aca="false">L245</f>
        <v>25213.7551967764</v>
      </c>
      <c r="AG245" s="205" t="n">
        <f aca="false">IF(AF245&gt;0,AE245/AF245,0)</f>
        <v>124.949996948242</v>
      </c>
      <c r="AJ245" s="10" t="n">
        <f aca="false">D245*L245</f>
        <v>1168658.57919087</v>
      </c>
      <c r="AK245" s="249" t="n">
        <f aca="false">IF(AF245&gt;0,AJ245/AF245,0)</f>
        <v>46.3500406849468</v>
      </c>
    </row>
    <row r="246" customFormat="false" ht="12.75" hidden="false" customHeight="false" outlineLevel="0" collapsed="false">
      <c r="B246" s="240" t="n">
        <f aca="false">'Revenues &amp; Expenses'!AX254</f>
        <v>44044</v>
      </c>
      <c r="C246" s="180" t="n">
        <f aca="false">'PJM Curve Simulation'!J254</f>
        <v>111.949996948242</v>
      </c>
      <c r="D246" s="180" t="n">
        <f aca="false">F246+G246</f>
        <v>47.2247976174994</v>
      </c>
      <c r="F246" s="180" t="n">
        <f aca="false">('Fuel Curve Simulation'!J254*'Revenues &amp; Expenses'!$S$2/1000)</f>
        <v>43.7562113793104</v>
      </c>
      <c r="G246" s="180" t="n">
        <f aca="false">'Revenues &amp; Expenses'!$AM$5*1000*'Revenues &amp; Expenses'!O254</f>
        <v>3.46858623818903</v>
      </c>
      <c r="H246" s="204" t="n">
        <f aca="false">H245+1</f>
        <v>237</v>
      </c>
      <c r="I246" s="204" t="n">
        <f aca="false">IF(C246&gt;D246,1,0)</f>
        <v>1</v>
      </c>
      <c r="J246" s="204" t="n">
        <v>315</v>
      </c>
      <c r="K246" s="212" t="n">
        <f aca="false">IF(I246&gt;0,J246*'Revenues &amp; Expenses'!F254*16,0)</f>
        <v>110880</v>
      </c>
      <c r="L246" s="211" t="n">
        <f aca="false">K246*'Revenues &amp; Expenses'!N254</f>
        <v>25065.2218829957</v>
      </c>
      <c r="M246" s="212"/>
      <c r="N246" s="212"/>
      <c r="AC246" s="248" t="n">
        <f aca="false">B246</f>
        <v>44044</v>
      </c>
      <c r="AD246" s="10" t="n">
        <f aca="false">AD245+1</f>
        <v>237</v>
      </c>
      <c r="AE246" s="10" t="n">
        <f aca="false">C246*L246</f>
        <v>2806051.51330838</v>
      </c>
      <c r="AF246" s="10" t="n">
        <f aca="false">L246</f>
        <v>25065.2218829957</v>
      </c>
      <c r="AG246" s="205" t="n">
        <f aca="false">IF(AF246&gt;0,AE246/AF246,0)</f>
        <v>111.949996948242</v>
      </c>
      <c r="AJ246" s="10" t="n">
        <f aca="false">D246*L246</f>
        <v>1183700.03066219</v>
      </c>
      <c r="AK246" s="249" t="n">
        <f aca="false">IF(AF246&gt;0,AJ246/AF246,0)</f>
        <v>47.2247976174994</v>
      </c>
    </row>
    <row r="247" customFormat="false" ht="12.75" hidden="false" customHeight="false" outlineLevel="0" collapsed="false">
      <c r="B247" s="240" t="n">
        <f aca="false">'Revenues &amp; Expenses'!AX255</f>
        <v>44075</v>
      </c>
      <c r="C247" s="180" t="n">
        <f aca="false">'PJM Curve Simulation'!J255</f>
        <v>39.9249984741211</v>
      </c>
      <c r="D247" s="180" t="n">
        <f aca="false">F247+G247</f>
        <v>48.1408604402211</v>
      </c>
      <c r="F247" s="180" t="n">
        <f aca="false">('Fuel Curve Simulation'!J255*'Revenues &amp; Expenses'!$S$2/1000)</f>
        <v>44.6645648275862</v>
      </c>
      <c r="G247" s="180" t="n">
        <f aca="false">'Revenues &amp; Expenses'!$AM$5*1000*'Revenues &amp; Expenses'!O255</f>
        <v>3.47629561263486</v>
      </c>
      <c r="H247" s="204" t="n">
        <f aca="false">H246+1</f>
        <v>238</v>
      </c>
      <c r="I247" s="204" t="n">
        <f aca="false">IF(C247&gt;D247,1,0)</f>
        <v>0</v>
      </c>
      <c r="J247" s="204" t="n">
        <v>315</v>
      </c>
      <c r="K247" s="212" t="n">
        <f aca="false">IF(I247&gt;0,J247*'Revenues &amp; Expenses'!F255*16,0)</f>
        <v>0</v>
      </c>
      <c r="L247" s="211" t="n">
        <f aca="false">K247*'Revenues &amp; Expenses'!N255</f>
        <v>0</v>
      </c>
      <c r="M247" s="212"/>
      <c r="N247" s="212"/>
      <c r="AC247" s="248" t="n">
        <f aca="false">B247</f>
        <v>44075</v>
      </c>
      <c r="AD247" s="10" t="n">
        <f aca="false">AD246+1</f>
        <v>238</v>
      </c>
      <c r="AE247" s="10" t="n">
        <f aca="false">C247*L247</f>
        <v>0</v>
      </c>
      <c r="AF247" s="10" t="n">
        <f aca="false">L247</f>
        <v>0</v>
      </c>
      <c r="AG247" s="205" t="n">
        <f aca="false">IF(AF247&gt;0,AE247/AF247,0)</f>
        <v>0</v>
      </c>
      <c r="AJ247" s="10" t="n">
        <f aca="false">D247*L247</f>
        <v>0</v>
      </c>
      <c r="AK247" s="249" t="n">
        <f aca="false">IF(AF247&gt;0,AJ247/AF247,0)</f>
        <v>0</v>
      </c>
    </row>
    <row r="248" customFormat="false" ht="12.75" hidden="false" customHeight="false" outlineLevel="0" collapsed="false">
      <c r="B248" s="240" t="n">
        <f aca="false">'Revenues &amp; Expenses'!AX256</f>
        <v>44105</v>
      </c>
      <c r="C248" s="180" t="n">
        <f aca="false">'PJM Curve Simulation'!J256</f>
        <v>31.8250003814697</v>
      </c>
      <c r="D248" s="180" t="n">
        <f aca="false">F248+G248</f>
        <v>49.035470225595</v>
      </c>
      <c r="F248" s="180" t="n">
        <f aca="false">('Fuel Curve Simulation'!J256*'Revenues &amp; Expenses'!$S$2/1000)</f>
        <v>45.5514481034483</v>
      </c>
      <c r="G248" s="180" t="n">
        <f aca="false">'Revenues &amp; Expenses'!$AM$5*1000*'Revenues &amp; Expenses'!O256</f>
        <v>3.48402212214676</v>
      </c>
      <c r="H248" s="204" t="n">
        <f aca="false">H247+1</f>
        <v>239</v>
      </c>
      <c r="I248" s="204" t="n">
        <f aca="false">IF(C248&gt;D248,1,0)</f>
        <v>0</v>
      </c>
      <c r="J248" s="204" t="n">
        <v>315</v>
      </c>
      <c r="K248" s="212" t="n">
        <f aca="false">IF(I248&gt;0,J248*'Revenues &amp; Expenses'!F256*16,0)</f>
        <v>0</v>
      </c>
      <c r="L248" s="211" t="n">
        <f aca="false">K248*'Revenues &amp; Expenses'!N256</f>
        <v>0</v>
      </c>
      <c r="M248" s="212"/>
      <c r="N248" s="212"/>
      <c r="AC248" s="248" t="n">
        <f aca="false">B248</f>
        <v>44105</v>
      </c>
      <c r="AD248" s="10" t="n">
        <f aca="false">AD247+1</f>
        <v>239</v>
      </c>
      <c r="AE248" s="10" t="n">
        <f aca="false">C248*L248</f>
        <v>0</v>
      </c>
      <c r="AF248" s="10" t="n">
        <f aca="false">L248</f>
        <v>0</v>
      </c>
      <c r="AG248" s="205" t="n">
        <f aca="false">IF(AF248&gt;0,AE248/AF248,0)</f>
        <v>0</v>
      </c>
      <c r="AJ248" s="10" t="n">
        <f aca="false">D248*L248</f>
        <v>0</v>
      </c>
      <c r="AK248" s="249" t="n">
        <f aca="false">IF(AF248&gt;0,AJ248/AF248,0)</f>
        <v>0</v>
      </c>
    </row>
    <row r="249" customFormat="false" ht="12.75" hidden="false" customHeight="false" outlineLevel="0" collapsed="false">
      <c r="B249" s="240" t="n">
        <f aca="false">'Revenues &amp; Expenses'!AX257</f>
        <v>44136</v>
      </c>
      <c r="C249" s="180" t="n">
        <f aca="false">'PJM Curve Simulation'!J257</f>
        <v>31.4974990844727</v>
      </c>
      <c r="D249" s="180" t="n">
        <f aca="false">F249+G249</f>
        <v>49.5155577013613</v>
      </c>
      <c r="F249" s="180" t="n">
        <f aca="false">('Fuel Curve Simulation'!J257*'Revenues &amp; Expenses'!$S$2/1000)</f>
        <v>46.0237918965517</v>
      </c>
      <c r="G249" s="180" t="n">
        <f aca="false">'Revenues &amp; Expenses'!$AM$5*1000*'Revenues &amp; Expenses'!O257</f>
        <v>3.49176580480959</v>
      </c>
      <c r="H249" s="204" t="n">
        <f aca="false">H248+1</f>
        <v>240</v>
      </c>
      <c r="I249" s="204" t="n">
        <f aca="false">IF(C249&gt;D249,1,0)</f>
        <v>0</v>
      </c>
      <c r="J249" s="204" t="n">
        <v>315</v>
      </c>
      <c r="K249" s="212" t="n">
        <f aca="false">IF(I249&gt;0,J249*'Revenues &amp; Expenses'!F257*16,0)</f>
        <v>0</v>
      </c>
      <c r="L249" s="211" t="n">
        <f aca="false">K249*'Revenues &amp; Expenses'!N257</f>
        <v>0</v>
      </c>
      <c r="M249" s="212"/>
      <c r="N249" s="212"/>
      <c r="AC249" s="248" t="n">
        <f aca="false">B249</f>
        <v>44136</v>
      </c>
      <c r="AD249" s="10" t="n">
        <f aca="false">AD248+1</f>
        <v>240</v>
      </c>
      <c r="AE249" s="10" t="n">
        <f aca="false">C249*L249</f>
        <v>0</v>
      </c>
      <c r="AF249" s="10" t="n">
        <f aca="false">L249</f>
        <v>0</v>
      </c>
      <c r="AG249" s="205" t="n">
        <f aca="false">IF(AF249&gt;0,AE249/AF249,0)</f>
        <v>0</v>
      </c>
      <c r="AJ249" s="10" t="n">
        <f aca="false">D249*L249</f>
        <v>0</v>
      </c>
      <c r="AK249" s="249" t="n">
        <f aca="false">IF(AF249&gt;0,AJ249/AF249,0)</f>
        <v>0</v>
      </c>
    </row>
    <row r="250" customFormat="false" ht="12.75" hidden="false" customHeight="false" outlineLevel="0" collapsed="false">
      <c r="B250" s="240" t="n">
        <f aca="false">'Revenues &amp; Expenses'!AX258</f>
        <v>44166</v>
      </c>
      <c r="C250" s="180" t="n">
        <f aca="false">'PJM Curve Simulation'!J258</f>
        <v>33.2499996185303</v>
      </c>
      <c r="D250" s="180" t="n">
        <f aca="false">F250+G250</f>
        <v>49.9329034229308</v>
      </c>
      <c r="F250" s="180" t="n">
        <f aca="false">('Fuel Curve Simulation'!J258*'Revenues &amp; Expenses'!$S$2/1000)</f>
        <v>46.4333767241379</v>
      </c>
      <c r="G250" s="180" t="n">
        <f aca="false">'Revenues &amp; Expenses'!$AM$5*1000*'Revenues &amp; Expenses'!O258</f>
        <v>3.49952669879286</v>
      </c>
      <c r="H250" s="204" t="n">
        <f aca="false">H249+1</f>
        <v>241</v>
      </c>
      <c r="I250" s="204" t="n">
        <f aca="false">IF(C250&gt;D250,1,0)</f>
        <v>0</v>
      </c>
      <c r="J250" s="204" t="n">
        <v>315</v>
      </c>
      <c r="K250" s="212" t="n">
        <f aca="false">IF(I250&gt;0,J250*'Revenues &amp; Expenses'!F258*16,0)</f>
        <v>0</v>
      </c>
      <c r="L250" s="211" t="n">
        <f aca="false">K250*'Revenues &amp; Expenses'!N258</f>
        <v>0</v>
      </c>
      <c r="M250" s="212" t="n">
        <f aca="false">SUM(L239:L250)</f>
        <v>75637.3600516719</v>
      </c>
      <c r="N250" s="212" t="n">
        <f aca="false">SUM(K239:K250)</f>
        <v>332640</v>
      </c>
      <c r="AC250" s="248" t="n">
        <f aca="false">B250</f>
        <v>44166</v>
      </c>
      <c r="AD250" s="10" t="n">
        <f aca="false">AD249+1</f>
        <v>241</v>
      </c>
      <c r="AE250" s="10" t="n">
        <f aca="false">C250*L250</f>
        <v>0</v>
      </c>
      <c r="AF250" s="10" t="n">
        <f aca="false">L250</f>
        <v>0</v>
      </c>
      <c r="AG250" s="205" t="n">
        <f aca="false">IF(AF250&gt;0,AE250/AF250,0)</f>
        <v>0</v>
      </c>
      <c r="AH250" s="205" t="n">
        <f aca="false">IF(SUM(AF239:AF250)=0,0,SUM(AE239:AE250)/SUM(AF239:AF250))</f>
        <v>101.666102312159</v>
      </c>
      <c r="AJ250" s="10" t="n">
        <f aca="false">D250*L250</f>
        <v>0</v>
      </c>
      <c r="AK250" s="249" t="n">
        <f aca="false">IF(AF250&gt;0,AJ250/AF250,0)</f>
        <v>0</v>
      </c>
      <c r="AL250" s="249" t="n">
        <f aca="false">IF(SUM(AF239:AF250)=0,0,SUM(AJ239:AJ250)/SUM(AF239:AF250))</f>
        <v>46.4535207554849</v>
      </c>
    </row>
    <row r="251" customFormat="false" ht="12.75" hidden="false" customHeight="false" outlineLevel="0" collapsed="false">
      <c r="B251" s="240"/>
      <c r="K251" s="211"/>
      <c r="L251" s="211"/>
      <c r="M251" s="211"/>
      <c r="N251" s="212"/>
    </row>
    <row r="252" customFormat="false" ht="12.75" hidden="false" customHeight="false" outlineLevel="0" collapsed="false">
      <c r="B252" s="240"/>
      <c r="K252" s="212"/>
      <c r="M252" s="212"/>
      <c r="N252" s="212"/>
    </row>
    <row r="253" customFormat="false" ht="12.75" hidden="false" customHeight="false" outlineLevel="0" collapsed="false">
      <c r="B253" s="240"/>
      <c r="M253" s="212"/>
      <c r="N253" s="212"/>
    </row>
    <row r="254" customFormat="false" ht="12.75" hidden="false" customHeight="false" outlineLevel="0" collapsed="false">
      <c r="M254" s="212"/>
      <c r="N254" s="212"/>
    </row>
    <row r="255" customFormat="false" ht="12.75" hidden="false" customHeight="false" outlineLevel="0" collapsed="false">
      <c r="M255" s="212"/>
      <c r="N255" s="212"/>
    </row>
    <row r="256" customFormat="false" ht="12.75" hidden="false" customHeight="false" outlineLevel="0" collapsed="false">
      <c r="M256" s="212"/>
      <c r="N256" s="212"/>
    </row>
    <row r="257" customFormat="false" ht="12.75" hidden="false" customHeight="false" outlineLevel="0" collapsed="false">
      <c r="M257" s="212"/>
      <c r="N257" s="212"/>
    </row>
    <row r="258" customFormat="false" ht="12.75" hidden="false" customHeight="false" outlineLevel="0" collapsed="false">
      <c r="M258" s="212"/>
      <c r="N258" s="212"/>
    </row>
    <row r="259" customFormat="false" ht="12.75" hidden="false" customHeight="false" outlineLevel="0" collapsed="false">
      <c r="M259" s="212"/>
      <c r="N259" s="212"/>
    </row>
    <row r="260" customFormat="false" ht="12.75" hidden="false" customHeight="false" outlineLevel="0" collapsed="false">
      <c r="M260" s="212"/>
      <c r="N260" s="212"/>
    </row>
    <row r="261" customFormat="false" ht="12.75" hidden="false" customHeight="false" outlineLevel="0" collapsed="false">
      <c r="M261" s="212"/>
      <c r="N261" s="212"/>
    </row>
    <row r="262" customFormat="false" ht="12.75" hidden="false" customHeight="false" outlineLevel="0" collapsed="false">
      <c r="M262" s="212"/>
      <c r="N262" s="212"/>
      <c r="AL262" s="249"/>
    </row>
    <row r="263" customFormat="false" ht="12.75" hidden="false" customHeight="false" outlineLevel="0" collapsed="false">
      <c r="M263" s="212"/>
      <c r="N263" s="212"/>
    </row>
    <row r="264" customFormat="false" ht="12.75" hidden="false" customHeight="false" outlineLevel="0" collapsed="false">
      <c r="M264" s="212"/>
      <c r="N264" s="212"/>
    </row>
    <row r="265" customFormat="false" ht="12.75" hidden="false" customHeight="false" outlineLevel="0" collapsed="false">
      <c r="M265" s="212"/>
      <c r="N265" s="212"/>
    </row>
    <row r="266" customFormat="false" ht="12.75" hidden="false" customHeight="false" outlineLevel="0" collapsed="false">
      <c r="M266" s="212"/>
      <c r="N266" s="212"/>
    </row>
    <row r="267" customFormat="false" ht="12.75" hidden="false" customHeight="false" outlineLevel="0" collapsed="false">
      <c r="M267" s="212"/>
      <c r="N267" s="212"/>
    </row>
    <row r="268" customFormat="false" ht="12.75" hidden="false" customHeight="false" outlineLevel="0" collapsed="false">
      <c r="M268" s="212"/>
      <c r="N268" s="212"/>
    </row>
    <row r="269" customFormat="false" ht="12.75" hidden="false" customHeight="false" outlineLevel="0" collapsed="false">
      <c r="M269" s="212"/>
      <c r="N269" s="212"/>
    </row>
    <row r="270" customFormat="false" ht="12.75" hidden="false" customHeight="false" outlineLevel="0" collapsed="false">
      <c r="M270" s="212"/>
      <c r="N270" s="212"/>
    </row>
    <row r="271" customFormat="false" ht="12.75" hidden="false" customHeight="false" outlineLevel="0" collapsed="false">
      <c r="M271" s="212"/>
      <c r="N271" s="212"/>
    </row>
    <row r="272" customFormat="false" ht="12.75" hidden="false" customHeight="false" outlineLevel="0" collapsed="false">
      <c r="M272" s="212"/>
      <c r="N272" s="212"/>
    </row>
    <row r="273" customFormat="false" ht="12.75" hidden="false" customHeight="false" outlineLevel="0" collapsed="false">
      <c r="M273" s="212"/>
      <c r="N273" s="212"/>
    </row>
    <row r="274" customFormat="false" ht="12.75" hidden="false" customHeight="false" outlineLevel="0" collapsed="false">
      <c r="M274" s="212"/>
      <c r="N274" s="212"/>
      <c r="AL274" s="249"/>
    </row>
    <row r="275" customFormat="false" ht="12.75" hidden="false" customHeight="false" outlineLevel="0" collapsed="false">
      <c r="M275" s="212"/>
      <c r="N275" s="212"/>
    </row>
    <row r="276" customFormat="false" ht="12.75" hidden="false" customHeight="false" outlineLevel="0" collapsed="false">
      <c r="M276" s="212"/>
      <c r="N276" s="212"/>
    </row>
    <row r="277" customFormat="false" ht="12.75" hidden="false" customHeight="false" outlineLevel="0" collapsed="false">
      <c r="M277" s="212"/>
      <c r="N277" s="212"/>
    </row>
    <row r="278" customFormat="false" ht="12.75" hidden="false" customHeight="false" outlineLevel="0" collapsed="false">
      <c r="M278" s="212"/>
      <c r="N278" s="212"/>
    </row>
    <row r="279" customFormat="false" ht="12.75" hidden="false" customHeight="false" outlineLevel="0" collapsed="false">
      <c r="M279" s="212"/>
      <c r="N279" s="212"/>
    </row>
    <row r="280" customFormat="false" ht="12.75" hidden="false" customHeight="false" outlineLevel="0" collapsed="false">
      <c r="M280" s="212"/>
      <c r="N280" s="212"/>
    </row>
    <row r="281" customFormat="false" ht="12.75" hidden="false" customHeight="false" outlineLevel="0" collapsed="false">
      <c r="M281" s="212"/>
      <c r="N281" s="212"/>
    </row>
    <row r="282" customFormat="false" ht="12.75" hidden="false" customHeight="false" outlineLevel="0" collapsed="false">
      <c r="M282" s="212"/>
      <c r="N282" s="212"/>
    </row>
    <row r="283" customFormat="false" ht="12.75" hidden="false" customHeight="false" outlineLevel="0" collapsed="false">
      <c r="M283" s="212"/>
      <c r="N283" s="212"/>
    </row>
    <row r="284" customFormat="false" ht="12.75" hidden="false" customHeight="false" outlineLevel="0" collapsed="false">
      <c r="M284" s="212"/>
      <c r="N284" s="212"/>
    </row>
    <row r="285" customFormat="false" ht="12.75" hidden="false" customHeight="false" outlineLevel="0" collapsed="false">
      <c r="M285" s="212"/>
      <c r="N285" s="212"/>
    </row>
    <row r="286" customFormat="false" ht="12.75" hidden="false" customHeight="false" outlineLevel="0" collapsed="false">
      <c r="M286" s="212"/>
      <c r="N286" s="212"/>
      <c r="AL286" s="249"/>
    </row>
    <row r="287" customFormat="false" ht="12.75" hidden="false" customHeight="false" outlineLevel="0" collapsed="false">
      <c r="M287" s="212"/>
      <c r="N287" s="212"/>
    </row>
    <row r="288" customFormat="false" ht="12.75" hidden="false" customHeight="false" outlineLevel="0" collapsed="false">
      <c r="M288" s="212"/>
      <c r="N288" s="212"/>
    </row>
    <row r="289" customFormat="false" ht="12.75" hidden="false" customHeight="false" outlineLevel="0" collapsed="false">
      <c r="M289" s="212"/>
      <c r="N289" s="212"/>
    </row>
    <row r="290" customFormat="false" ht="12.75" hidden="false" customHeight="false" outlineLevel="0" collapsed="false">
      <c r="M290" s="212"/>
      <c r="N290" s="212"/>
    </row>
    <row r="291" customFormat="false" ht="12.75" hidden="false" customHeight="false" outlineLevel="0" collapsed="false">
      <c r="M291" s="212"/>
      <c r="N291" s="212"/>
    </row>
    <row r="292" customFormat="false" ht="12.75" hidden="false" customHeight="false" outlineLevel="0" collapsed="false">
      <c r="M292" s="212"/>
      <c r="N292" s="212"/>
    </row>
    <row r="293" customFormat="false" ht="12.75" hidden="false" customHeight="false" outlineLevel="0" collapsed="false">
      <c r="M293" s="212"/>
      <c r="N293" s="212"/>
    </row>
    <row r="294" customFormat="false" ht="12.75" hidden="false" customHeight="false" outlineLevel="0" collapsed="false">
      <c r="M294" s="212"/>
      <c r="N294" s="212"/>
    </row>
    <row r="295" customFormat="false" ht="12.75" hidden="false" customHeight="false" outlineLevel="0" collapsed="false">
      <c r="M295" s="212"/>
      <c r="N295" s="212"/>
    </row>
    <row r="296" customFormat="false" ht="12.75" hidden="false" customHeight="false" outlineLevel="0" collapsed="false">
      <c r="M296" s="212"/>
      <c r="N296" s="212"/>
    </row>
    <row r="297" customFormat="false" ht="12.75" hidden="false" customHeight="false" outlineLevel="0" collapsed="false">
      <c r="M297" s="212"/>
      <c r="N297" s="212"/>
    </row>
    <row r="298" customFormat="false" ht="12.75" hidden="false" customHeight="false" outlineLevel="0" collapsed="false">
      <c r="M298" s="212"/>
      <c r="N298" s="212"/>
      <c r="AL298" s="249"/>
    </row>
    <row r="299" customFormat="false" ht="12.75" hidden="false" customHeight="false" outlineLevel="0" collapsed="false">
      <c r="M299" s="212"/>
    </row>
    <row r="300" customFormat="false" ht="12.75" hidden="false" customHeight="false" outlineLevel="0" collapsed="false">
      <c r="M300" s="212"/>
    </row>
    <row r="301" customFormat="false" ht="12.75" hidden="false" customHeight="false" outlineLevel="0" collapsed="false">
      <c r="M301" s="212"/>
    </row>
    <row r="302" customFormat="false" ht="12.75" hidden="false" customHeight="false" outlineLevel="0" collapsed="false">
      <c r="M302" s="212"/>
    </row>
    <row r="303" customFormat="false" ht="12.75" hidden="false" customHeight="false" outlineLevel="0" collapsed="false">
      <c r="M303" s="212"/>
    </row>
    <row r="304" customFormat="false" ht="12.75" hidden="false" customHeight="false" outlineLevel="0" collapsed="false">
      <c r="M304" s="212"/>
    </row>
    <row r="305" customFormat="false" ht="12.75" hidden="false" customHeight="false" outlineLevel="0" collapsed="false">
      <c r="M305" s="212"/>
    </row>
    <row r="306" customFormat="false" ht="12.75" hidden="false" customHeight="false" outlineLevel="0" collapsed="false">
      <c r="M306" s="212"/>
    </row>
    <row r="307" customFormat="false" ht="12.75" hidden="false" customHeight="false" outlineLevel="0" collapsed="false">
      <c r="M307" s="212"/>
    </row>
    <row r="308" customFormat="false" ht="12.75" hidden="false" customHeight="false" outlineLevel="0" collapsed="false">
      <c r="M308" s="212"/>
    </row>
    <row r="309" customFormat="false" ht="12.75" hidden="false" customHeight="false" outlineLevel="0" collapsed="false">
      <c r="M309" s="212"/>
    </row>
    <row r="310" customFormat="false" ht="12.75" hidden="false" customHeight="false" outlineLevel="0" collapsed="false">
      <c r="M310" s="212"/>
    </row>
    <row r="311" customFormat="false" ht="12.75" hidden="false" customHeight="false" outlineLevel="0" collapsed="false">
      <c r="M311" s="212"/>
    </row>
    <row r="312" customFormat="false" ht="12.75" hidden="false" customHeight="false" outlineLevel="0" collapsed="false">
      <c r="M312" s="212"/>
    </row>
    <row r="313" customFormat="false" ht="12.75" hidden="false" customHeight="false" outlineLevel="0" collapsed="false">
      <c r="M313" s="212"/>
    </row>
    <row r="314" customFormat="false" ht="12.75" hidden="false" customHeight="false" outlineLevel="0" collapsed="false">
      <c r="M314" s="212"/>
    </row>
    <row r="315" customFormat="false" ht="12.75" hidden="false" customHeight="false" outlineLevel="0" collapsed="false">
      <c r="M315" s="212"/>
    </row>
    <row r="316" customFormat="false" ht="12.75" hidden="false" customHeight="false" outlineLevel="0" collapsed="false">
      <c r="M316" s="212"/>
    </row>
    <row r="317" customFormat="false" ht="12.75" hidden="false" customHeight="false" outlineLevel="0" collapsed="false">
      <c r="M317" s="212"/>
    </row>
    <row r="318" customFormat="false" ht="12.75" hidden="false" customHeight="false" outlineLevel="0" collapsed="false">
      <c r="M318" s="212"/>
    </row>
    <row r="319" customFormat="false" ht="12.75" hidden="false" customHeight="false" outlineLevel="0" collapsed="false">
      <c r="M319" s="212"/>
    </row>
    <row r="320" customFormat="false" ht="12.75" hidden="false" customHeight="false" outlineLevel="0" collapsed="false">
      <c r="M320" s="212"/>
    </row>
    <row r="321" customFormat="false" ht="12.75" hidden="false" customHeight="false" outlineLevel="0" collapsed="false">
      <c r="M321" s="212"/>
    </row>
    <row r="322" customFormat="false" ht="12.75" hidden="false" customHeight="false" outlineLevel="0" collapsed="false">
      <c r="M322" s="212"/>
    </row>
    <row r="323" customFormat="false" ht="12.75" hidden="false" customHeight="false" outlineLevel="0" collapsed="false">
      <c r="M323" s="212"/>
    </row>
    <row r="324" customFormat="false" ht="12.75" hidden="false" customHeight="false" outlineLevel="0" collapsed="false">
      <c r="M324" s="212"/>
    </row>
    <row r="325" customFormat="false" ht="12.75" hidden="false" customHeight="false" outlineLevel="0" collapsed="false">
      <c r="M325" s="212"/>
    </row>
    <row r="326" customFormat="false" ht="12.75" hidden="false" customHeight="false" outlineLevel="0" collapsed="false">
      <c r="M326" s="212"/>
    </row>
    <row r="327" customFormat="false" ht="12.75" hidden="false" customHeight="false" outlineLevel="0" collapsed="false">
      <c r="M327" s="212"/>
    </row>
    <row r="328" customFormat="false" ht="12.75" hidden="false" customHeight="false" outlineLevel="0" collapsed="false">
      <c r="M328" s="212"/>
    </row>
    <row r="329" customFormat="false" ht="12.75" hidden="false" customHeight="false" outlineLevel="0" collapsed="false">
      <c r="M329" s="212"/>
    </row>
    <row r="330" customFormat="false" ht="12.75" hidden="false" customHeight="false" outlineLevel="0" collapsed="false">
      <c r="M330" s="212"/>
    </row>
    <row r="331" customFormat="false" ht="12.75" hidden="false" customHeight="false" outlineLevel="0" collapsed="false">
      <c r="M331" s="212"/>
    </row>
    <row r="332" customFormat="false" ht="12.75" hidden="false" customHeight="false" outlineLevel="0" collapsed="false">
      <c r="M332" s="212"/>
    </row>
    <row r="333" customFormat="false" ht="12.75" hidden="false" customHeight="false" outlineLevel="0" collapsed="false">
      <c r="M333" s="212"/>
    </row>
    <row r="334" customFormat="false" ht="12.75" hidden="false" customHeight="false" outlineLevel="0" collapsed="false">
      <c r="M334" s="212"/>
    </row>
    <row r="335" customFormat="false" ht="12.75" hidden="false" customHeight="false" outlineLevel="0" collapsed="false">
      <c r="M335" s="212"/>
    </row>
    <row r="336" customFormat="false" ht="12.75" hidden="false" customHeight="false" outlineLevel="0" collapsed="false">
      <c r="M336" s="212"/>
    </row>
    <row r="337" customFormat="false" ht="12.75" hidden="false" customHeight="false" outlineLevel="0" collapsed="false">
      <c r="M337" s="212"/>
    </row>
    <row r="338" customFormat="false" ht="12.75" hidden="false" customHeight="false" outlineLevel="0" collapsed="false">
      <c r="M338" s="212"/>
    </row>
    <row r="339" customFormat="false" ht="12.75" hidden="false" customHeight="false" outlineLevel="0" collapsed="false">
      <c r="M339" s="212"/>
    </row>
    <row r="340" customFormat="false" ht="12.75" hidden="false" customHeight="false" outlineLevel="0" collapsed="false">
      <c r="M340" s="212"/>
    </row>
    <row r="341" customFormat="false" ht="12.75" hidden="false" customHeight="false" outlineLevel="0" collapsed="false">
      <c r="M341" s="212"/>
    </row>
    <row r="342" customFormat="false" ht="12.75" hidden="false" customHeight="false" outlineLevel="0" collapsed="false">
      <c r="M342" s="212"/>
    </row>
    <row r="343" customFormat="false" ht="12.75" hidden="false" customHeight="false" outlineLevel="0" collapsed="false">
      <c r="M343" s="212"/>
    </row>
    <row r="344" customFormat="false" ht="12.75" hidden="false" customHeight="false" outlineLevel="0" collapsed="false">
      <c r="M344" s="212"/>
    </row>
    <row r="345" customFormat="false" ht="12.75" hidden="false" customHeight="false" outlineLevel="0" collapsed="false">
      <c r="M345" s="212"/>
    </row>
    <row r="346" customFormat="false" ht="12.75" hidden="false" customHeight="false" outlineLevel="0" collapsed="false">
      <c r="M346" s="212"/>
    </row>
    <row r="347" customFormat="false" ht="12.75" hidden="false" customHeight="false" outlineLevel="0" collapsed="false">
      <c r="M347" s="212"/>
    </row>
    <row r="348" customFormat="false" ht="12.75" hidden="false" customHeight="false" outlineLevel="0" collapsed="false">
      <c r="M348" s="212"/>
    </row>
    <row r="349" customFormat="false" ht="12.75" hidden="false" customHeight="false" outlineLevel="0" collapsed="false">
      <c r="M349" s="212"/>
    </row>
    <row r="350" customFormat="false" ht="12.75" hidden="false" customHeight="false" outlineLevel="0" collapsed="false">
      <c r="M350" s="212"/>
    </row>
    <row r="351" customFormat="false" ht="12.75" hidden="false" customHeight="false" outlineLevel="0" collapsed="false">
      <c r="M351" s="212"/>
    </row>
    <row r="352" customFormat="false" ht="12.75" hidden="false" customHeight="false" outlineLevel="0" collapsed="false">
      <c r="M352" s="212"/>
    </row>
    <row r="353" customFormat="false" ht="12.75" hidden="false" customHeight="false" outlineLevel="0" collapsed="false">
      <c r="M353" s="212"/>
    </row>
    <row r="354" customFormat="false" ht="12.75" hidden="false" customHeight="false" outlineLevel="0" collapsed="false">
      <c r="M354" s="212"/>
    </row>
    <row r="355" customFormat="false" ht="12.75" hidden="false" customHeight="false" outlineLevel="0" collapsed="false">
      <c r="M355" s="212"/>
    </row>
    <row r="356" customFormat="false" ht="12.75" hidden="false" customHeight="false" outlineLevel="0" collapsed="false">
      <c r="M356" s="212"/>
    </row>
    <row r="357" customFormat="false" ht="12.75" hidden="false" customHeight="false" outlineLevel="0" collapsed="false">
      <c r="M357" s="212"/>
    </row>
    <row r="358" customFormat="false" ht="12.75" hidden="false" customHeight="false" outlineLevel="0" collapsed="false">
      <c r="M358" s="212"/>
    </row>
    <row r="359" customFormat="false" ht="12.75" hidden="false" customHeight="false" outlineLevel="0" collapsed="false">
      <c r="M359" s="212"/>
    </row>
    <row r="360" customFormat="false" ht="12.75" hidden="false" customHeight="false" outlineLevel="0" collapsed="false">
      <c r="M360" s="212"/>
    </row>
    <row r="361" customFormat="false" ht="12.75" hidden="false" customHeight="false" outlineLevel="0" collapsed="false">
      <c r="M361" s="212"/>
    </row>
    <row r="362" customFormat="false" ht="12.75" hidden="false" customHeight="false" outlineLevel="0" collapsed="false">
      <c r="M362" s="212"/>
    </row>
    <row r="363" customFormat="false" ht="12.75" hidden="false" customHeight="false" outlineLevel="0" collapsed="false">
      <c r="M363" s="212"/>
    </row>
    <row r="364" customFormat="false" ht="12.75" hidden="false" customHeight="false" outlineLevel="0" collapsed="false">
      <c r="M364" s="212"/>
    </row>
    <row r="365" customFormat="false" ht="12.75" hidden="false" customHeight="false" outlineLevel="0" collapsed="false">
      <c r="M365" s="212"/>
    </row>
    <row r="366" customFormat="false" ht="12.75" hidden="false" customHeight="false" outlineLevel="0" collapsed="false">
      <c r="M366" s="212"/>
    </row>
    <row r="367" customFormat="false" ht="12.75" hidden="false" customHeight="false" outlineLevel="0" collapsed="false">
      <c r="M367" s="212"/>
    </row>
    <row r="368" customFormat="false" ht="12.75" hidden="false" customHeight="false" outlineLevel="0" collapsed="false">
      <c r="M368" s="212"/>
    </row>
    <row r="369" customFormat="false" ht="12.75" hidden="false" customHeight="false" outlineLevel="0" collapsed="false">
      <c r="M369" s="212"/>
    </row>
    <row r="370" customFormat="false" ht="12.75" hidden="false" customHeight="false" outlineLevel="0" collapsed="false">
      <c r="M370" s="212"/>
    </row>
    <row r="371" customFormat="false" ht="12.75" hidden="false" customHeight="false" outlineLevel="0" collapsed="false">
      <c r="M371" s="212"/>
    </row>
    <row r="372" customFormat="false" ht="12.75" hidden="false" customHeight="false" outlineLevel="0" collapsed="false">
      <c r="M372" s="212"/>
    </row>
    <row r="373" customFormat="false" ht="12.75" hidden="false" customHeight="false" outlineLevel="0" collapsed="false">
      <c r="M373" s="212"/>
    </row>
    <row r="374" customFormat="false" ht="12.75" hidden="false" customHeight="false" outlineLevel="0" collapsed="false">
      <c r="M374" s="212"/>
    </row>
    <row r="375" customFormat="false" ht="12.75" hidden="false" customHeight="false" outlineLevel="0" collapsed="false">
      <c r="M375" s="212"/>
    </row>
    <row r="376" customFormat="false" ht="12.75" hidden="false" customHeight="false" outlineLevel="0" collapsed="false">
      <c r="M376" s="212"/>
    </row>
    <row r="377" customFormat="false" ht="12.75" hidden="false" customHeight="false" outlineLevel="0" collapsed="false">
      <c r="M377" s="212"/>
    </row>
    <row r="378" customFormat="false" ht="12.75" hidden="false" customHeight="false" outlineLevel="0" collapsed="false">
      <c r="M378" s="212"/>
    </row>
    <row r="379" customFormat="false" ht="12.75" hidden="false" customHeight="false" outlineLevel="0" collapsed="false">
      <c r="M379" s="212"/>
    </row>
    <row r="380" customFormat="false" ht="12.75" hidden="false" customHeight="false" outlineLevel="0" collapsed="false">
      <c r="M380" s="212"/>
    </row>
    <row r="381" customFormat="false" ht="12.75" hidden="false" customHeight="false" outlineLevel="0" collapsed="false">
      <c r="M381" s="212"/>
    </row>
    <row r="382" customFormat="false" ht="12.75" hidden="false" customHeight="false" outlineLevel="0" collapsed="false">
      <c r="M382" s="212"/>
    </row>
    <row r="383" customFormat="false" ht="12.75" hidden="false" customHeight="false" outlineLevel="0" collapsed="false">
      <c r="M383" s="212"/>
    </row>
    <row r="384" customFormat="false" ht="12.75" hidden="false" customHeight="false" outlineLevel="0" collapsed="false">
      <c r="M384" s="212"/>
    </row>
    <row r="385" customFormat="false" ht="12.75" hidden="false" customHeight="false" outlineLevel="0" collapsed="false">
      <c r="M385" s="212"/>
    </row>
    <row r="386" customFormat="false" ht="12.75" hidden="false" customHeight="false" outlineLevel="0" collapsed="false">
      <c r="M386" s="212"/>
    </row>
    <row r="387" customFormat="false" ht="12.75" hidden="false" customHeight="false" outlineLevel="0" collapsed="false">
      <c r="M387" s="212"/>
    </row>
    <row r="388" customFormat="false" ht="12.75" hidden="false" customHeight="false" outlineLevel="0" collapsed="false">
      <c r="M388" s="212"/>
    </row>
    <row r="389" customFormat="false" ht="12.75" hidden="false" customHeight="false" outlineLevel="0" collapsed="false">
      <c r="M389" s="212"/>
    </row>
    <row r="390" customFormat="false" ht="12.75" hidden="false" customHeight="false" outlineLevel="0" collapsed="false">
      <c r="M390" s="212"/>
    </row>
    <row r="391" customFormat="false" ht="12.75" hidden="false" customHeight="false" outlineLevel="0" collapsed="false">
      <c r="M391" s="212"/>
    </row>
    <row r="392" customFormat="false" ht="12.75" hidden="false" customHeight="false" outlineLevel="0" collapsed="false">
      <c r="M392" s="212"/>
    </row>
    <row r="393" customFormat="false" ht="12.75" hidden="false" customHeight="false" outlineLevel="0" collapsed="false">
      <c r="M393" s="212"/>
    </row>
    <row r="394" customFormat="false" ht="12.75" hidden="false" customHeight="false" outlineLevel="0" collapsed="false">
      <c r="M394" s="2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2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37" activeCellId="0" sqref="F37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260" width="9.14"/>
    <col collapsed="false" customWidth="true" hidden="false" outlineLevel="0" max="2" min="2" style="261" width="29.28"/>
    <col collapsed="false" customWidth="true" hidden="false" outlineLevel="0" max="3" min="3" style="262" width="12.14"/>
    <col collapsed="false" customWidth="true" hidden="false" outlineLevel="0" max="4" min="4" style="260" width="1.13"/>
    <col collapsed="false" customWidth="true" hidden="false" outlineLevel="0" max="5" min="5" style="260" width="1.28"/>
    <col collapsed="false" customWidth="true" hidden="false" outlineLevel="0" max="6" min="6" style="260" width="10.28"/>
    <col collapsed="false" customWidth="true" hidden="false" outlineLevel="0" max="7" min="7" style="260" width="3.28"/>
    <col collapsed="false" customWidth="true" hidden="false" outlineLevel="0" max="8" min="8" style="260" width="10.13"/>
    <col collapsed="false" customWidth="true" hidden="false" outlineLevel="0" max="9" min="9" style="260" width="12.85"/>
    <col collapsed="false" customWidth="true" hidden="false" outlineLevel="0" max="10" min="10" style="260" width="9.41"/>
    <col collapsed="false" customWidth="true" hidden="false" outlineLevel="0" max="11" min="11" style="260" width="0.85"/>
    <col collapsed="false" customWidth="true" hidden="false" outlineLevel="0" max="13" min="12" style="260" width="12.28"/>
    <col collapsed="false" customWidth="true" hidden="false" outlineLevel="0" max="14" min="14" style="260" width="13.41"/>
    <col collapsed="false" customWidth="true" hidden="false" outlineLevel="0" max="15" min="15" style="260" width="0.85"/>
    <col collapsed="false" customWidth="true" hidden="false" outlineLevel="0" max="16" min="16" style="260" width="14.28"/>
    <col collapsed="false" customWidth="true" hidden="false" outlineLevel="0" max="18" min="17" style="260" width="0.7"/>
    <col collapsed="false" customWidth="false" hidden="false" outlineLevel="0" max="20" min="19" style="260" width="9.14"/>
    <col collapsed="false" customWidth="false" hidden="false" outlineLevel="0" max="24" min="21" style="263" width="9.14"/>
    <col collapsed="false" customWidth="false" hidden="false" outlineLevel="0" max="257" min="25" style="260" width="9.14"/>
  </cols>
  <sheetData>
    <row r="2" customFormat="false" ht="20.25" hidden="false" customHeight="false" outlineLevel="0" collapsed="false">
      <c r="A2" s="264"/>
      <c r="B2" s="265" t="s">
        <v>119</v>
      </c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4"/>
      <c r="T2" s="264"/>
      <c r="U2" s="266"/>
      <c r="V2" s="266"/>
      <c r="W2" s="266"/>
      <c r="X2" s="266"/>
      <c r="Y2" s="264"/>
      <c r="Z2" s="264"/>
      <c r="AA2" s="264"/>
      <c r="AB2" s="264"/>
      <c r="AC2" s="264"/>
      <c r="AD2" s="264"/>
      <c r="AE2" s="264"/>
      <c r="AF2" s="264"/>
      <c r="AG2" s="264"/>
      <c r="AH2" s="264"/>
      <c r="AI2" s="264"/>
      <c r="AJ2" s="264"/>
      <c r="AK2" s="264"/>
      <c r="AL2" s="264"/>
      <c r="AM2" s="264"/>
      <c r="AN2" s="264"/>
      <c r="AO2" s="264"/>
      <c r="AP2" s="264"/>
      <c r="AQ2" s="264"/>
      <c r="AR2" s="264"/>
      <c r="AS2" s="264"/>
      <c r="AT2" s="264"/>
      <c r="AU2" s="264"/>
      <c r="AV2" s="264"/>
      <c r="AW2" s="264"/>
      <c r="AX2" s="264"/>
      <c r="AY2" s="264"/>
      <c r="AZ2" s="264"/>
      <c r="BA2" s="264"/>
      <c r="BB2" s="264"/>
      <c r="BC2" s="264"/>
      <c r="BD2" s="264"/>
      <c r="BE2" s="264"/>
      <c r="BF2" s="264"/>
      <c r="BG2" s="264"/>
      <c r="BH2" s="264"/>
      <c r="BI2" s="264"/>
      <c r="BJ2" s="264"/>
      <c r="BK2" s="264"/>
      <c r="BL2" s="264"/>
      <c r="BM2" s="264"/>
      <c r="BN2" s="264"/>
      <c r="BO2" s="264"/>
      <c r="BP2" s="264"/>
      <c r="BQ2" s="264"/>
      <c r="BR2" s="264"/>
      <c r="BS2" s="264"/>
      <c r="BT2" s="264"/>
      <c r="BU2" s="264"/>
      <c r="BV2" s="264"/>
      <c r="BW2" s="264"/>
      <c r="BX2" s="264"/>
      <c r="BY2" s="264"/>
      <c r="BZ2" s="264"/>
      <c r="CA2" s="264"/>
      <c r="CB2" s="264"/>
      <c r="CC2" s="264"/>
      <c r="CD2" s="264"/>
      <c r="CE2" s="264"/>
      <c r="CF2" s="264"/>
      <c r="CG2" s="264"/>
      <c r="CH2" s="264"/>
      <c r="CI2" s="264"/>
      <c r="CJ2" s="264"/>
      <c r="CK2" s="264"/>
      <c r="CL2" s="264"/>
      <c r="CM2" s="264"/>
      <c r="CN2" s="264"/>
      <c r="CO2" s="264"/>
      <c r="CP2" s="264"/>
      <c r="CQ2" s="264"/>
      <c r="CR2" s="264"/>
      <c r="CS2" s="264"/>
      <c r="CT2" s="264"/>
      <c r="CU2" s="264"/>
      <c r="CV2" s="264"/>
      <c r="CW2" s="264"/>
      <c r="CX2" s="264"/>
      <c r="CY2" s="264"/>
      <c r="CZ2" s="264"/>
      <c r="DA2" s="264"/>
      <c r="DB2" s="264"/>
      <c r="DC2" s="264"/>
      <c r="DD2" s="264"/>
      <c r="DE2" s="264"/>
      <c r="DF2" s="264"/>
      <c r="DG2" s="264"/>
      <c r="DH2" s="264"/>
      <c r="DI2" s="264"/>
      <c r="DJ2" s="264"/>
      <c r="DK2" s="264"/>
      <c r="DL2" s="264"/>
      <c r="DM2" s="264"/>
      <c r="DN2" s="264"/>
      <c r="DO2" s="264"/>
      <c r="DP2" s="264"/>
      <c r="DQ2" s="264"/>
      <c r="DR2" s="264"/>
      <c r="DS2" s="264"/>
      <c r="DT2" s="264"/>
      <c r="DU2" s="264"/>
      <c r="DV2" s="264"/>
      <c r="DW2" s="264"/>
      <c r="DX2" s="264"/>
      <c r="DY2" s="264"/>
      <c r="DZ2" s="264"/>
      <c r="EA2" s="264"/>
      <c r="EB2" s="264"/>
      <c r="EC2" s="264"/>
      <c r="ED2" s="264"/>
      <c r="EE2" s="264"/>
      <c r="EF2" s="264"/>
      <c r="EG2" s="264"/>
      <c r="EH2" s="264"/>
      <c r="EI2" s="264"/>
      <c r="EJ2" s="264"/>
      <c r="EK2" s="264"/>
      <c r="EL2" s="264"/>
      <c r="EM2" s="264"/>
      <c r="EN2" s="264"/>
      <c r="EO2" s="264"/>
      <c r="EP2" s="264"/>
      <c r="EQ2" s="264"/>
      <c r="ER2" s="264"/>
      <c r="ES2" s="264"/>
      <c r="ET2" s="264"/>
      <c r="EU2" s="264"/>
      <c r="EV2" s="264"/>
      <c r="EW2" s="264"/>
      <c r="EX2" s="264"/>
      <c r="EY2" s="264"/>
      <c r="EZ2" s="264"/>
      <c r="FA2" s="264"/>
      <c r="FB2" s="264"/>
      <c r="FC2" s="264"/>
      <c r="FD2" s="264"/>
      <c r="FE2" s="264"/>
      <c r="FF2" s="264"/>
      <c r="FG2" s="264"/>
      <c r="FH2" s="264"/>
      <c r="FI2" s="264"/>
      <c r="FJ2" s="264"/>
      <c r="FK2" s="264"/>
      <c r="FL2" s="264"/>
      <c r="FM2" s="264"/>
      <c r="FN2" s="264"/>
      <c r="FO2" s="264"/>
      <c r="FP2" s="264"/>
      <c r="FQ2" s="264"/>
      <c r="FR2" s="264"/>
      <c r="FS2" s="264"/>
      <c r="FT2" s="264"/>
      <c r="FU2" s="264"/>
      <c r="FV2" s="264"/>
      <c r="FW2" s="264"/>
      <c r="FX2" s="264"/>
      <c r="FY2" s="264"/>
      <c r="FZ2" s="264"/>
      <c r="GA2" s="264"/>
      <c r="GB2" s="264"/>
      <c r="GC2" s="264"/>
      <c r="GD2" s="264"/>
      <c r="GE2" s="264"/>
      <c r="GF2" s="264"/>
      <c r="GG2" s="264"/>
      <c r="GH2" s="264"/>
      <c r="GI2" s="264"/>
      <c r="GJ2" s="264"/>
      <c r="GK2" s="264"/>
      <c r="GL2" s="264"/>
      <c r="GM2" s="264"/>
      <c r="GN2" s="264"/>
      <c r="GO2" s="264"/>
      <c r="GP2" s="264"/>
      <c r="GQ2" s="264"/>
      <c r="GR2" s="264"/>
      <c r="GS2" s="264"/>
      <c r="GT2" s="264"/>
      <c r="GU2" s="264"/>
      <c r="GV2" s="264"/>
      <c r="GW2" s="264"/>
      <c r="GX2" s="264"/>
      <c r="GY2" s="264"/>
      <c r="GZ2" s="264"/>
      <c r="HA2" s="264"/>
      <c r="HB2" s="264"/>
      <c r="HC2" s="264"/>
      <c r="HD2" s="264"/>
      <c r="HE2" s="264"/>
      <c r="HF2" s="264"/>
      <c r="HG2" s="264"/>
      <c r="HH2" s="264"/>
      <c r="HI2" s="264"/>
      <c r="HJ2" s="264"/>
      <c r="HK2" s="264"/>
      <c r="HL2" s="264"/>
      <c r="HM2" s="264"/>
      <c r="HN2" s="264"/>
      <c r="HO2" s="264"/>
      <c r="HP2" s="264"/>
      <c r="HQ2" s="264"/>
      <c r="HR2" s="264"/>
      <c r="HS2" s="264"/>
      <c r="HT2" s="264"/>
      <c r="HU2" s="264"/>
      <c r="HV2" s="264"/>
      <c r="HW2" s="264"/>
      <c r="HX2" s="264"/>
      <c r="HY2" s="264"/>
      <c r="HZ2" s="264"/>
      <c r="IA2" s="264"/>
      <c r="IB2" s="264"/>
      <c r="IC2" s="264"/>
      <c r="ID2" s="264"/>
      <c r="IE2" s="264"/>
      <c r="IF2" s="264"/>
      <c r="IG2" s="264"/>
      <c r="IH2" s="264"/>
      <c r="II2" s="264"/>
      <c r="IJ2" s="264"/>
      <c r="IK2" s="264"/>
      <c r="IL2" s="264"/>
      <c r="IM2" s="264"/>
      <c r="IN2" s="264"/>
      <c r="IO2" s="264"/>
      <c r="IP2" s="264"/>
      <c r="IQ2" s="264"/>
      <c r="IR2" s="264"/>
      <c r="IS2" s="264"/>
      <c r="IT2" s="264"/>
      <c r="IU2" s="264"/>
      <c r="IV2" s="264"/>
      <c r="IW2" s="264"/>
    </row>
    <row r="4" customFormat="false" ht="12.75" hidden="false" customHeight="false" outlineLevel="0" collapsed="false">
      <c r="O4" s="260" t="n">
        <f aca="false">SUM(O8:O28)-SUM('Curve Analysis - Base Case'!V4:V24)</f>
        <v>0</v>
      </c>
    </row>
    <row r="5" customFormat="false" ht="13.5" hidden="false" customHeight="false" outlineLevel="0" collapsed="false">
      <c r="C5" s="267" t="s">
        <v>120</v>
      </c>
      <c r="F5" s="268" t="s">
        <v>121</v>
      </c>
      <c r="H5" s="213"/>
      <c r="I5" s="214"/>
      <c r="J5" s="214"/>
      <c r="K5" s="215"/>
      <c r="L5" s="216" t="s">
        <v>86</v>
      </c>
      <c r="M5" s="216" t="s">
        <v>87</v>
      </c>
      <c r="N5" s="214"/>
      <c r="O5" s="215"/>
      <c r="P5" s="214"/>
      <c r="Q5" s="214"/>
      <c r="R5" s="217"/>
      <c r="U5" s="263" t="s">
        <v>91</v>
      </c>
      <c r="V5" s="263" t="s">
        <v>122</v>
      </c>
      <c r="W5" s="263" t="s">
        <v>100</v>
      </c>
      <c r="X5" s="263" t="s">
        <v>90</v>
      </c>
    </row>
    <row r="6" customFormat="false" ht="12.75" hidden="false" customHeight="false" outlineLevel="0" collapsed="false">
      <c r="B6" s="261" t="s">
        <v>123</v>
      </c>
      <c r="C6" s="10" t="n">
        <f aca="false">SUM('Revenues &amp; Expenses'!AC12:AC246)</f>
        <v>3915555.75618317</v>
      </c>
      <c r="F6" s="10" t="n">
        <f aca="false">C6</f>
        <v>3915555.75618317</v>
      </c>
      <c r="H6" s="221"/>
      <c r="I6" s="225"/>
      <c r="J6" s="223" t="s">
        <v>95</v>
      </c>
      <c r="K6" s="224"/>
      <c r="L6" s="223" t="s">
        <v>96</v>
      </c>
      <c r="M6" s="223" t="s">
        <v>97</v>
      </c>
      <c r="N6" s="223" t="s">
        <v>98</v>
      </c>
      <c r="O6" s="224"/>
      <c r="P6" s="250" t="s">
        <v>118</v>
      </c>
      <c r="Q6" s="225"/>
      <c r="R6" s="226"/>
      <c r="T6" s="269" t="n">
        <v>36678</v>
      </c>
      <c r="U6" s="270" t="n">
        <f aca="false">'Company Gas Prices'!C25</f>
        <v>4.23229167</v>
      </c>
      <c r="V6" s="270" t="n">
        <f aca="false">(U6*'Revenues &amp; Expenses'!$S$2)/1000</f>
        <v>40.54112190693</v>
      </c>
      <c r="W6" s="270" t="n">
        <f aca="false">'Revenues &amp; Expenses'!O12*'Revenues &amp; Expenses'!$AM$5*1000</f>
        <v>2.02682016962532</v>
      </c>
      <c r="X6" s="263" t="n">
        <f aca="false">V6+W6</f>
        <v>42.5679420765553</v>
      </c>
    </row>
    <row r="7" customFormat="false" ht="13.5" hidden="false" customHeight="false" outlineLevel="0" collapsed="false">
      <c r="B7" s="261" t="s">
        <v>124</v>
      </c>
      <c r="C7" s="10" t="n">
        <f aca="false">SUMPRODUCT('Revenues &amp; Expenses'!AC12:AC246,'Revenues &amp; Expenses'!N12:N246)</f>
        <v>2024948.20744609</v>
      </c>
      <c r="F7" s="10" t="n">
        <f aca="false">C7</f>
        <v>2024948.20744609</v>
      </c>
      <c r="H7" s="221"/>
      <c r="I7" s="232" t="s">
        <v>106</v>
      </c>
      <c r="J7" s="233" t="n">
        <f aca="false">'Curve Analysis - Base Case'!Q3</f>
        <v>1</v>
      </c>
      <c r="K7" s="234"/>
      <c r="L7" s="235" t="s">
        <v>107</v>
      </c>
      <c r="M7" s="235" t="s">
        <v>108</v>
      </c>
      <c r="N7" s="235" t="s">
        <v>109</v>
      </c>
      <c r="O7" s="234"/>
      <c r="P7" s="271" t="n">
        <v>0</v>
      </c>
      <c r="Q7" s="225"/>
      <c r="R7" s="226"/>
      <c r="T7" s="269" t="n">
        <v>36708</v>
      </c>
      <c r="U7" s="270" t="n">
        <f aca="false">'Company Gas Prices'!C26</f>
        <v>4.190625</v>
      </c>
      <c r="V7" s="270" t="n">
        <f aca="false">(U7*'Revenues &amp; Expenses'!$S$2)/1000</f>
        <v>40.141996875</v>
      </c>
      <c r="W7" s="270" t="n">
        <f aca="false">'Revenues &amp; Expenses'!O13*'Revenues &amp; Expenses'!$AM$5*1000</f>
        <v>2.03132503545508</v>
      </c>
      <c r="X7" s="263" t="n">
        <f aca="false">V7+W7</f>
        <v>42.1733219104551</v>
      </c>
    </row>
    <row r="8" customFormat="false" ht="12.75" hidden="false" customHeight="false" outlineLevel="0" collapsed="false">
      <c r="F8" s="262"/>
      <c r="H8" s="241" t="n">
        <v>36891</v>
      </c>
      <c r="I8" s="272" t="str">
        <f aca="false">'Curve Analysis - Base Case'!P4</f>
        <v>n/a</v>
      </c>
      <c r="J8" s="225" t="n">
        <f aca="false">'Curve Analysis - Base Case'!Q4</f>
        <v>0</v>
      </c>
      <c r="K8" s="243"/>
      <c r="L8" s="244" t="e">
        <f aca="false">'Curve Analysis - Base Case'!S4</f>
        <v>#NAME?</v>
      </c>
      <c r="M8" s="244" t="n">
        <f aca="false">'Curve Analysis - Base Case'!T4</f>
        <v>125699173.570108</v>
      </c>
      <c r="N8" s="244" t="e">
        <f aca="false">'Curve Analysis - Base Case'!U4</f>
        <v>#NAME?</v>
      </c>
      <c r="O8" s="246"/>
      <c r="P8" s="223"/>
      <c r="Q8" s="225"/>
      <c r="R8" s="226"/>
      <c r="T8" s="269" t="n">
        <v>36739</v>
      </c>
      <c r="U8" s="270" t="n">
        <f aca="false">'Company Gas Prices'!C27</f>
        <v>4.190625</v>
      </c>
      <c r="V8" s="270" t="n">
        <f aca="false">(U8*'Revenues &amp; Expenses'!$S$2)/1000</f>
        <v>40.141996875</v>
      </c>
      <c r="W8" s="270" t="n">
        <f aca="false">'Revenues &amp; Expenses'!O14*'Revenues &amp; Expenses'!$AM$5*1000</f>
        <v>2.03583991392259</v>
      </c>
      <c r="X8" s="263" t="n">
        <f aca="false">V8+W8</f>
        <v>42.1778367889226</v>
      </c>
    </row>
    <row r="9" customFormat="false" ht="12.75" hidden="false" customHeight="false" outlineLevel="0" collapsed="false">
      <c r="B9" s="261" t="s">
        <v>125</v>
      </c>
      <c r="C9" s="273" t="n">
        <f aca="false">SUMPRODUCT('Revenues &amp; Expenses'!AC12:AC246,'Revenues &amp; Expenses'!N12:N246,'Company Power Prices'!C25:C259)/SUMPRODUCT('Revenues &amp; Expenses'!AC12:AC246,'Revenues &amp; Expenses'!N12:N246)</f>
        <v>110.967771468706</v>
      </c>
      <c r="F9" s="273" t="n">
        <f aca="false">SUMPRODUCT('Revenues &amp; Expenses'!AC12:AC246,'Revenues &amp; Expenses'!N12:N246,'Revenues &amp; Expenses'!X12:X246)/SUMPRODUCT('Revenues &amp; Expenses'!AC12:AC246,'Revenues &amp; Expenses'!N12:N246)</f>
        <v>65.7354348116536</v>
      </c>
      <c r="H9" s="241" t="n">
        <v>37256.25</v>
      </c>
      <c r="I9" s="272" t="n">
        <f aca="false">'Curve Analysis - Base Case'!P5</f>
        <v>0.387811425248974</v>
      </c>
      <c r="J9" s="225" t="n">
        <f aca="false">'Curve Analysis - Base Case'!Q5</f>
        <v>1</v>
      </c>
      <c r="K9" s="243"/>
      <c r="L9" s="244" t="e">
        <f aca="false">'Curve Analysis - Base Case'!S5</f>
        <v>#NAME?</v>
      </c>
      <c r="M9" s="244" t="n">
        <f aca="false">'Curve Analysis - Base Case'!T5</f>
        <v>115070700.643994</v>
      </c>
      <c r="N9" s="244" t="e">
        <f aca="false">'Curve Analysis - Base Case'!U5</f>
        <v>#NAME?</v>
      </c>
      <c r="O9" s="246"/>
      <c r="P9" s="223"/>
      <c r="Q9" s="225"/>
      <c r="R9" s="226"/>
      <c r="T9" s="269" t="n">
        <v>36770</v>
      </c>
      <c r="U9" s="270" t="n">
        <f aca="false">'Company Gas Prices'!C28</f>
        <v>4.24166667</v>
      </c>
      <c r="V9" s="270" t="n">
        <f aca="false">(U9*'Revenues &amp; Expenses'!$S$2)/1000</f>
        <v>40.63092503193</v>
      </c>
      <c r="W9" s="270" t="n">
        <f aca="false">'Revenues &amp; Expenses'!O15*'Revenues &amp; Expenses'!$AM$5*1000</f>
        <v>2.04036482728222</v>
      </c>
      <c r="X9" s="263" t="n">
        <f aca="false">V9+W9</f>
        <v>42.6712898592122</v>
      </c>
    </row>
    <row r="10" customFormat="false" ht="12.75" hidden="false" customHeight="false" outlineLevel="0" collapsed="false">
      <c r="B10" s="261" t="s">
        <v>126</v>
      </c>
      <c r="C10" s="274" t="n">
        <f aca="false">SUMPRODUCT(X6:X240,'Revenues &amp; Expenses'!AC12:AC246,'Revenues &amp; Expenses'!N12:N246)/SUMPRODUCT('Revenues &amp; Expenses'!AC12:AC246,'Revenues &amp; Expenses'!N12:N246)</f>
        <v>39.1715589509167</v>
      </c>
      <c r="F10" s="274" t="n">
        <f aca="false">SUMPRODUCT('Revenues &amp; Expenses'!AC12:AC246,'Revenues &amp; Expenses'!N12:N246,'Curve Analysis - Base Case'!D4:D238)/SUMPRODUCT('Revenues &amp; Expenses'!AC12:AC246,'Revenues &amp; Expenses'!N12:N246)</f>
        <v>46.5647059971142</v>
      </c>
      <c r="H10" s="241" t="n">
        <v>37621.5</v>
      </c>
      <c r="I10" s="272" t="n">
        <f aca="false">'Curve Analysis - Base Case'!P6</f>
        <v>0.38329541065498</v>
      </c>
      <c r="J10" s="225" t="n">
        <f aca="false">'Curve Analysis - Base Case'!Q6</f>
        <v>1</v>
      </c>
      <c r="K10" s="243"/>
      <c r="L10" s="244" t="e">
        <f aca="false">'Curve Analysis - Base Case'!S6</f>
        <v>#NAME?</v>
      </c>
      <c r="M10" s="244" t="n">
        <f aca="false">'Curve Analysis - Base Case'!T6</f>
        <v>104259585.961217</v>
      </c>
      <c r="N10" s="244" t="e">
        <f aca="false">'Curve Analysis - Base Case'!U6</f>
        <v>#NAME?</v>
      </c>
      <c r="O10" s="246"/>
      <c r="P10" s="223"/>
      <c r="Q10" s="225"/>
      <c r="R10" s="226"/>
      <c r="T10" s="269" t="n">
        <v>36800</v>
      </c>
      <c r="U10" s="270" t="n">
        <f aca="false">'Company Gas Prices'!C29</f>
        <v>4.196875</v>
      </c>
      <c r="V10" s="270" t="n">
        <f aca="false">(U10*'Revenues &amp; Expenses'!$S$2)/1000</f>
        <v>40.201865625</v>
      </c>
      <c r="W10" s="270" t="n">
        <f aca="false">'Revenues &amp; Expenses'!O16*'Revenues &amp; Expenses'!$AM$5*1000</f>
        <v>2.04489979783778</v>
      </c>
      <c r="X10" s="263" t="n">
        <f aca="false">V10+W10</f>
        <v>42.2467654228378</v>
      </c>
      <c r="AE10" s="273" t="n">
        <f aca="false">SUMPRODUCT('Curve Analysis - Base Case'!C4:C250,'Curve Analysis - Base Case'!K4:K250,'Revenues &amp; Expenses'!N12:N258)/SUMPRODUCT('Revenues &amp; Expenses'!N12:N258,'Curve Analysis - Base Case'!K4:K250)</f>
        <v>85.5538657256563</v>
      </c>
    </row>
    <row r="11" customFormat="false" ht="12.75" hidden="false" customHeight="false" outlineLevel="0" collapsed="false">
      <c r="B11" s="275" t="s">
        <v>127</v>
      </c>
      <c r="C11" s="276" t="n">
        <f aca="false">C9-C10</f>
        <v>71.796212517789</v>
      </c>
      <c r="F11" s="276" t="n">
        <f aca="false">F9-F10</f>
        <v>19.1707288145394</v>
      </c>
      <c r="H11" s="241" t="n">
        <v>37986.75</v>
      </c>
      <c r="I11" s="272" t="n">
        <f aca="false">'Curve Analysis - Base Case'!P7</f>
        <v>0.402813530526963</v>
      </c>
      <c r="J11" s="225" t="n">
        <f aca="false">'Curve Analysis - Base Case'!Q7</f>
        <v>1</v>
      </c>
      <c r="K11" s="243"/>
      <c r="L11" s="244" t="e">
        <f aca="false">'Curve Analysis - Base Case'!S7</f>
        <v>#NAME?</v>
      </c>
      <c r="M11" s="244" t="n">
        <f aca="false">'Curve Analysis - Base Case'!T7</f>
        <v>94212055.7583556</v>
      </c>
      <c r="N11" s="244" t="e">
        <f aca="false">'Curve Analysis - Base Case'!U7</f>
        <v>#NAME?</v>
      </c>
      <c r="O11" s="246"/>
      <c r="P11" s="223"/>
      <c r="Q11" s="225"/>
      <c r="R11" s="226"/>
      <c r="T11" s="269" t="n">
        <v>36831</v>
      </c>
      <c r="U11" s="270" t="n">
        <f aca="false">'Company Gas Prices'!C30</f>
        <v>4.196875</v>
      </c>
      <c r="V11" s="270" t="n">
        <f aca="false">(U11*'Revenues &amp; Expenses'!$S$2)/1000</f>
        <v>40.201865625</v>
      </c>
      <c r="W11" s="270" t="n">
        <f aca="false">'Revenues &amp; Expenses'!O17*'Revenues &amp; Expenses'!$AM$5*1000</f>
        <v>2.04944484794268</v>
      </c>
      <c r="X11" s="263" t="n">
        <f aca="false">V11+W11</f>
        <v>42.2513104729427</v>
      </c>
      <c r="AE11" s="274" t="n">
        <f aca="false">SUMPRODUCT('Curve Analysis - Base Case'!D4:D250,'Curve Analysis - Base Case'!K4:K250,'Revenues &amp; Expenses'!N12:N258)/SUMPRODUCT('Revenues &amp; Expenses'!N12:N258,'Curve Analysis - Base Case'!K4:K250)</f>
        <v>46.4320576920729</v>
      </c>
    </row>
    <row r="12" customFormat="false" ht="12.75" hidden="false" customHeight="false" outlineLevel="0" collapsed="false">
      <c r="F12" s="262"/>
      <c r="H12" s="241" t="n">
        <v>38352</v>
      </c>
      <c r="I12" s="272" t="n">
        <f aca="false">'Curve Analysis - Base Case'!P8</f>
        <v>0.411148430129334</v>
      </c>
      <c r="J12" s="225" t="n">
        <f aca="false">'Curve Analysis - Base Case'!Q8</f>
        <v>1</v>
      </c>
      <c r="K12" s="243"/>
      <c r="L12" s="244" t="e">
        <f aca="false">'Curve Analysis - Base Case'!S8</f>
        <v>#NAME?</v>
      </c>
      <c r="M12" s="244" t="n">
        <f aca="false">'Curve Analysis - Base Case'!T8</f>
        <v>84878611.2753943</v>
      </c>
      <c r="N12" s="244" t="e">
        <f aca="false">'Curve Analysis - Base Case'!U8</f>
        <v>#NAME?</v>
      </c>
      <c r="O12" s="246"/>
      <c r="P12" s="225"/>
      <c r="Q12" s="225"/>
      <c r="R12" s="226"/>
      <c r="T12" s="269" t="n">
        <v>36861</v>
      </c>
      <c r="U12" s="270" t="n">
        <f aca="false">'Company Gas Prices'!C31</f>
        <v>4.196875</v>
      </c>
      <c r="V12" s="270" t="n">
        <f aca="false">(U12*'Revenues &amp; Expenses'!$S$2)/1000</f>
        <v>40.201865625</v>
      </c>
      <c r="W12" s="270" t="n">
        <f aca="false">'Revenues &amp; Expenses'!O18*'Revenues &amp; Expenses'!$AM$5*1000</f>
        <v>2.054</v>
      </c>
      <c r="X12" s="263" t="n">
        <f aca="false">V12+W12</f>
        <v>42.255865625</v>
      </c>
      <c r="AE12" s="276" t="n">
        <f aca="false">AE10-AE11</f>
        <v>39.1218080335834</v>
      </c>
    </row>
    <row r="13" customFormat="false" ht="12.75" hidden="false" customHeight="false" outlineLevel="0" collapsed="false">
      <c r="B13" s="261" t="s">
        <v>128</v>
      </c>
      <c r="F13" s="262"/>
      <c r="H13" s="241" t="n">
        <v>38717.25</v>
      </c>
      <c r="I13" s="272" t="n">
        <f aca="false">'Curve Analysis - Base Case'!P9</f>
        <v>0.441094087116348</v>
      </c>
      <c r="J13" s="225" t="n">
        <f aca="false">'Curve Analysis - Base Case'!Q9</f>
        <v>1</v>
      </c>
      <c r="K13" s="243"/>
      <c r="L13" s="244" t="e">
        <f aca="false">'Curve Analysis - Base Case'!S9</f>
        <v>#NAME?</v>
      </c>
      <c r="M13" s="244" t="n">
        <f aca="false">'Curve Analysis - Base Case'!T9</f>
        <v>76215211.0350103</v>
      </c>
      <c r="N13" s="244" t="e">
        <f aca="false">'Curve Analysis - Base Case'!U9</f>
        <v>#NAME?</v>
      </c>
      <c r="O13" s="246"/>
      <c r="P13" s="225"/>
      <c r="Q13" s="225"/>
      <c r="R13" s="226"/>
      <c r="T13" s="269" t="n">
        <v>36892</v>
      </c>
      <c r="U13" s="270" t="n">
        <f aca="false">'Company Gas Prices'!C32</f>
        <v>3.83541667</v>
      </c>
      <c r="V13" s="270" t="n">
        <f aca="false">(U13*'Revenues &amp; Expenses'!$S$2)/1000</f>
        <v>36.73945628193</v>
      </c>
      <c r="W13" s="270" t="n">
        <f aca="false">'Revenues &amp; Expenses'!O19*'Revenues &amp; Expenses'!$AM$5*1000</f>
        <v>2.05856527646261</v>
      </c>
      <c r="X13" s="263" t="n">
        <f aca="false">V13+W13</f>
        <v>38.7980215583926</v>
      </c>
    </row>
    <row r="14" customFormat="false" ht="12.75" hidden="false" customHeight="false" outlineLevel="0" collapsed="false">
      <c r="B14" s="261" t="s">
        <v>129</v>
      </c>
      <c r="C14" s="262" t="n">
        <f aca="false">136957+6495</f>
        <v>143452</v>
      </c>
      <c r="F14" s="262" t="n">
        <f aca="false">136957+6495</f>
        <v>143452</v>
      </c>
      <c r="H14" s="241" t="n">
        <v>39082.5</v>
      </c>
      <c r="I14" s="272" t="n">
        <f aca="false">'Curve Analysis - Base Case'!P10</f>
        <v>0.475222906573077</v>
      </c>
      <c r="J14" s="225" t="n">
        <f aca="false">'Curve Analysis - Base Case'!Q10</f>
        <v>1</v>
      </c>
      <c r="K14" s="243"/>
      <c r="L14" s="244" t="e">
        <f aca="false">'Curve Analysis - Base Case'!S10</f>
        <v>#NAME?</v>
      </c>
      <c r="M14" s="244" t="n">
        <f aca="false">'Curve Analysis - Base Case'!T10</f>
        <v>68168466.4933411</v>
      </c>
      <c r="N14" s="244" t="e">
        <f aca="false">'Curve Analysis - Base Case'!U10</f>
        <v>#NAME?</v>
      </c>
      <c r="O14" s="246"/>
      <c r="P14" s="225"/>
      <c r="Q14" s="225"/>
      <c r="R14" s="226"/>
      <c r="T14" s="269" t="n">
        <v>36923</v>
      </c>
      <c r="U14" s="270" t="n">
        <f aca="false">'Company Gas Prices'!C33</f>
        <v>3.83541667</v>
      </c>
      <c r="V14" s="270" t="n">
        <f aca="false">(U14*'Revenues &amp; Expenses'!$S$2)/1000</f>
        <v>36.73945628193</v>
      </c>
      <c r="W14" s="270" t="n">
        <f aca="false">'Revenues &amp; Expenses'!O20*'Revenues &amp; Expenses'!$AM$5*1000</f>
        <v>2.06314069983329</v>
      </c>
      <c r="X14" s="263" t="n">
        <f aca="false">V14+W14</f>
        <v>38.8025969817633</v>
      </c>
    </row>
    <row r="15" customFormat="false" ht="12.75" hidden="false" customHeight="false" outlineLevel="0" collapsed="false">
      <c r="B15" s="261" t="s">
        <v>130</v>
      </c>
      <c r="C15" s="262" t="n">
        <f aca="false">23082+5022+4592+1</f>
        <v>32697</v>
      </c>
      <c r="F15" s="262" t="n">
        <f aca="false">23082+5022+4592+1</f>
        <v>32697</v>
      </c>
      <c r="H15" s="241" t="n">
        <v>39447.75</v>
      </c>
      <c r="I15" s="272" t="n">
        <f aca="false">'Curve Analysis - Base Case'!P11</f>
        <v>0.494127619948434</v>
      </c>
      <c r="J15" s="225" t="n">
        <f aca="false">'Curve Analysis - Base Case'!Q11</f>
        <v>1</v>
      </c>
      <c r="K15" s="243"/>
      <c r="L15" s="244" t="e">
        <f aca="false">'Curve Analysis - Base Case'!S11</f>
        <v>#NAME?</v>
      </c>
      <c r="M15" s="244" t="n">
        <f aca="false">'Curve Analysis - Base Case'!T11</f>
        <v>60696494.0420002</v>
      </c>
      <c r="N15" s="244" t="e">
        <f aca="false">'Curve Analysis - Base Case'!U11</f>
        <v>#NAME?</v>
      </c>
      <c r="O15" s="246"/>
      <c r="P15" s="225"/>
      <c r="Q15" s="225"/>
      <c r="R15" s="226"/>
      <c r="T15" s="269" t="n">
        <v>36951</v>
      </c>
      <c r="U15" s="270" t="n">
        <f aca="false">'Company Gas Prices'!C34</f>
        <v>3.83541667</v>
      </c>
      <c r="V15" s="270" t="n">
        <f aca="false">(U15*'Revenues &amp; Expenses'!$S$2)/1000</f>
        <v>36.73945628193</v>
      </c>
      <c r="W15" s="270" t="n">
        <f aca="false">'Revenues &amp; Expenses'!O21*'Revenues &amp; Expenses'!$AM$5*1000</f>
        <v>2.06772629266484</v>
      </c>
      <c r="X15" s="263" t="n">
        <f aca="false">V15+W15</f>
        <v>38.8071825745948</v>
      </c>
    </row>
    <row r="16" customFormat="false" ht="12.75" hidden="false" customHeight="false" outlineLevel="0" collapsed="false">
      <c r="C16" s="277" t="n">
        <f aca="false">C14+C15</f>
        <v>176149</v>
      </c>
      <c r="F16" s="277" t="n">
        <f aca="false">F14+F15</f>
        <v>176149</v>
      </c>
      <c r="H16" s="241" t="n">
        <v>39813</v>
      </c>
      <c r="I16" s="272" t="n">
        <f aca="false">'Curve Analysis - Base Case'!P12</f>
        <v>0.521456068918546</v>
      </c>
      <c r="J16" s="225" t="n">
        <f aca="false">'Curve Analysis - Base Case'!Q12</f>
        <v>1</v>
      </c>
      <c r="K16" s="243"/>
      <c r="L16" s="244" t="e">
        <f aca="false">'Curve Analysis - Base Case'!S12</f>
        <v>#NAME?</v>
      </c>
      <c r="M16" s="244" t="n">
        <f aca="false">'Curve Analysis - Base Case'!T12</f>
        <v>53758445.4331012</v>
      </c>
      <c r="N16" s="244" t="e">
        <f aca="false">'Curve Analysis - Base Case'!U12</f>
        <v>#NAME?</v>
      </c>
      <c r="O16" s="246"/>
      <c r="P16" s="225"/>
      <c r="Q16" s="225"/>
      <c r="R16" s="226"/>
      <c r="T16" s="269" t="n">
        <v>36982</v>
      </c>
      <c r="U16" s="270" t="n">
        <f aca="false">'Company Gas Prices'!C35</f>
        <v>3.98020833</v>
      </c>
      <c r="V16" s="270" t="n">
        <f aca="false">(U16*'Revenues &amp; Expenses'!$S$2)/1000</f>
        <v>38.12641559307</v>
      </c>
      <c r="W16" s="270" t="n">
        <f aca="false">'Revenues &amp; Expenses'!O22*'Revenues &amp; Expenses'!$AM$5*1000</f>
        <v>2.07232207756018</v>
      </c>
      <c r="X16" s="263" t="n">
        <f aca="false">V16+W16</f>
        <v>40.1987376706302</v>
      </c>
    </row>
    <row r="17" customFormat="false" ht="12.75" hidden="false" customHeight="false" outlineLevel="0" collapsed="false">
      <c r="F17" s="262"/>
      <c r="H17" s="241" t="n">
        <v>40178.25</v>
      </c>
      <c r="I17" s="272" t="n">
        <f aca="false">'Curve Analysis - Base Case'!P13</f>
        <v>0.56955453062379</v>
      </c>
      <c r="J17" s="225" t="n">
        <f aca="false">'Curve Analysis - Base Case'!Q13</f>
        <v>1</v>
      </c>
      <c r="K17" s="243"/>
      <c r="L17" s="244" t="e">
        <f aca="false">'Curve Analysis - Base Case'!S13</f>
        <v>#NAME?</v>
      </c>
      <c r="M17" s="244" t="n">
        <f aca="false">'Curve Analysis - Base Case'!T13</f>
        <v>47317509.0756427</v>
      </c>
      <c r="N17" s="244" t="e">
        <f aca="false">'Curve Analysis - Base Case'!U13</f>
        <v>#NAME?</v>
      </c>
      <c r="O17" s="246"/>
      <c r="P17" s="225"/>
      <c r="Q17" s="225"/>
      <c r="R17" s="226"/>
      <c r="T17" s="269" t="n">
        <v>37012</v>
      </c>
      <c r="U17" s="270" t="n">
        <f aca="false">'Company Gas Prices'!C36</f>
        <v>3.81770833</v>
      </c>
      <c r="V17" s="270" t="n">
        <f aca="false">(U17*'Revenues &amp; Expenses'!$S$2)/1000</f>
        <v>36.56982809307</v>
      </c>
      <c r="W17" s="270" t="n">
        <f aca="false">'Revenues &amp; Expenses'!O23*'Revenues &amp; Expenses'!$AM$5*1000</f>
        <v>2.07692807717246</v>
      </c>
      <c r="X17" s="263" t="n">
        <f aca="false">V17+W17</f>
        <v>38.6467561702425</v>
      </c>
    </row>
    <row r="18" customFormat="false" ht="12.75" hidden="false" customHeight="false" outlineLevel="0" collapsed="false">
      <c r="B18" s="261" t="s">
        <v>131</v>
      </c>
      <c r="C18" s="262" t="n">
        <v>90000</v>
      </c>
      <c r="F18" s="262" t="n">
        <v>90000</v>
      </c>
      <c r="H18" s="241" t="n">
        <v>40543.5</v>
      </c>
      <c r="I18" s="272" t="n">
        <f aca="false">'Curve Analysis - Base Case'!P14</f>
        <v>0.605076786301983</v>
      </c>
      <c r="J18" s="225" t="n">
        <f aca="false">'Curve Analysis - Base Case'!Q14</f>
        <v>1</v>
      </c>
      <c r="K18" s="243"/>
      <c r="L18" s="244" t="e">
        <f aca="false">'Curve Analysis - Base Case'!S14</f>
        <v>#NAME?</v>
      </c>
      <c r="M18" s="244" t="n">
        <f aca="false">'Curve Analysis - Base Case'!T14</f>
        <v>41336395.7939633</v>
      </c>
      <c r="N18" s="244" t="e">
        <f aca="false">'Curve Analysis - Base Case'!U14</f>
        <v>#NAME?</v>
      </c>
      <c r="O18" s="246"/>
      <c r="P18" s="225"/>
      <c r="Q18" s="225"/>
      <c r="R18" s="226"/>
      <c r="T18" s="269" t="n">
        <v>37043</v>
      </c>
      <c r="U18" s="270" t="n">
        <f aca="false">'Company Gas Prices'!C37</f>
        <v>3.809375</v>
      </c>
      <c r="V18" s="270" t="n">
        <f aca="false">(U18*'Revenues &amp; Expenses'!$S$2)/1000</f>
        <v>36.490003125</v>
      </c>
      <c r="W18" s="270" t="n">
        <f aca="false">'Revenues &amp; Expenses'!O24*'Revenues &amp; Expenses'!$AM$5*1000</f>
        <v>2.0815443142052</v>
      </c>
      <c r="X18" s="263" t="n">
        <f aca="false">V18+W18</f>
        <v>38.5715474392052</v>
      </c>
    </row>
    <row r="19" customFormat="false" ht="12.75" hidden="false" customHeight="false" outlineLevel="0" collapsed="false">
      <c r="B19" s="261" t="s">
        <v>132</v>
      </c>
      <c r="C19" s="262" t="n">
        <f aca="false">C16-C18</f>
        <v>86149</v>
      </c>
      <c r="F19" s="262" t="n">
        <f aca="false">F16-F18</f>
        <v>86149</v>
      </c>
      <c r="H19" s="241" t="n">
        <v>40908.75</v>
      </c>
      <c r="I19" s="272" t="n">
        <f aca="false">'Curve Analysis - Base Case'!P15</f>
        <v>0.624734732465973</v>
      </c>
      <c r="J19" s="225" t="n">
        <f aca="false">'Curve Analysis - Base Case'!Q15</f>
        <v>1</v>
      </c>
      <c r="K19" s="243"/>
      <c r="L19" s="244" t="e">
        <f aca="false">'Curve Analysis - Base Case'!S15</f>
        <v>#NAME?</v>
      </c>
      <c r="M19" s="244" t="n">
        <f aca="false">'Curve Analysis - Base Case'!T15</f>
        <v>35773300.8517464</v>
      </c>
      <c r="N19" s="244" t="e">
        <f aca="false">'Curve Analysis - Base Case'!U15</f>
        <v>#NAME?</v>
      </c>
      <c r="O19" s="246"/>
      <c r="P19" s="225"/>
      <c r="Q19" s="225"/>
      <c r="R19" s="226"/>
      <c r="T19" s="269" t="n">
        <v>37073</v>
      </c>
      <c r="U19" s="270" t="n">
        <f aca="false">'Company Gas Prices'!C38</f>
        <v>3.771875</v>
      </c>
      <c r="V19" s="270" t="n">
        <f aca="false">(U19*'Revenues &amp; Expenses'!$S$2)/1000</f>
        <v>36.130790625</v>
      </c>
      <c r="W19" s="270" t="n">
        <f aca="false">'Revenues &amp; Expenses'!O25*'Revenues &amp; Expenses'!$AM$5*1000</f>
        <v>2.08617081141237</v>
      </c>
      <c r="X19" s="263" t="n">
        <f aca="false">V19+W19</f>
        <v>38.2169614364124</v>
      </c>
    </row>
    <row r="20" customFormat="false" ht="12.75" hidden="false" customHeight="false" outlineLevel="0" collapsed="false">
      <c r="B20" s="261" t="s">
        <v>133</v>
      </c>
      <c r="C20" s="277" t="n">
        <f aca="false">C18+C19</f>
        <v>176149</v>
      </c>
      <c r="F20" s="277" t="n">
        <f aca="false">F18+F19</f>
        <v>176149</v>
      </c>
      <c r="H20" s="241" t="n">
        <v>41274</v>
      </c>
      <c r="I20" s="272" t="n">
        <f aca="false">'Curve Analysis - Base Case'!P16</f>
        <v>0.657520620962128</v>
      </c>
      <c r="J20" s="225" t="n">
        <f aca="false">'Curve Analysis - Base Case'!Q16</f>
        <v>1</v>
      </c>
      <c r="K20" s="243"/>
      <c r="L20" s="244" t="e">
        <f aca="false">'Curve Analysis - Base Case'!S16</f>
        <v>#NAME?</v>
      </c>
      <c r="M20" s="244" t="n">
        <f aca="false">'Curve Analysis - Base Case'!T16</f>
        <v>30598595.7290673</v>
      </c>
      <c r="N20" s="244" t="e">
        <f aca="false">'Curve Analysis - Base Case'!U16</f>
        <v>#NAME?</v>
      </c>
      <c r="O20" s="246"/>
      <c r="P20" s="225"/>
      <c r="Q20" s="225"/>
      <c r="R20" s="226"/>
      <c r="T20" s="269" t="n">
        <v>37104</v>
      </c>
      <c r="U20" s="270" t="n">
        <f aca="false">'Company Gas Prices'!C39</f>
        <v>3.771875</v>
      </c>
      <c r="V20" s="270" t="n">
        <f aca="false">(U20*'Revenues &amp; Expenses'!$S$2)/1000</f>
        <v>36.130790625</v>
      </c>
      <c r="W20" s="270" t="n">
        <f aca="false">'Revenues &amp; Expenses'!O26*'Revenues &amp; Expenses'!$AM$5*1000</f>
        <v>2.0908075915985</v>
      </c>
      <c r="X20" s="263" t="n">
        <f aca="false">V20+W20</f>
        <v>38.2215982165985</v>
      </c>
    </row>
    <row r="21" customFormat="false" ht="12.75" hidden="false" customHeight="false" outlineLevel="0" collapsed="false">
      <c r="F21" s="262"/>
      <c r="H21" s="241" t="n">
        <v>41639.25</v>
      </c>
      <c r="I21" s="272" t="n">
        <f aca="false">'Curve Analysis - Base Case'!P17</f>
        <v>0.701952153271403</v>
      </c>
      <c r="J21" s="225" t="n">
        <f aca="false">'Curve Analysis - Base Case'!Q17</f>
        <v>1</v>
      </c>
      <c r="K21" s="243"/>
      <c r="L21" s="244" t="e">
        <f aca="false">'Curve Analysis - Base Case'!S17</f>
        <v>#NAME?</v>
      </c>
      <c r="M21" s="244" t="n">
        <f aca="false">'Curve Analysis - Base Case'!T17</f>
        <v>25784135.4061509</v>
      </c>
      <c r="N21" s="244" t="e">
        <f aca="false">'Curve Analysis - Base Case'!U17</f>
        <v>#NAME?</v>
      </c>
      <c r="O21" s="246"/>
      <c r="P21" s="278"/>
      <c r="Q21" s="225"/>
      <c r="R21" s="226"/>
      <c r="T21" s="269" t="n">
        <v>37135</v>
      </c>
      <c r="U21" s="270" t="n">
        <f aca="false">'Company Gas Prices'!C40</f>
        <v>3.81770833</v>
      </c>
      <c r="V21" s="270" t="n">
        <f aca="false">(U21*'Revenues &amp; Expenses'!$S$2)/1000</f>
        <v>36.56982809307</v>
      </c>
      <c r="W21" s="270" t="n">
        <f aca="false">'Revenues &amp; Expenses'!O27*'Revenues &amp; Expenses'!$AM$5*1000</f>
        <v>2.09545467761884</v>
      </c>
      <c r="X21" s="263" t="n">
        <f aca="false">V21+W21</f>
        <v>38.6652827706888</v>
      </c>
    </row>
    <row r="22" customFormat="false" ht="12.75" hidden="false" customHeight="false" outlineLevel="0" collapsed="false">
      <c r="B22" s="261" t="s">
        <v>134</v>
      </c>
      <c r="C22" s="4" t="n">
        <f aca="false">C18/C20</f>
        <v>0.510931086750422</v>
      </c>
      <c r="F22" s="4" t="n">
        <f aca="false">F18/F20</f>
        <v>0.510931086750422</v>
      </c>
      <c r="H22" s="241" t="n">
        <v>42004.5</v>
      </c>
      <c r="I22" s="272" t="n">
        <f aca="false">'Curve Analysis - Base Case'!P18</f>
        <v>0.730792452100272</v>
      </c>
      <c r="J22" s="225" t="n">
        <f aca="false">'Curve Analysis - Base Case'!Q18</f>
        <v>1</v>
      </c>
      <c r="K22" s="243"/>
      <c r="L22" s="244" t="e">
        <f aca="false">'Curve Analysis - Base Case'!S18</f>
        <v>#NAME?</v>
      </c>
      <c r="M22" s="244" t="n">
        <f aca="false">'Curve Analysis - Base Case'!T18</f>
        <v>21304087.3724848</v>
      </c>
      <c r="N22" s="244" t="e">
        <f aca="false">'Curve Analysis - Base Case'!U18</f>
        <v>#NAME?</v>
      </c>
      <c r="O22" s="246"/>
      <c r="P22" s="278"/>
      <c r="Q22" s="225"/>
      <c r="R22" s="226"/>
      <c r="T22" s="269" t="n">
        <v>37165</v>
      </c>
      <c r="U22" s="270" t="n">
        <f aca="false">'Company Gas Prices'!C41</f>
        <v>3.778125</v>
      </c>
      <c r="V22" s="270" t="n">
        <f aca="false">(U22*'Revenues &amp; Expenses'!$S$2)/1000</f>
        <v>36.190659375</v>
      </c>
      <c r="W22" s="270" t="n">
        <f aca="false">'Revenues &amp; Expenses'!O28*'Revenues &amp; Expenses'!$AM$5*1000</f>
        <v>2.1001120923794</v>
      </c>
      <c r="X22" s="263" t="n">
        <f aca="false">V22+W22</f>
        <v>38.2907714673794</v>
      </c>
    </row>
    <row r="23" customFormat="false" ht="12.75" hidden="false" customHeight="false" outlineLevel="0" collapsed="false">
      <c r="F23" s="262"/>
      <c r="H23" s="241" t="n">
        <v>42369.75</v>
      </c>
      <c r="I23" s="272" t="n">
        <f aca="false">'Curve Analysis - Base Case'!P19</f>
        <v>0.746537297554647</v>
      </c>
      <c r="J23" s="225" t="n">
        <f aca="false">'Curve Analysis - Base Case'!Q19</f>
        <v>1</v>
      </c>
      <c r="K23" s="243"/>
      <c r="L23" s="244" t="e">
        <f aca="false">'Curve Analysis - Base Case'!S19</f>
        <v>#NAME?</v>
      </c>
      <c r="M23" s="244" t="n">
        <f aca="false">'Curve Analysis - Base Case'!T19</f>
        <v>17134733.8401582</v>
      </c>
      <c r="N23" s="244" t="e">
        <f aca="false">'Curve Analysis - Base Case'!U19</f>
        <v>#NAME?</v>
      </c>
      <c r="O23" s="246"/>
      <c r="P23" s="225"/>
      <c r="Q23" s="225"/>
      <c r="R23" s="226"/>
      <c r="T23" s="269" t="n">
        <v>37196</v>
      </c>
      <c r="U23" s="270" t="n">
        <f aca="false">'Company Gas Prices'!C42</f>
        <v>3.778125</v>
      </c>
      <c r="V23" s="270" t="n">
        <f aca="false">(U23*'Revenues &amp; Expenses'!$S$2)/1000</f>
        <v>36.190659375</v>
      </c>
      <c r="W23" s="270" t="n">
        <f aca="false">'Revenues &amp; Expenses'!O29*'Revenues &amp; Expenses'!$AM$5*1000</f>
        <v>2.10477985883714</v>
      </c>
      <c r="X23" s="263" t="n">
        <f aca="false">V23+W23</f>
        <v>38.2954392338371</v>
      </c>
    </row>
    <row r="24" customFormat="false" ht="12.75" hidden="false" customHeight="false" outlineLevel="0" collapsed="false">
      <c r="B24" s="261" t="s">
        <v>135</v>
      </c>
      <c r="C24" s="262" t="n">
        <f aca="false">(C9*C7)/1000</f>
        <v>224703.989919843</v>
      </c>
      <c r="F24" s="262" t="n">
        <f aca="false">(F9*F7)/1000</f>
        <v>133110.850887547</v>
      </c>
      <c r="H24" s="241" t="n">
        <v>42735</v>
      </c>
      <c r="I24" s="272" t="n">
        <f aca="false">'Curve Analysis - Base Case'!P20</f>
        <v>0.778720339997219</v>
      </c>
      <c r="J24" s="225" t="n">
        <f aca="false">'Curve Analysis - Base Case'!Q20</f>
        <v>1</v>
      </c>
      <c r="K24" s="243"/>
      <c r="L24" s="244" t="e">
        <f aca="false">'Curve Analysis - Base Case'!S20</f>
        <v>#NAME?</v>
      </c>
      <c r="M24" s="244" t="n">
        <f aca="false">'Curve Analysis - Base Case'!T20</f>
        <v>13254638.6890754</v>
      </c>
      <c r="N24" s="244" t="e">
        <f aca="false">'Curve Analysis - Base Case'!U20</f>
        <v>#NAME?</v>
      </c>
      <c r="O24" s="246"/>
      <c r="P24" s="225"/>
      <c r="Q24" s="225"/>
      <c r="R24" s="226"/>
      <c r="T24" s="269" t="n">
        <v>37226</v>
      </c>
      <c r="U24" s="270" t="n">
        <f aca="false">'Company Gas Prices'!C43</f>
        <v>3.778125</v>
      </c>
      <c r="V24" s="270" t="n">
        <f aca="false">(U24*'Revenues &amp; Expenses'!$S$2)/1000</f>
        <v>36.190659375</v>
      </c>
      <c r="W24" s="270" t="n">
        <f aca="false">'Revenues &amp; Expenses'!O30*'Revenues &amp; Expenses'!$AM$5*1000</f>
        <v>2.109458</v>
      </c>
      <c r="X24" s="263" t="n">
        <f aca="false">V24+W24</f>
        <v>38.300117375</v>
      </c>
    </row>
    <row r="25" customFormat="false" ht="12.75" hidden="false" customHeight="false" outlineLevel="0" collapsed="false">
      <c r="B25" s="261" t="s">
        <v>131</v>
      </c>
      <c r="C25" s="262" t="n">
        <f aca="false">C18</f>
        <v>90000</v>
      </c>
      <c r="F25" s="262" t="n">
        <f aca="false">F18</f>
        <v>90000</v>
      </c>
      <c r="H25" s="241" t="n">
        <v>43100.25</v>
      </c>
      <c r="I25" s="272" t="n">
        <f aca="false">'Curve Analysis - Base Case'!P21</f>
        <v>0.825428583913113</v>
      </c>
      <c r="J25" s="225" t="n">
        <f aca="false">'Curve Analysis - Base Case'!Q21</f>
        <v>1</v>
      </c>
      <c r="K25" s="243"/>
      <c r="L25" s="244" t="e">
        <f aca="false">'Curve Analysis - Base Case'!S21</f>
        <v>#NAME?</v>
      </c>
      <c r="M25" s="244" t="n">
        <f aca="false">'Curve Analysis - Base Case'!T21</f>
        <v>9642963.84213713</v>
      </c>
      <c r="N25" s="244" t="e">
        <f aca="false">'Curve Analysis - Base Case'!U21</f>
        <v>#NAME?</v>
      </c>
      <c r="O25" s="246"/>
      <c r="P25" s="225"/>
      <c r="Q25" s="225"/>
      <c r="R25" s="226"/>
      <c r="T25" s="269" t="n">
        <v>37257</v>
      </c>
      <c r="U25" s="270" t="n">
        <f aca="false">'Company Gas Prices'!C44</f>
        <v>3.83541667</v>
      </c>
      <c r="V25" s="270" t="n">
        <f aca="false">(U25*'Revenues &amp; Expenses'!$S$2)/1000</f>
        <v>36.73945628193</v>
      </c>
      <c r="W25" s="270" t="n">
        <f aca="false">'Revenues &amp; Expenses'!O31*'Revenues &amp; Expenses'!$AM$5*1000</f>
        <v>2.1141465389271</v>
      </c>
      <c r="X25" s="263" t="n">
        <f aca="false">V25+W25</f>
        <v>38.8536028208571</v>
      </c>
    </row>
    <row r="26" customFormat="false" ht="12.75" hidden="false" customHeight="false" outlineLevel="0" collapsed="false">
      <c r="B26" s="261" t="s">
        <v>136</v>
      </c>
      <c r="C26" s="279" t="n">
        <f aca="false">C25/C24</f>
        <v>0.400526933376239</v>
      </c>
      <c r="F26" s="279" t="n">
        <f aca="false">F25/F24</f>
        <v>0.676128199916868</v>
      </c>
      <c r="H26" s="241" t="n">
        <v>43465.5</v>
      </c>
      <c r="I26" s="272" t="n">
        <f aca="false">'Curve Analysis - Base Case'!P22</f>
        <v>0.85213888493154</v>
      </c>
      <c r="J26" s="225" t="n">
        <f aca="false">'Curve Analysis - Base Case'!Q22</f>
        <v>1</v>
      </c>
      <c r="K26" s="243"/>
      <c r="L26" s="244" t="e">
        <f aca="false">'Curve Analysis - Base Case'!S22</f>
        <v>#NAME?</v>
      </c>
      <c r="M26" s="244" t="n">
        <f aca="false">'Curve Analysis - Base Case'!T22</f>
        <v>6280575.83267864</v>
      </c>
      <c r="N26" s="244" t="e">
        <f aca="false">'Curve Analysis - Base Case'!U22</f>
        <v>#NAME?</v>
      </c>
      <c r="O26" s="246"/>
      <c r="P26" s="225"/>
      <c r="Q26" s="225"/>
      <c r="R26" s="226"/>
      <c r="T26" s="269" t="n">
        <v>37288</v>
      </c>
      <c r="U26" s="270" t="n">
        <f aca="false">'Company Gas Prices'!C45</f>
        <v>3.83541667</v>
      </c>
      <c r="V26" s="270" t="n">
        <f aca="false">(U26*'Revenues &amp; Expenses'!$S$2)/1000</f>
        <v>36.73945628193</v>
      </c>
      <c r="W26" s="270" t="n">
        <f aca="false">'Revenues &amp; Expenses'!O32*'Revenues &amp; Expenses'!$AM$5*1000</f>
        <v>2.11884549872879</v>
      </c>
      <c r="X26" s="263" t="n">
        <f aca="false">V26+W26</f>
        <v>38.8583017806588</v>
      </c>
    </row>
    <row r="27" customFormat="false" ht="12.75" hidden="false" customHeight="false" outlineLevel="0" collapsed="false">
      <c r="F27" s="262"/>
      <c r="H27" s="241" t="n">
        <v>43830.75</v>
      </c>
      <c r="I27" s="272" t="n">
        <f aca="false">'Curve Analysis - Base Case'!P23</f>
        <v>0.821198322962898</v>
      </c>
      <c r="J27" s="225" t="n">
        <f aca="false">'Curve Analysis - Base Case'!Q23</f>
        <v>1</v>
      </c>
      <c r="K27" s="243"/>
      <c r="L27" s="244" t="e">
        <f aca="false">'Curve Analysis - Base Case'!S23</f>
        <v>#NAME?</v>
      </c>
      <c r="M27" s="244" t="n">
        <f aca="false">'Curve Analysis - Base Case'!T23</f>
        <v>3149900.62551719</v>
      </c>
      <c r="N27" s="244" t="e">
        <f aca="false">'Curve Analysis - Base Case'!U23</f>
        <v>#NAME?</v>
      </c>
      <c r="O27" s="246"/>
      <c r="P27" s="225"/>
      <c r="Q27" s="225"/>
      <c r="R27" s="226"/>
      <c r="T27" s="269" t="n">
        <v>37316</v>
      </c>
      <c r="U27" s="270" t="n">
        <f aca="false">'Company Gas Prices'!C46</f>
        <v>3.83541667</v>
      </c>
      <c r="V27" s="270" t="n">
        <f aca="false">(U27*'Revenues &amp; Expenses'!$S$2)/1000</f>
        <v>36.73945628193</v>
      </c>
      <c r="W27" s="270" t="n">
        <f aca="false">'Revenues &amp; Expenses'!O33*'Revenues &amp; Expenses'!$AM$5*1000</f>
        <v>2.12355490256679</v>
      </c>
      <c r="X27" s="263" t="n">
        <f aca="false">V27+W27</f>
        <v>38.8630111844968</v>
      </c>
    </row>
    <row r="28" customFormat="false" ht="12.75" hidden="false" customHeight="false" outlineLevel="0" collapsed="false">
      <c r="H28" s="241" t="n">
        <v>44196</v>
      </c>
      <c r="I28" s="272" t="n">
        <f aca="false">'Curve Analysis - Base Case'!P24</f>
        <v>0.853316458827519</v>
      </c>
      <c r="J28" s="225" t="n">
        <f aca="false">'Curve Analysis - Base Case'!Q24</f>
        <v>1</v>
      </c>
      <c r="K28" s="243"/>
      <c r="L28" s="244" t="e">
        <f aca="false">'Curve Analysis - Base Case'!S24</f>
        <v>#NAME?</v>
      </c>
      <c r="M28" s="244" t="n">
        <f aca="false">'Curve Analysis - Base Case'!T24</f>
        <v>233927.712842118</v>
      </c>
      <c r="N28" s="244" t="e">
        <f aca="false">'Curve Analysis - Base Case'!U24</f>
        <v>#NAME?</v>
      </c>
      <c r="O28" s="243"/>
      <c r="P28" s="225"/>
      <c r="Q28" s="225"/>
      <c r="R28" s="226"/>
      <c r="T28" s="269" t="n">
        <v>37347</v>
      </c>
      <c r="U28" s="270" t="n">
        <f aca="false">'Company Gas Prices'!C47</f>
        <v>3.98020833</v>
      </c>
      <c r="V28" s="270" t="n">
        <f aca="false">(U28*'Revenues &amp; Expenses'!$S$2)/1000</f>
        <v>38.12641559307</v>
      </c>
      <c r="W28" s="270" t="n">
        <f aca="false">'Revenues &amp; Expenses'!O34*'Revenues &amp; Expenses'!$AM$5*1000</f>
        <v>2.1282747736543</v>
      </c>
      <c r="X28" s="263" t="n">
        <f aca="false">V28+W28</f>
        <v>40.2546903667243</v>
      </c>
    </row>
    <row r="29" customFormat="false" ht="12.75" hidden="false" customHeight="false" outlineLevel="0" collapsed="false">
      <c r="B29" s="261" t="s">
        <v>137</v>
      </c>
      <c r="C29" s="262" t="n">
        <f aca="false">(C7*C11)/1000</f>
        <v>145383.611839315</v>
      </c>
      <c r="F29" s="262" t="n">
        <f aca="false">(F7*F11)/1000</f>
        <v>38819.7329484366</v>
      </c>
      <c r="H29" s="252"/>
      <c r="I29" s="253"/>
      <c r="J29" s="254"/>
      <c r="K29" s="255"/>
      <c r="L29" s="256"/>
      <c r="M29" s="254"/>
      <c r="N29" s="254"/>
      <c r="O29" s="255"/>
      <c r="P29" s="254"/>
      <c r="Q29" s="254"/>
      <c r="R29" s="257"/>
      <c r="T29" s="269" t="n">
        <v>37377</v>
      </c>
      <c r="U29" s="270" t="n">
        <f aca="false">'Company Gas Prices'!C48</f>
        <v>3.81770833</v>
      </c>
      <c r="V29" s="270" t="n">
        <f aca="false">(U29*'Revenues &amp; Expenses'!$S$2)/1000</f>
        <v>36.56982809307</v>
      </c>
      <c r="W29" s="270" t="n">
        <f aca="false">'Revenues &amp; Expenses'!O35*'Revenues &amp; Expenses'!$AM$5*1000</f>
        <v>2.13300513525612</v>
      </c>
      <c r="X29" s="263" t="n">
        <f aca="false">V29+W29</f>
        <v>38.7028332283261</v>
      </c>
    </row>
    <row r="30" customFormat="false" ht="12.75" hidden="false" customHeight="false" outlineLevel="0" collapsed="false">
      <c r="A30" s="261"/>
      <c r="B30" s="261" t="s">
        <v>131</v>
      </c>
      <c r="C30" s="262" t="n">
        <f aca="false">C18</f>
        <v>90000</v>
      </c>
      <c r="F30" s="262" t="n">
        <f aca="false">F18</f>
        <v>90000</v>
      </c>
      <c r="T30" s="269" t="n">
        <v>37408</v>
      </c>
      <c r="U30" s="270" t="n">
        <f aca="false">'Company Gas Prices'!C49</f>
        <v>3.809375</v>
      </c>
      <c r="V30" s="270" t="n">
        <f aca="false">(U30*'Revenues &amp; Expenses'!$S$2)/1000</f>
        <v>36.490003125</v>
      </c>
      <c r="W30" s="270" t="n">
        <f aca="false">'Revenues &amp; Expenses'!O36*'Revenues &amp; Expenses'!$AM$5*1000</f>
        <v>2.13774601068874</v>
      </c>
      <c r="X30" s="263" t="n">
        <f aca="false">V30+W30</f>
        <v>38.6277491356887</v>
      </c>
    </row>
    <row r="31" customFormat="false" ht="12.75" hidden="false" customHeight="false" outlineLevel="0" collapsed="false">
      <c r="A31" s="261"/>
      <c r="B31" s="261" t="s">
        <v>138</v>
      </c>
      <c r="C31" s="279" t="n">
        <f aca="false">C30/C29</f>
        <v>0.619051892172497</v>
      </c>
      <c r="F31" s="279" t="n">
        <f aca="false">F30/F29</f>
        <v>2.31840853000058</v>
      </c>
      <c r="H31" s="280"/>
      <c r="I31" s="280"/>
      <c r="J31" s="280"/>
      <c r="K31" s="280"/>
      <c r="L31" s="280"/>
      <c r="T31" s="269" t="n">
        <v>37438</v>
      </c>
      <c r="U31" s="270" t="n">
        <f aca="false">'Company Gas Prices'!C50</f>
        <v>3.771875</v>
      </c>
      <c r="V31" s="270" t="n">
        <f aca="false">(U31*'Revenues &amp; Expenses'!$S$2)/1000</f>
        <v>36.130790625</v>
      </c>
      <c r="W31" s="270" t="n">
        <f aca="false">'Revenues &amp; Expenses'!O37*'Revenues &amp; Expenses'!$AM$5*1000</f>
        <v>2.1424974233205</v>
      </c>
      <c r="X31" s="263" t="n">
        <f aca="false">V31+W31</f>
        <v>38.2732880483205</v>
      </c>
    </row>
    <row r="32" customFormat="false" ht="12.75" hidden="false" customHeight="false" outlineLevel="0" collapsed="false">
      <c r="A32" s="261"/>
      <c r="T32" s="269" t="n">
        <v>37469</v>
      </c>
      <c r="U32" s="270" t="n">
        <f aca="false">'Company Gas Prices'!C51</f>
        <v>3.771875</v>
      </c>
      <c r="V32" s="270" t="n">
        <f aca="false">(U32*'Revenues &amp; Expenses'!$S$2)/1000</f>
        <v>36.130790625</v>
      </c>
      <c r="W32" s="270" t="n">
        <f aca="false">'Revenues &amp; Expenses'!O38*'Revenues &amp; Expenses'!$AM$5*1000</f>
        <v>2.14725939657166</v>
      </c>
      <c r="X32" s="263" t="n">
        <f aca="false">V32+W32</f>
        <v>38.2780500215717</v>
      </c>
    </row>
    <row r="33" customFormat="false" ht="12.75" hidden="false" customHeight="false" outlineLevel="0" collapsed="false">
      <c r="A33" s="261"/>
      <c r="F33" s="262"/>
      <c r="T33" s="269" t="n">
        <v>37500</v>
      </c>
      <c r="U33" s="270" t="n">
        <f aca="false">'Company Gas Prices'!C52</f>
        <v>3.81770833</v>
      </c>
      <c r="V33" s="270" t="n">
        <f aca="false">(U33*'Revenues &amp; Expenses'!$S$2)/1000</f>
        <v>36.56982809307</v>
      </c>
      <c r="W33" s="270" t="n">
        <f aca="false">'Revenues &amp; Expenses'!O39*'Revenues &amp; Expenses'!$AM$5*1000</f>
        <v>2.15203195391455</v>
      </c>
      <c r="X33" s="263" t="n">
        <f aca="false">V33+W33</f>
        <v>38.7218600469845</v>
      </c>
    </row>
    <row r="34" customFormat="false" ht="12.75" hidden="false" customHeight="false" outlineLevel="0" collapsed="false">
      <c r="A34" s="261"/>
      <c r="F34" s="262"/>
      <c r="T34" s="269" t="n">
        <v>37530</v>
      </c>
      <c r="U34" s="270" t="n">
        <f aca="false">'Company Gas Prices'!C53</f>
        <v>3.778125</v>
      </c>
      <c r="V34" s="270" t="n">
        <f aca="false">(U34*'Revenues &amp; Expenses'!$S$2)/1000</f>
        <v>36.190659375</v>
      </c>
      <c r="W34" s="270" t="n">
        <f aca="false">'Revenues &amp; Expenses'!O40*'Revenues &amp; Expenses'!$AM$5*1000</f>
        <v>2.15681511887365</v>
      </c>
      <c r="X34" s="263" t="n">
        <f aca="false">V34+W34</f>
        <v>38.3474744938737</v>
      </c>
    </row>
    <row r="35" customFormat="false" ht="12.75" hidden="false" customHeight="false" outlineLevel="0" collapsed="false">
      <c r="A35" s="261"/>
      <c r="T35" s="269" t="n">
        <v>37561</v>
      </c>
      <c r="U35" s="270" t="n">
        <f aca="false">'Company Gas Prices'!C54</f>
        <v>3.778125</v>
      </c>
      <c r="V35" s="270" t="n">
        <f aca="false">(U35*'Revenues &amp; Expenses'!$S$2)/1000</f>
        <v>36.190659375</v>
      </c>
      <c r="W35" s="270" t="n">
        <f aca="false">'Revenues &amp; Expenses'!O41*'Revenues &amp; Expenses'!$AM$5*1000</f>
        <v>2.16160891502574</v>
      </c>
      <c r="X35" s="263" t="n">
        <f aca="false">V35+W35</f>
        <v>38.3522682900257</v>
      </c>
    </row>
    <row r="36" customFormat="false" ht="12.75" hidden="false" customHeight="false" outlineLevel="0" collapsed="false">
      <c r="A36" s="261"/>
      <c r="T36" s="269" t="n">
        <v>37591</v>
      </c>
      <c r="U36" s="270" t="n">
        <f aca="false">'Company Gas Prices'!C55</f>
        <v>3.778125</v>
      </c>
      <c r="V36" s="270" t="n">
        <f aca="false">(U36*'Revenues &amp; Expenses'!$S$2)/1000</f>
        <v>36.190659375</v>
      </c>
      <c r="W36" s="270" t="n">
        <f aca="false">'Revenues &amp; Expenses'!O42*'Revenues &amp; Expenses'!$AM$5*1000</f>
        <v>2.166413366</v>
      </c>
      <c r="X36" s="263" t="n">
        <f aca="false">V36+W36</f>
        <v>38.357072741</v>
      </c>
    </row>
    <row r="37" customFormat="false" ht="12.75" hidden="false" customHeight="false" outlineLevel="0" collapsed="false">
      <c r="A37" s="261"/>
      <c r="T37" s="269" t="n">
        <v>37622</v>
      </c>
      <c r="U37" s="270" t="n">
        <f aca="false">'Company Gas Prices'!C56</f>
        <v>3.83541667</v>
      </c>
      <c r="V37" s="270" t="n">
        <f aca="false">(U37*'Revenues &amp; Expenses'!$S$2)/1000</f>
        <v>36.73945628193</v>
      </c>
      <c r="W37" s="270" t="n">
        <f aca="false">'Revenues &amp; Expenses'!O43*'Revenues &amp; Expenses'!$AM$5*1000</f>
        <v>2.17122849547813</v>
      </c>
      <c r="X37" s="263" t="n">
        <f aca="false">V37+W37</f>
        <v>38.9106847774081</v>
      </c>
    </row>
    <row r="38" customFormat="false" ht="13.5" hidden="false" customHeight="false" outlineLevel="0" collapsed="false">
      <c r="A38" s="261"/>
      <c r="T38" s="269" t="n">
        <v>37653</v>
      </c>
      <c r="U38" s="270" t="n">
        <f aca="false">'Company Gas Prices'!C57</f>
        <v>3.83541667</v>
      </c>
      <c r="V38" s="270" t="n">
        <f aca="false">(U38*'Revenues &amp; Expenses'!$S$2)/1000</f>
        <v>36.73945628193</v>
      </c>
      <c r="W38" s="270" t="n">
        <f aca="false">'Revenues &amp; Expenses'!O44*'Revenues &amp; Expenses'!$AM$5*1000</f>
        <v>2.17605432719447</v>
      </c>
      <c r="X38" s="263" t="n">
        <f aca="false">V38+W38</f>
        <v>38.9155106091245</v>
      </c>
    </row>
    <row r="39" customFormat="false" ht="13.5" hidden="false" customHeight="false" outlineLevel="0" collapsed="false">
      <c r="A39" s="261"/>
      <c r="I39" s="281" t="e">
        <f aca="false">L43-L39</f>
        <v>#NAME?</v>
      </c>
      <c r="L39" s="282" t="n">
        <f aca="false">M8</f>
        <v>125699173.570108</v>
      </c>
      <c r="T39" s="269" t="n">
        <v>37681</v>
      </c>
      <c r="U39" s="270" t="n">
        <f aca="false">'Company Gas Prices'!C58</f>
        <v>3.83541667</v>
      </c>
      <c r="V39" s="270" t="n">
        <f aca="false">(U39*'Revenues &amp; Expenses'!$S$2)/1000</f>
        <v>36.73945628193</v>
      </c>
      <c r="W39" s="270" t="n">
        <f aca="false">'Revenues &amp; Expenses'!O45*'Revenues &amp; Expenses'!$AM$5*1000</f>
        <v>2.18089088493609</v>
      </c>
      <c r="X39" s="263" t="n">
        <f aca="false">V39+W39</f>
        <v>38.9203471668661</v>
      </c>
    </row>
    <row r="40" customFormat="false" ht="12.75" hidden="false" customHeight="false" outlineLevel="0" collapsed="false">
      <c r="A40" s="261"/>
      <c r="H40" s="283"/>
      <c r="I40" s="284"/>
      <c r="N40" s="283"/>
      <c r="O40" s="285"/>
      <c r="P40" s="284"/>
      <c r="T40" s="269" t="n">
        <v>37712</v>
      </c>
      <c r="U40" s="270" t="n">
        <f aca="false">'Company Gas Prices'!C59</f>
        <v>3.98020833</v>
      </c>
      <c r="V40" s="270" t="n">
        <f aca="false">(U40*'Revenues &amp; Expenses'!$S$2)/1000</f>
        <v>38.12641559307</v>
      </c>
      <c r="W40" s="270" t="n">
        <f aca="false">'Revenues &amp; Expenses'!O46*'Revenues &amp; Expenses'!$AM$5*1000</f>
        <v>2.18573819254297</v>
      </c>
      <c r="X40" s="263" t="n">
        <f aca="false">V40+W40</f>
        <v>40.312153785613</v>
      </c>
    </row>
    <row r="41" customFormat="false" ht="12.75" hidden="false" customHeight="false" outlineLevel="0" collapsed="false">
      <c r="A41" s="261"/>
      <c r="H41" s="286"/>
      <c r="I41" s="287"/>
      <c r="N41" s="286"/>
      <c r="O41" s="288"/>
      <c r="P41" s="287"/>
      <c r="T41" s="269" t="n">
        <v>37742</v>
      </c>
      <c r="U41" s="270" t="n">
        <f aca="false">'Company Gas Prices'!C60</f>
        <v>3.81770833</v>
      </c>
      <c r="V41" s="270" t="n">
        <f aca="false">(U41*'Revenues &amp; Expenses'!$S$2)/1000</f>
        <v>36.56982809307</v>
      </c>
      <c r="W41" s="270" t="n">
        <f aca="false">'Revenues &amp; Expenses'!O47*'Revenues &amp; Expenses'!$AM$5*1000</f>
        <v>2.19059627390803</v>
      </c>
      <c r="X41" s="263" t="n">
        <f aca="false">V41+W41</f>
        <v>38.760424366978</v>
      </c>
    </row>
    <row r="42" customFormat="false" ht="12.75" hidden="false" customHeight="false" outlineLevel="0" collapsed="false">
      <c r="A42" s="261"/>
      <c r="H42" s="286"/>
      <c r="I42" s="287"/>
      <c r="N42" s="286"/>
      <c r="O42" s="288"/>
      <c r="P42" s="287"/>
      <c r="T42" s="269" t="n">
        <v>37773</v>
      </c>
      <c r="U42" s="270" t="n">
        <f aca="false">'Company Gas Prices'!C61</f>
        <v>3.809375</v>
      </c>
      <c r="V42" s="270" t="n">
        <f aca="false">(U42*'Revenues &amp; Expenses'!$S$2)/1000</f>
        <v>36.490003125</v>
      </c>
      <c r="W42" s="270" t="n">
        <f aca="false">'Revenues &amp; Expenses'!O48*'Revenues &amp; Expenses'!$AM$5*1000</f>
        <v>2.19546515297734</v>
      </c>
      <c r="X42" s="263" t="n">
        <f aca="false">V42+W42</f>
        <v>38.6854682779773</v>
      </c>
    </row>
    <row r="43" customFormat="false" ht="13.5" hidden="false" customHeight="false" outlineLevel="0" collapsed="false">
      <c r="A43" s="261"/>
      <c r="H43" s="289"/>
      <c r="I43" s="290"/>
      <c r="L43" s="282" t="e">
        <f aca="false">L8</f>
        <v>#NAME?</v>
      </c>
      <c r="N43" s="286"/>
      <c r="O43" s="288"/>
      <c r="P43" s="287"/>
      <c r="T43" s="269" t="n">
        <v>37803</v>
      </c>
      <c r="U43" s="270" t="n">
        <f aca="false">'Company Gas Prices'!C62</f>
        <v>3.771875</v>
      </c>
      <c r="V43" s="270" t="n">
        <f aca="false">(U43*'Revenues &amp; Expenses'!$S$2)/1000</f>
        <v>36.130790625</v>
      </c>
      <c r="W43" s="270" t="n">
        <f aca="false">'Revenues &amp; Expenses'!O49*'Revenues &amp; Expenses'!$AM$5*1000</f>
        <v>2.20034485375015</v>
      </c>
      <c r="X43" s="263" t="n">
        <f aca="false">V43+W43</f>
        <v>38.3311354787502</v>
      </c>
    </row>
    <row r="44" customFormat="false" ht="13.5" hidden="false" customHeight="false" outlineLevel="0" collapsed="false">
      <c r="A44" s="261"/>
      <c r="N44" s="286"/>
      <c r="O44" s="288"/>
      <c r="P44" s="287"/>
      <c r="T44" s="269" t="n">
        <v>37834</v>
      </c>
      <c r="U44" s="270" t="n">
        <f aca="false">'Company Gas Prices'!C63</f>
        <v>3.771875</v>
      </c>
      <c r="V44" s="270" t="n">
        <f aca="false">(U44*'Revenues &amp; Expenses'!$S$2)/1000</f>
        <v>36.130790625</v>
      </c>
      <c r="W44" s="270" t="n">
        <f aca="false">'Revenues &amp; Expenses'!O50*'Revenues &amp; Expenses'!$AM$5*1000</f>
        <v>2.2052354002791</v>
      </c>
      <c r="X44" s="263" t="n">
        <f aca="false">V44+W44</f>
        <v>38.3360260252791</v>
      </c>
    </row>
    <row r="45" customFormat="false" ht="13.5" hidden="false" customHeight="false" outlineLevel="0" collapsed="false">
      <c r="A45" s="261"/>
      <c r="I45" s="291" t="e">
        <f aca="false">L50-L46</f>
        <v>#NAME?</v>
      </c>
      <c r="N45" s="286"/>
      <c r="O45" s="288"/>
      <c r="P45" s="287"/>
      <c r="T45" s="269" t="n">
        <v>37865</v>
      </c>
      <c r="U45" s="270" t="n">
        <f aca="false">'Company Gas Prices'!C64</f>
        <v>3.81770833</v>
      </c>
      <c r="V45" s="270" t="n">
        <f aca="false">(U45*'Revenues &amp; Expenses'!$S$2)/1000</f>
        <v>36.56982809307</v>
      </c>
      <c r="W45" s="270" t="n">
        <f aca="false">'Revenues &amp; Expenses'!O51*'Revenues &amp; Expenses'!$AM$5*1000</f>
        <v>2.21013681667024</v>
      </c>
      <c r="X45" s="263" t="n">
        <f aca="false">V45+W45</f>
        <v>38.7799649097402</v>
      </c>
    </row>
    <row r="46" customFormat="false" ht="12.75" hidden="false" customHeight="false" outlineLevel="0" collapsed="false">
      <c r="A46" s="261"/>
      <c r="H46" s="283"/>
      <c r="I46" s="284"/>
      <c r="L46" s="282" t="e">
        <f aca="false">L8</f>
        <v>#NAME?</v>
      </c>
      <c r="N46" s="286"/>
      <c r="O46" s="288"/>
      <c r="P46" s="287"/>
      <c r="T46" s="269" t="n">
        <v>37895</v>
      </c>
      <c r="U46" s="270" t="n">
        <f aca="false">'Company Gas Prices'!C65</f>
        <v>3.778125</v>
      </c>
      <c r="V46" s="270" t="n">
        <f aca="false">(U46*'Revenues &amp; Expenses'!$S$2)/1000</f>
        <v>36.190659375</v>
      </c>
      <c r="W46" s="270" t="n">
        <f aca="false">'Revenues &amp; Expenses'!O52*'Revenues &amp; Expenses'!$AM$5*1000</f>
        <v>2.21504912708324</v>
      </c>
      <c r="X46" s="263" t="n">
        <f aca="false">V46+W46</f>
        <v>38.4057085020832</v>
      </c>
    </row>
    <row r="47" customFormat="false" ht="12.75" hidden="false" customHeight="false" outlineLevel="0" collapsed="false">
      <c r="A47" s="261"/>
      <c r="H47" s="286"/>
      <c r="I47" s="287"/>
      <c r="N47" s="286"/>
      <c r="O47" s="288"/>
      <c r="P47" s="287"/>
      <c r="T47" s="269" t="n">
        <v>37926</v>
      </c>
      <c r="U47" s="270" t="n">
        <f aca="false">'Company Gas Prices'!C66</f>
        <v>3.778125</v>
      </c>
      <c r="V47" s="270" t="n">
        <f aca="false">(U47*'Revenues &amp; Expenses'!$S$2)/1000</f>
        <v>36.190659375</v>
      </c>
      <c r="W47" s="270" t="n">
        <f aca="false">'Revenues &amp; Expenses'!O53*'Revenues &amp; Expenses'!$AM$5*1000</f>
        <v>2.21997235573143</v>
      </c>
      <c r="X47" s="263" t="n">
        <f aca="false">V47+W47</f>
        <v>38.4106317307314</v>
      </c>
    </row>
    <row r="48" customFormat="false" ht="12.75" hidden="false" customHeight="false" outlineLevel="0" collapsed="false">
      <c r="A48" s="261"/>
      <c r="H48" s="286"/>
      <c r="I48" s="287"/>
      <c r="N48" s="286"/>
      <c r="O48" s="288"/>
      <c r="P48" s="287"/>
      <c r="T48" s="269" t="n">
        <v>37956</v>
      </c>
      <c r="U48" s="270" t="n">
        <f aca="false">'Company Gas Prices'!C67</f>
        <v>3.778125</v>
      </c>
      <c r="V48" s="270" t="n">
        <f aca="false">(U48*'Revenues &amp; Expenses'!$S$2)/1000</f>
        <v>36.190659375</v>
      </c>
      <c r="W48" s="270" t="n">
        <f aca="false">'Revenues &amp; Expenses'!O54*'Revenues &amp; Expenses'!$AM$5*1000</f>
        <v>2.224906526882</v>
      </c>
      <c r="X48" s="263" t="n">
        <f aca="false">V48+W48</f>
        <v>38.415565901882</v>
      </c>
    </row>
    <row r="49" customFormat="false" ht="13.5" hidden="false" customHeight="false" outlineLevel="0" collapsed="false">
      <c r="A49" s="261"/>
      <c r="H49" s="289"/>
      <c r="I49" s="290"/>
      <c r="N49" s="289"/>
      <c r="O49" s="292"/>
      <c r="P49" s="290"/>
      <c r="T49" s="269" t="n">
        <v>37987</v>
      </c>
      <c r="U49" s="270" t="n">
        <f aca="false">'Company Gas Prices'!C68</f>
        <v>3.83541667</v>
      </c>
      <c r="V49" s="270" t="n">
        <f aca="false">(U49*'Revenues &amp; Expenses'!$S$2)/1000</f>
        <v>36.73945628193</v>
      </c>
      <c r="W49" s="270" t="n">
        <f aca="false">'Revenues &amp; Expenses'!O55*'Revenues &amp; Expenses'!$AM$5*1000</f>
        <v>2.22985166485604</v>
      </c>
      <c r="X49" s="263" t="n">
        <f aca="false">V49+W49</f>
        <v>38.969307946786</v>
      </c>
    </row>
    <row r="50" customFormat="false" ht="12.75" hidden="false" customHeight="false" outlineLevel="0" collapsed="false">
      <c r="A50" s="261"/>
      <c r="L50" s="282" t="n">
        <f aca="false">M8</f>
        <v>125699173.570108</v>
      </c>
      <c r="T50" s="269" t="n">
        <v>38018</v>
      </c>
      <c r="U50" s="270" t="n">
        <f aca="false">'Company Gas Prices'!C69</f>
        <v>3.83541667</v>
      </c>
      <c r="V50" s="270" t="n">
        <f aca="false">(U50*'Revenues &amp; Expenses'!$S$2)/1000</f>
        <v>36.73945628193</v>
      </c>
      <c r="W50" s="270" t="n">
        <f aca="false">'Revenues &amp; Expenses'!O56*'Revenues &amp; Expenses'!$AM$5*1000</f>
        <v>2.23480779402872</v>
      </c>
      <c r="X50" s="263" t="n">
        <f aca="false">V50+W50</f>
        <v>38.9742640759587</v>
      </c>
    </row>
    <row r="51" customFormat="false" ht="12.75" hidden="false" customHeight="false" outlineLevel="0" collapsed="false">
      <c r="T51" s="269" t="n">
        <v>38047</v>
      </c>
      <c r="U51" s="270" t="n">
        <f aca="false">'Company Gas Prices'!C70</f>
        <v>3.83541667</v>
      </c>
      <c r="V51" s="270" t="n">
        <f aca="false">(U51*'Revenues &amp; Expenses'!$S$2)/1000</f>
        <v>36.73945628193</v>
      </c>
      <c r="W51" s="270" t="n">
        <f aca="false">'Revenues &amp; Expenses'!O57*'Revenues &amp; Expenses'!$AM$5*1000</f>
        <v>2.23977493882937</v>
      </c>
      <c r="X51" s="263" t="n">
        <f aca="false">V51+W51</f>
        <v>38.9792312207594</v>
      </c>
    </row>
    <row r="52" customFormat="false" ht="12.75" hidden="false" customHeight="false" outlineLevel="0" collapsed="false">
      <c r="B52" s="293" t="s">
        <v>139</v>
      </c>
      <c r="F52" s="294"/>
      <c r="T52" s="269" t="n">
        <v>38078</v>
      </c>
      <c r="U52" s="270" t="n">
        <f aca="false">'Company Gas Prices'!C71</f>
        <v>3.98020833</v>
      </c>
      <c r="V52" s="270" t="n">
        <f aca="false">(U52*'Revenues &amp; Expenses'!$S$2)/1000</f>
        <v>38.12641559307</v>
      </c>
      <c r="W52" s="270" t="n">
        <f aca="false">'Revenues &amp; Expenses'!O58*'Revenues &amp; Expenses'!$AM$5*1000</f>
        <v>2.24475312374163</v>
      </c>
      <c r="X52" s="263" t="n">
        <f aca="false">V52+W52</f>
        <v>40.3711687168116</v>
      </c>
    </row>
    <row r="53" customFormat="false" ht="12.75" hidden="false" customHeight="false" outlineLevel="0" collapsed="false">
      <c r="B53" s="261" t="n">
        <v>2000</v>
      </c>
      <c r="C53" s="294" t="s">
        <v>140</v>
      </c>
      <c r="F53" s="295" t="str">
        <f aca="false">I8</f>
        <v>n/a</v>
      </c>
      <c r="T53" s="269" t="n">
        <v>38108</v>
      </c>
      <c r="U53" s="270" t="n">
        <f aca="false">'Company Gas Prices'!C72</f>
        <v>3.81770833</v>
      </c>
      <c r="V53" s="270" t="n">
        <f aca="false">(U53*'Revenues &amp; Expenses'!$S$2)/1000</f>
        <v>36.56982809307</v>
      </c>
      <c r="W53" s="270" t="n">
        <f aca="false">'Revenues &amp; Expenses'!O59*'Revenues &amp; Expenses'!$AM$5*1000</f>
        <v>2.24974237330355</v>
      </c>
      <c r="X53" s="263" t="n">
        <f aca="false">V53+W53</f>
        <v>38.8195704663736</v>
      </c>
    </row>
    <row r="54" customFormat="false" ht="12.75" hidden="false" customHeight="false" outlineLevel="0" collapsed="false">
      <c r="B54" s="261" t="n">
        <f aca="false">B53+1</f>
        <v>2001</v>
      </c>
      <c r="C54" s="295" t="n">
        <v>2.25</v>
      </c>
      <c r="F54" s="295" t="n">
        <f aca="false">I9</f>
        <v>0.387811425248974</v>
      </c>
      <c r="T54" s="269" t="n">
        <v>38139</v>
      </c>
      <c r="U54" s="270" t="n">
        <f aca="false">'Company Gas Prices'!C73</f>
        <v>3.809375</v>
      </c>
      <c r="V54" s="270" t="n">
        <f aca="false">(U54*'Revenues &amp; Expenses'!$S$2)/1000</f>
        <v>36.490003125</v>
      </c>
      <c r="W54" s="270" t="n">
        <f aca="false">'Revenues &amp; Expenses'!O60*'Revenues &amp; Expenses'!$AM$5*1000</f>
        <v>2.25474271210772</v>
      </c>
      <c r="X54" s="263" t="n">
        <f aca="false">V54+W54</f>
        <v>38.7447458371077</v>
      </c>
    </row>
    <row r="55" customFormat="false" ht="12.75" hidden="false" customHeight="false" outlineLevel="0" collapsed="false">
      <c r="B55" s="261" t="n">
        <f aca="false">B54+1</f>
        <v>2002</v>
      </c>
      <c r="C55" s="295" t="n">
        <v>2.26</v>
      </c>
      <c r="F55" s="295" t="n">
        <f aca="false">I10</f>
        <v>0.38329541065498</v>
      </c>
      <c r="T55" s="269" t="n">
        <v>38169</v>
      </c>
      <c r="U55" s="270" t="n">
        <f aca="false">'Company Gas Prices'!C74</f>
        <v>3.771875</v>
      </c>
      <c r="V55" s="270" t="n">
        <f aca="false">(U55*'Revenues &amp; Expenses'!$S$2)/1000</f>
        <v>36.130790625</v>
      </c>
      <c r="W55" s="270" t="n">
        <f aca="false">'Revenues &amp; Expenses'!O61*'Revenues &amp; Expenses'!$AM$5*1000</f>
        <v>2.25975416480141</v>
      </c>
      <c r="X55" s="263" t="n">
        <f aca="false">V55+W55</f>
        <v>38.3905447898014</v>
      </c>
    </row>
    <row r="56" customFormat="false" ht="12.75" hidden="false" customHeight="false" outlineLevel="0" collapsed="false">
      <c r="B56" s="261" t="n">
        <f aca="false">B55+1</f>
        <v>2003</v>
      </c>
      <c r="C56" s="295" t="n">
        <v>2.25</v>
      </c>
      <c r="F56" s="295" t="n">
        <f aca="false">I11</f>
        <v>0.402813530526963</v>
      </c>
      <c r="T56" s="269" t="n">
        <v>38200</v>
      </c>
      <c r="U56" s="270" t="n">
        <f aca="false">'Company Gas Prices'!C75</f>
        <v>3.771875</v>
      </c>
      <c r="V56" s="270" t="n">
        <f aca="false">(U56*'Revenues &amp; Expenses'!$S$2)/1000</f>
        <v>36.130790625</v>
      </c>
      <c r="W56" s="270" t="n">
        <f aca="false">'Revenues &amp; Expenses'!O62*'Revenues &amp; Expenses'!$AM$5*1000</f>
        <v>2.26477675608663</v>
      </c>
      <c r="X56" s="263" t="n">
        <f aca="false">V56+W56</f>
        <v>38.3955673810866</v>
      </c>
    </row>
    <row r="57" customFormat="false" ht="12.75" hidden="false" customHeight="false" outlineLevel="0" collapsed="false">
      <c r="B57" s="261" t="n">
        <f aca="false">B56+1</f>
        <v>2004</v>
      </c>
      <c r="C57" s="295" t="n">
        <v>2.25</v>
      </c>
      <c r="F57" s="295" t="n">
        <f aca="false">I12</f>
        <v>0.411148430129334</v>
      </c>
      <c r="T57" s="269" t="n">
        <v>38231</v>
      </c>
      <c r="U57" s="270" t="n">
        <f aca="false">'Company Gas Prices'!C76</f>
        <v>3.81770833</v>
      </c>
      <c r="V57" s="270" t="n">
        <f aca="false">(U57*'Revenues &amp; Expenses'!$S$2)/1000</f>
        <v>36.56982809307</v>
      </c>
      <c r="W57" s="270" t="n">
        <f aca="false">'Revenues &amp; Expenses'!O63*'Revenues &amp; Expenses'!$AM$5*1000</f>
        <v>2.26981051072034</v>
      </c>
      <c r="X57" s="263" t="n">
        <f aca="false">V57+W57</f>
        <v>38.8396386037903</v>
      </c>
    </row>
    <row r="58" customFormat="false" ht="12.75" hidden="false" customHeight="false" outlineLevel="0" collapsed="false">
      <c r="B58" s="261" t="n">
        <f aca="false">B57+1</f>
        <v>2005</v>
      </c>
      <c r="C58" s="295" t="n">
        <v>2.25</v>
      </c>
      <c r="F58" s="295" t="n">
        <f aca="false">I13</f>
        <v>0.441094087116348</v>
      </c>
      <c r="T58" s="269" t="n">
        <v>38261</v>
      </c>
      <c r="U58" s="270" t="n">
        <f aca="false">'Company Gas Prices'!C77</f>
        <v>3.778125</v>
      </c>
      <c r="V58" s="270" t="n">
        <f aca="false">(U58*'Revenues &amp; Expenses'!$S$2)/1000</f>
        <v>36.190659375</v>
      </c>
      <c r="W58" s="270" t="n">
        <f aca="false">'Revenues &amp; Expenses'!O64*'Revenues &amp; Expenses'!$AM$5*1000</f>
        <v>2.27485545351448</v>
      </c>
      <c r="X58" s="263" t="n">
        <f aca="false">V58+W58</f>
        <v>38.4655148285145</v>
      </c>
    </row>
    <row r="59" customFormat="false" ht="12.75" hidden="false" customHeight="false" outlineLevel="0" collapsed="false">
      <c r="B59" s="261" t="n">
        <f aca="false">B58+1</f>
        <v>2006</v>
      </c>
      <c r="C59" s="295" t="n">
        <v>2.26</v>
      </c>
      <c r="F59" s="295" t="n">
        <f aca="false">I14</f>
        <v>0.475222906573077</v>
      </c>
      <c r="T59" s="269" t="n">
        <v>38292</v>
      </c>
      <c r="U59" s="270" t="n">
        <f aca="false">'Company Gas Prices'!C78</f>
        <v>3.778125</v>
      </c>
      <c r="V59" s="270" t="n">
        <f aca="false">(U59*'Revenues &amp; Expenses'!$S$2)/1000</f>
        <v>36.190659375</v>
      </c>
      <c r="W59" s="270" t="n">
        <f aca="false">'Revenues &amp; Expenses'!O65*'Revenues &amp; Expenses'!$AM$5*1000</f>
        <v>2.27991160933618</v>
      </c>
      <c r="X59" s="263" t="n">
        <f aca="false">V59+W59</f>
        <v>38.4705709843362</v>
      </c>
    </row>
    <row r="60" customFormat="false" ht="12.75" hidden="false" customHeight="false" outlineLevel="0" collapsed="false">
      <c r="B60" s="261" t="n">
        <f aca="false">B59+1</f>
        <v>2007</v>
      </c>
      <c r="C60" s="295" t="n">
        <v>2.25</v>
      </c>
      <c r="F60" s="295" t="n">
        <f aca="false">I15</f>
        <v>0.494127619948434</v>
      </c>
      <c r="T60" s="269" t="n">
        <v>38322</v>
      </c>
      <c r="U60" s="270" t="n">
        <f aca="false">'Company Gas Prices'!C79</f>
        <v>3.778125</v>
      </c>
      <c r="V60" s="270" t="n">
        <f aca="false">(U60*'Revenues &amp; Expenses'!$S$2)/1000</f>
        <v>36.190659375</v>
      </c>
      <c r="W60" s="270" t="n">
        <f aca="false">'Revenues &amp; Expenses'!O66*'Revenues &amp; Expenses'!$AM$5*1000</f>
        <v>2.28497900310781</v>
      </c>
      <c r="X60" s="263" t="n">
        <f aca="false">V60+W60</f>
        <v>38.4756383781078</v>
      </c>
    </row>
    <row r="61" customFormat="false" ht="12.75" hidden="false" customHeight="false" outlineLevel="0" collapsed="false">
      <c r="B61" s="261" t="n">
        <f aca="false">B60+1</f>
        <v>2008</v>
      </c>
      <c r="C61" s="295" t="n">
        <v>2.25</v>
      </c>
      <c r="F61" s="295" t="n">
        <f aca="false">I16</f>
        <v>0.521456068918546</v>
      </c>
      <c r="T61" s="269" t="n">
        <v>38353</v>
      </c>
      <c r="U61" s="270" t="n">
        <f aca="false">'Company Gas Prices'!C80</f>
        <v>3.83541667</v>
      </c>
      <c r="V61" s="270" t="n">
        <f aca="false">(U61*'Revenues &amp; Expenses'!$S$2)/1000</f>
        <v>36.73945628193</v>
      </c>
      <c r="W61" s="270" t="n">
        <f aca="false">'Revenues &amp; Expenses'!O67*'Revenues &amp; Expenses'!$AM$5*1000</f>
        <v>2.29005765980715</v>
      </c>
      <c r="X61" s="263" t="n">
        <f aca="false">V61+W61</f>
        <v>39.0295139417372</v>
      </c>
    </row>
    <row r="62" customFormat="false" ht="12.75" hidden="false" customHeight="false" outlineLevel="0" collapsed="false">
      <c r="B62" s="261" t="n">
        <f aca="false">B61+1</f>
        <v>2009</v>
      </c>
      <c r="C62" s="295" t="n">
        <v>2.32</v>
      </c>
      <c r="F62" s="295" t="n">
        <f aca="false">I17</f>
        <v>0.56955453062379</v>
      </c>
      <c r="T62" s="269" t="n">
        <v>38384</v>
      </c>
      <c r="U62" s="270" t="n">
        <f aca="false">'Company Gas Prices'!C81</f>
        <v>3.83541667</v>
      </c>
      <c r="V62" s="270" t="n">
        <f aca="false">(U62*'Revenues &amp; Expenses'!$S$2)/1000</f>
        <v>36.73945628193</v>
      </c>
      <c r="W62" s="270" t="n">
        <f aca="false">'Revenues &amp; Expenses'!O68*'Revenues &amp; Expenses'!$AM$5*1000</f>
        <v>2.29514760446749</v>
      </c>
      <c r="X62" s="263" t="n">
        <f aca="false">V62+W62</f>
        <v>39.0346038863975</v>
      </c>
    </row>
    <row r="63" customFormat="false" ht="12.75" hidden="false" customHeight="false" outlineLevel="0" collapsed="false">
      <c r="B63" s="261" t="n">
        <f aca="false">B62+1</f>
        <v>2010</v>
      </c>
      <c r="C63" s="295" t="n">
        <v>2.52</v>
      </c>
      <c r="F63" s="295" t="n">
        <f aca="false">I18</f>
        <v>0.605076786301983</v>
      </c>
      <c r="T63" s="269" t="n">
        <v>38412</v>
      </c>
      <c r="U63" s="270" t="n">
        <f aca="false">'Company Gas Prices'!C82</f>
        <v>3.83541667</v>
      </c>
      <c r="V63" s="270" t="n">
        <f aca="false">(U63*'Revenues &amp; Expenses'!$S$2)/1000</f>
        <v>36.73945628193</v>
      </c>
      <c r="W63" s="270" t="n">
        <f aca="false">'Revenues &amp; Expenses'!O69*'Revenues &amp; Expenses'!$AM$5*1000</f>
        <v>2.30024886217776</v>
      </c>
      <c r="X63" s="263" t="n">
        <f aca="false">V63+W63</f>
        <v>39.0397051441078</v>
      </c>
    </row>
    <row r="64" customFormat="false" ht="12.75" hidden="false" customHeight="false" outlineLevel="0" collapsed="false">
      <c r="B64" s="261" t="n">
        <f aca="false">B63+1</f>
        <v>2011</v>
      </c>
      <c r="C64" s="295" t="n">
        <v>2.65</v>
      </c>
      <c r="F64" s="295" t="n">
        <f aca="false">I19</f>
        <v>0.624734732465973</v>
      </c>
      <c r="T64" s="269" t="n">
        <v>38443</v>
      </c>
      <c r="U64" s="270" t="n">
        <f aca="false">'Company Gas Prices'!C83</f>
        <v>3.98020833</v>
      </c>
      <c r="V64" s="270" t="n">
        <f aca="false">(U64*'Revenues &amp; Expenses'!$S$2)/1000</f>
        <v>38.12641559307</v>
      </c>
      <c r="W64" s="270" t="n">
        <f aca="false">'Revenues &amp; Expenses'!O70*'Revenues &amp; Expenses'!$AM$5*1000</f>
        <v>2.30536145808265</v>
      </c>
      <c r="X64" s="263" t="n">
        <f aca="false">V64+W64</f>
        <v>40.4317770511527</v>
      </c>
    </row>
    <row r="65" customFormat="false" ht="12.75" hidden="false" customHeight="false" outlineLevel="0" collapsed="false">
      <c r="B65" s="261" t="n">
        <f aca="false">B64+1</f>
        <v>2012</v>
      </c>
      <c r="C65" s="295" t="n">
        <v>2.84</v>
      </c>
      <c r="F65" s="295" t="n">
        <f aca="false">I20</f>
        <v>0.657520620962128</v>
      </c>
      <c r="T65" s="269" t="n">
        <v>38473</v>
      </c>
      <c r="U65" s="270" t="n">
        <f aca="false">'Company Gas Prices'!C84</f>
        <v>3.81770833</v>
      </c>
      <c r="V65" s="270" t="n">
        <f aca="false">(U65*'Revenues &amp; Expenses'!$S$2)/1000</f>
        <v>36.56982809307</v>
      </c>
      <c r="W65" s="270" t="n">
        <f aca="false">'Revenues &amp; Expenses'!O71*'Revenues &amp; Expenses'!$AM$5*1000</f>
        <v>2.31048541738274</v>
      </c>
      <c r="X65" s="263" t="n">
        <f aca="false">V65+W65</f>
        <v>38.8803135104527</v>
      </c>
    </row>
    <row r="66" customFormat="false" ht="12.75" hidden="false" customHeight="false" outlineLevel="0" collapsed="false">
      <c r="B66" s="261" t="n">
        <f aca="false">B65+1</f>
        <v>2013</v>
      </c>
      <c r="C66" s="295" t="n">
        <v>2.89</v>
      </c>
      <c r="F66" s="295" t="n">
        <f aca="false">I21</f>
        <v>0.701952153271403</v>
      </c>
      <c r="T66" s="269" t="n">
        <v>38504</v>
      </c>
      <c r="U66" s="270" t="n">
        <f aca="false">'Company Gas Prices'!C85</f>
        <v>3.809375</v>
      </c>
      <c r="V66" s="270" t="n">
        <f aca="false">(U66*'Revenues &amp; Expenses'!$S$2)/1000</f>
        <v>36.490003125</v>
      </c>
      <c r="W66" s="270" t="n">
        <f aca="false">'Revenues &amp; Expenses'!O72*'Revenues &amp; Expenses'!$AM$5*1000</f>
        <v>2.31562076533463</v>
      </c>
      <c r="X66" s="263" t="n">
        <f aca="false">V66+W66</f>
        <v>38.8056238903346</v>
      </c>
    </row>
    <row r="67" customFormat="false" ht="12.75" hidden="false" customHeight="false" outlineLevel="0" collapsed="false">
      <c r="B67" s="261" t="n">
        <f aca="false">B66+1</f>
        <v>2014</v>
      </c>
      <c r="C67" s="295" t="n">
        <v>3.94</v>
      </c>
      <c r="F67" s="295" t="n">
        <f aca="false">I22</f>
        <v>0.730792452100272</v>
      </c>
      <c r="T67" s="269" t="n">
        <v>38534</v>
      </c>
      <c r="U67" s="270" t="n">
        <f aca="false">'Company Gas Prices'!C86</f>
        <v>3.771875</v>
      </c>
      <c r="V67" s="270" t="n">
        <f aca="false">(U67*'Revenues &amp; Expenses'!$S$2)/1000</f>
        <v>36.130790625</v>
      </c>
      <c r="W67" s="270" t="n">
        <f aca="false">'Revenues &amp; Expenses'!O73*'Revenues &amp; Expenses'!$AM$5*1000</f>
        <v>2.32076752725105</v>
      </c>
      <c r="X67" s="263" t="n">
        <f aca="false">V67+W67</f>
        <v>38.451558152251</v>
      </c>
    </row>
    <row r="68" customFormat="false" ht="12.75" hidden="false" customHeight="false" outlineLevel="0" collapsed="false">
      <c r="B68" s="261" t="n">
        <f aca="false">B67+1</f>
        <v>2015</v>
      </c>
      <c r="C68" s="295" t="n">
        <v>5.71</v>
      </c>
      <c r="F68" s="295" t="n">
        <f aca="false">I23</f>
        <v>0.746537297554647</v>
      </c>
      <c r="T68" s="269" t="n">
        <v>38565</v>
      </c>
      <c r="U68" s="270" t="n">
        <f aca="false">'Company Gas Prices'!C87</f>
        <v>3.771875</v>
      </c>
      <c r="V68" s="270" t="n">
        <f aca="false">(U68*'Revenues &amp; Expenses'!$S$2)/1000</f>
        <v>36.130790625</v>
      </c>
      <c r="W68" s="270" t="n">
        <f aca="false">'Revenues &amp; Expenses'!O74*'Revenues &amp; Expenses'!$AM$5*1000</f>
        <v>2.32592572850097</v>
      </c>
      <c r="X68" s="263" t="n">
        <f aca="false">V68+W68</f>
        <v>38.456716353501</v>
      </c>
    </row>
    <row r="69" customFormat="false" ht="12.75" hidden="false" customHeight="false" outlineLevel="0" collapsed="false">
      <c r="B69" s="261" t="n">
        <f aca="false">B68+1</f>
        <v>2016</v>
      </c>
      <c r="C69" s="294" t="s">
        <v>140</v>
      </c>
      <c r="F69" s="295" t="n">
        <f aca="false">I24</f>
        <v>0.778720339997219</v>
      </c>
      <c r="T69" s="269" t="n">
        <v>38596</v>
      </c>
      <c r="U69" s="270" t="n">
        <f aca="false">'Company Gas Prices'!C88</f>
        <v>3.81770833</v>
      </c>
      <c r="V69" s="270" t="n">
        <f aca="false">(U69*'Revenues &amp; Expenses'!$S$2)/1000</f>
        <v>36.56982809307</v>
      </c>
      <c r="W69" s="270" t="n">
        <f aca="false">'Revenues &amp; Expenses'!O75*'Revenues &amp; Expenses'!$AM$5*1000</f>
        <v>2.33109539450979</v>
      </c>
      <c r="X69" s="263" t="n">
        <f aca="false">V69+W69</f>
        <v>38.9009234875798</v>
      </c>
    </row>
    <row r="70" customFormat="false" ht="12.75" hidden="false" customHeight="false" outlineLevel="0" collapsed="false">
      <c r="B70" s="261" t="n">
        <f aca="false">B69+1</f>
        <v>2017</v>
      </c>
      <c r="C70" s="294" t="s">
        <v>140</v>
      </c>
      <c r="F70" s="295" t="n">
        <f aca="false">I25</f>
        <v>0.825428583913113</v>
      </c>
      <c r="T70" s="269" t="n">
        <v>38626</v>
      </c>
      <c r="U70" s="270" t="n">
        <f aca="false">'Company Gas Prices'!C89</f>
        <v>3.778125</v>
      </c>
      <c r="V70" s="270" t="n">
        <f aca="false">(U70*'Revenues &amp; Expenses'!$S$2)/1000</f>
        <v>36.190659375</v>
      </c>
      <c r="W70" s="270" t="n">
        <f aca="false">'Revenues &amp; Expenses'!O76*'Revenues &amp; Expenses'!$AM$5*1000</f>
        <v>2.33627655075937</v>
      </c>
      <c r="X70" s="263" t="n">
        <f aca="false">V70+W70</f>
        <v>38.5269359257594</v>
      </c>
    </row>
    <row r="71" customFormat="false" ht="12.75" hidden="false" customHeight="false" outlineLevel="0" collapsed="false">
      <c r="B71" s="261" t="n">
        <f aca="false">B70+1</f>
        <v>2018</v>
      </c>
      <c r="C71" s="294" t="s">
        <v>140</v>
      </c>
      <c r="F71" s="295" t="n">
        <f aca="false">I26</f>
        <v>0.85213888493154</v>
      </c>
      <c r="T71" s="269" t="n">
        <v>38657</v>
      </c>
      <c r="U71" s="270" t="n">
        <f aca="false">'Company Gas Prices'!C90</f>
        <v>3.778125</v>
      </c>
      <c r="V71" s="270" t="n">
        <f aca="false">(U71*'Revenues &amp; Expenses'!$S$2)/1000</f>
        <v>36.190659375</v>
      </c>
      <c r="W71" s="270" t="n">
        <f aca="false">'Revenues &amp; Expenses'!O77*'Revenues &amp; Expenses'!$AM$5*1000</f>
        <v>2.34146922278826</v>
      </c>
      <c r="X71" s="263" t="n">
        <f aca="false">V71+W71</f>
        <v>38.5321285977883</v>
      </c>
    </row>
    <row r="72" customFormat="false" ht="12.75" hidden="false" customHeight="false" outlineLevel="0" collapsed="false">
      <c r="B72" s="261" t="n">
        <f aca="false">B71+1</f>
        <v>2019</v>
      </c>
      <c r="C72" s="294" t="s">
        <v>140</v>
      </c>
      <c r="F72" s="295" t="n">
        <f aca="false">I27</f>
        <v>0.821198322962898</v>
      </c>
      <c r="T72" s="269" t="n">
        <v>38687</v>
      </c>
      <c r="U72" s="270" t="n">
        <f aca="false">'Company Gas Prices'!C91</f>
        <v>3.778125</v>
      </c>
      <c r="V72" s="270" t="n">
        <f aca="false">(U72*'Revenues &amp; Expenses'!$S$2)/1000</f>
        <v>36.190659375</v>
      </c>
      <c r="W72" s="270" t="n">
        <f aca="false">'Revenues &amp; Expenses'!O78*'Revenues &amp; Expenses'!$AM$5*1000</f>
        <v>2.34667343619172</v>
      </c>
      <c r="X72" s="263" t="n">
        <f aca="false">V72+W72</f>
        <v>38.5373328111917</v>
      </c>
    </row>
    <row r="73" customFormat="false" ht="12.75" hidden="false" customHeight="false" outlineLevel="0" collapsed="false">
      <c r="B73" s="261" t="n">
        <f aca="false">B72+1</f>
        <v>2020</v>
      </c>
      <c r="C73" s="294" t="s">
        <v>140</v>
      </c>
      <c r="F73" s="295" t="n">
        <f aca="false">I28</f>
        <v>0.853316458827519</v>
      </c>
      <c r="T73" s="269" t="n">
        <v>38718</v>
      </c>
      <c r="U73" s="270" t="n">
        <f aca="false">'Company Gas Prices'!C92</f>
        <v>3.83541667</v>
      </c>
      <c r="V73" s="270" t="n">
        <f aca="false">(U73*'Revenues &amp; Expenses'!$S$2)/1000</f>
        <v>36.73945628193</v>
      </c>
      <c r="W73" s="270" t="n">
        <f aca="false">'Revenues &amp; Expenses'!O79*'Revenues &amp; Expenses'!$AM$5*1000</f>
        <v>2.35188921662195</v>
      </c>
      <c r="X73" s="263" t="n">
        <f aca="false">V73+W73</f>
        <v>39.0913454985519</v>
      </c>
    </row>
    <row r="74" customFormat="false" ht="12.75" hidden="false" customHeight="false" outlineLevel="0" collapsed="false">
      <c r="T74" s="269" t="n">
        <v>38749</v>
      </c>
      <c r="U74" s="270" t="n">
        <f aca="false">'Company Gas Prices'!C93</f>
        <v>3.83541667</v>
      </c>
      <c r="V74" s="270" t="n">
        <f aca="false">(U74*'Revenues &amp; Expenses'!$S$2)/1000</f>
        <v>36.73945628193</v>
      </c>
      <c r="W74" s="270" t="n">
        <f aca="false">'Revenues &amp; Expenses'!O80*'Revenues &amp; Expenses'!$AM$5*1000</f>
        <v>2.35711658978811</v>
      </c>
      <c r="X74" s="263" t="n">
        <f aca="false">V74+W74</f>
        <v>39.0965728717181</v>
      </c>
    </row>
    <row r="75" customFormat="false" ht="12.75" hidden="false" customHeight="false" outlineLevel="0" collapsed="false">
      <c r="T75" s="269" t="n">
        <v>38777</v>
      </c>
      <c r="U75" s="270" t="n">
        <f aca="false">'Company Gas Prices'!C94</f>
        <v>3.83541667</v>
      </c>
      <c r="V75" s="270" t="n">
        <f aca="false">(U75*'Revenues &amp; Expenses'!$S$2)/1000</f>
        <v>36.73945628193</v>
      </c>
      <c r="W75" s="270" t="n">
        <f aca="false">'Revenues &amp; Expenses'!O81*'Revenues &amp; Expenses'!$AM$5*1000</f>
        <v>2.36235558145656</v>
      </c>
      <c r="X75" s="263" t="n">
        <f aca="false">V75+W75</f>
        <v>39.1018118633866</v>
      </c>
    </row>
    <row r="76" customFormat="false" ht="12.75" hidden="false" customHeight="false" outlineLevel="0" collapsed="false">
      <c r="T76" s="269" t="n">
        <v>38808</v>
      </c>
      <c r="U76" s="270" t="n">
        <f aca="false">'Company Gas Prices'!C95</f>
        <v>3.98020833</v>
      </c>
      <c r="V76" s="270" t="n">
        <f aca="false">(U76*'Revenues &amp; Expenses'!$S$2)/1000</f>
        <v>38.12641559307</v>
      </c>
      <c r="W76" s="270" t="n">
        <f aca="false">'Revenues &amp; Expenses'!O82*'Revenues &amp; Expenses'!$AM$5*1000</f>
        <v>2.36760621745088</v>
      </c>
      <c r="X76" s="263" t="n">
        <f aca="false">V76+W76</f>
        <v>40.4940218105209</v>
      </c>
    </row>
    <row r="77" customFormat="false" ht="12.75" hidden="false" customHeight="false" outlineLevel="0" collapsed="false">
      <c r="T77" s="269" t="n">
        <v>38838</v>
      </c>
      <c r="U77" s="270" t="n">
        <f aca="false">'Company Gas Prices'!C96</f>
        <v>3.81770833</v>
      </c>
      <c r="V77" s="270" t="n">
        <f aca="false">(U77*'Revenues &amp; Expenses'!$S$2)/1000</f>
        <v>36.56982809307</v>
      </c>
      <c r="W77" s="270" t="n">
        <f aca="false">'Revenues &amp; Expenses'!O83*'Revenues &amp; Expenses'!$AM$5*1000</f>
        <v>2.37286852365208</v>
      </c>
      <c r="X77" s="263" t="n">
        <f aca="false">V77+W77</f>
        <v>38.9426966167221</v>
      </c>
    </row>
    <row r="78" customFormat="false" ht="12.75" hidden="false" customHeight="false" outlineLevel="0" collapsed="false">
      <c r="T78" s="269" t="n">
        <v>38869</v>
      </c>
      <c r="U78" s="270" t="n">
        <f aca="false">'Company Gas Prices'!C97</f>
        <v>3.809375</v>
      </c>
      <c r="V78" s="270" t="n">
        <f aca="false">(U78*'Revenues &amp; Expenses'!$S$2)/1000</f>
        <v>36.490003125</v>
      </c>
      <c r="W78" s="270" t="n">
        <f aca="false">'Revenues &amp; Expenses'!O84*'Revenues &amp; Expenses'!$AM$5*1000</f>
        <v>2.37814252599867</v>
      </c>
      <c r="X78" s="263" t="n">
        <f aca="false">V78+W78</f>
        <v>38.8681456509987</v>
      </c>
    </row>
    <row r="79" customFormat="false" ht="12.75" hidden="false" customHeight="false" outlineLevel="0" collapsed="false">
      <c r="T79" s="269" t="n">
        <v>38899</v>
      </c>
      <c r="U79" s="270" t="n">
        <f aca="false">'Company Gas Prices'!C98</f>
        <v>3.771875</v>
      </c>
      <c r="V79" s="270" t="n">
        <f aca="false">(U79*'Revenues &amp; Expenses'!$S$2)/1000</f>
        <v>36.130790625</v>
      </c>
      <c r="W79" s="270" t="n">
        <f aca="false">'Revenues &amp; Expenses'!O85*'Revenues &amp; Expenses'!$AM$5*1000</f>
        <v>2.38342825048682</v>
      </c>
      <c r="X79" s="263" t="n">
        <f aca="false">V79+W79</f>
        <v>38.5142188754868</v>
      </c>
    </row>
    <row r="80" customFormat="false" ht="12.75" hidden="false" customHeight="false" outlineLevel="0" collapsed="false">
      <c r="T80" s="269" t="n">
        <v>38930</v>
      </c>
      <c r="U80" s="270" t="n">
        <f aca="false">'Company Gas Prices'!C99</f>
        <v>3.771875</v>
      </c>
      <c r="V80" s="270" t="n">
        <f aca="false">(U80*'Revenues &amp; Expenses'!$S$2)/1000</f>
        <v>36.130790625</v>
      </c>
      <c r="W80" s="270" t="n">
        <f aca="false">'Revenues &amp; Expenses'!O86*'Revenues &amp; Expenses'!$AM$5*1000</f>
        <v>2.3887257231705</v>
      </c>
      <c r="X80" s="263" t="n">
        <f aca="false">V80+W80</f>
        <v>38.5195163481705</v>
      </c>
    </row>
    <row r="81" customFormat="false" ht="12.75" hidden="false" customHeight="false" outlineLevel="0" collapsed="false">
      <c r="T81" s="269" t="n">
        <v>38961</v>
      </c>
      <c r="U81" s="270" t="n">
        <f aca="false">'Company Gas Prices'!C100</f>
        <v>3.81770833</v>
      </c>
      <c r="V81" s="270" t="n">
        <f aca="false">(U81*'Revenues &amp; Expenses'!$S$2)/1000</f>
        <v>36.56982809307</v>
      </c>
      <c r="W81" s="270" t="n">
        <f aca="false">'Revenues &amp; Expenses'!O87*'Revenues &amp; Expenses'!$AM$5*1000</f>
        <v>2.39403497016155</v>
      </c>
      <c r="X81" s="263" t="n">
        <f aca="false">V81+W81</f>
        <v>38.9638630632316</v>
      </c>
    </row>
    <row r="82" customFormat="false" ht="12.75" hidden="false" customHeight="false" outlineLevel="0" collapsed="false">
      <c r="T82" s="269" t="n">
        <v>38991</v>
      </c>
      <c r="U82" s="270" t="n">
        <f aca="false">'Company Gas Prices'!C101</f>
        <v>3.778125</v>
      </c>
      <c r="V82" s="270" t="n">
        <f aca="false">(U82*'Revenues &amp; Expenses'!$S$2)/1000</f>
        <v>36.190659375</v>
      </c>
      <c r="W82" s="270" t="n">
        <f aca="false">'Revenues &amp; Expenses'!O88*'Revenues &amp; Expenses'!$AM$5*1000</f>
        <v>2.39935601762988</v>
      </c>
      <c r="X82" s="263" t="n">
        <f aca="false">V82+W82</f>
        <v>38.5900153926299</v>
      </c>
    </row>
    <row r="83" customFormat="false" ht="12.75" hidden="false" customHeight="false" outlineLevel="0" collapsed="false">
      <c r="T83" s="269" t="n">
        <v>39022</v>
      </c>
      <c r="U83" s="270" t="n">
        <f aca="false">'Company Gas Prices'!C102</f>
        <v>3.778125</v>
      </c>
      <c r="V83" s="270" t="n">
        <f aca="false">(U83*'Revenues &amp; Expenses'!$S$2)/1000</f>
        <v>36.190659375</v>
      </c>
      <c r="W83" s="270" t="n">
        <f aca="false">'Revenues &amp; Expenses'!O89*'Revenues &amp; Expenses'!$AM$5*1000</f>
        <v>2.40468889180354</v>
      </c>
      <c r="X83" s="263" t="n">
        <f aca="false">V83+W83</f>
        <v>38.5953482668035</v>
      </c>
    </row>
    <row r="84" customFormat="false" ht="12.75" hidden="false" customHeight="false" outlineLevel="0" collapsed="false">
      <c r="T84" s="269" t="n">
        <v>39052</v>
      </c>
      <c r="U84" s="270" t="n">
        <f aca="false">'Company Gas Prices'!C103</f>
        <v>3.778125</v>
      </c>
      <c r="V84" s="270" t="n">
        <f aca="false">(U84*'Revenues &amp; Expenses'!$S$2)/1000</f>
        <v>36.190659375</v>
      </c>
      <c r="W84" s="270" t="n">
        <f aca="false">'Revenues &amp; Expenses'!O90*'Revenues &amp; Expenses'!$AM$5*1000</f>
        <v>2.4100336189689</v>
      </c>
      <c r="X84" s="263" t="n">
        <f aca="false">V84+W84</f>
        <v>38.6006929939689</v>
      </c>
    </row>
    <row r="85" customFormat="false" ht="12.75" hidden="false" customHeight="false" outlineLevel="0" collapsed="false">
      <c r="T85" s="269" t="n">
        <v>39083</v>
      </c>
      <c r="U85" s="270" t="n">
        <f aca="false">'Company Gas Prices'!C104</f>
        <v>3.83541667</v>
      </c>
      <c r="V85" s="270" t="n">
        <f aca="false">(U85*'Revenues &amp; Expenses'!$S$2)/1000</f>
        <v>36.73945628193</v>
      </c>
      <c r="W85" s="270" t="n">
        <f aca="false">'Revenues &amp; Expenses'!O91*'Revenues &amp; Expenses'!$AM$5*1000</f>
        <v>2.41539022547074</v>
      </c>
      <c r="X85" s="263" t="n">
        <f aca="false">V85+W85</f>
        <v>39.1548465074007</v>
      </c>
    </row>
    <row r="86" customFormat="false" ht="12.75" hidden="false" customHeight="false" outlineLevel="0" collapsed="false">
      <c r="T86" s="269" t="n">
        <v>39114</v>
      </c>
      <c r="U86" s="270" t="n">
        <f aca="false">'Company Gas Prices'!C105</f>
        <v>3.83541667</v>
      </c>
      <c r="V86" s="270" t="n">
        <f aca="false">(U86*'Revenues &amp; Expenses'!$S$2)/1000</f>
        <v>36.73945628193</v>
      </c>
      <c r="W86" s="270" t="n">
        <f aca="false">'Revenues &amp; Expenses'!O92*'Revenues &amp; Expenses'!$AM$5*1000</f>
        <v>2.42075873771239</v>
      </c>
      <c r="X86" s="263" t="n">
        <f aca="false">V86+W86</f>
        <v>39.1602150196424</v>
      </c>
    </row>
    <row r="87" customFormat="false" ht="12.75" hidden="false" customHeight="false" outlineLevel="0" collapsed="false">
      <c r="T87" s="269" t="n">
        <v>39142</v>
      </c>
      <c r="U87" s="270" t="n">
        <f aca="false">'Company Gas Prices'!C106</f>
        <v>3.83541667</v>
      </c>
      <c r="V87" s="270" t="n">
        <f aca="false">(U87*'Revenues &amp; Expenses'!$S$2)/1000</f>
        <v>36.73945628193</v>
      </c>
      <c r="W87" s="270" t="n">
        <f aca="false">'Revenues &amp; Expenses'!O93*'Revenues &amp; Expenses'!$AM$5*1000</f>
        <v>2.42613918215589</v>
      </c>
      <c r="X87" s="263" t="n">
        <f aca="false">V87+W87</f>
        <v>39.1655954640859</v>
      </c>
    </row>
    <row r="88" customFormat="false" ht="12.75" hidden="false" customHeight="false" outlineLevel="0" collapsed="false">
      <c r="T88" s="269" t="n">
        <v>39173</v>
      </c>
      <c r="U88" s="270" t="n">
        <f aca="false">'Company Gas Prices'!C107</f>
        <v>3.98020833</v>
      </c>
      <c r="V88" s="270" t="n">
        <f aca="false">(U88*'Revenues &amp; Expenses'!$S$2)/1000</f>
        <v>38.12641559307</v>
      </c>
      <c r="W88" s="270" t="n">
        <f aca="false">'Revenues &amp; Expenses'!O94*'Revenues &amp; Expenses'!$AM$5*1000</f>
        <v>2.43153158532206</v>
      </c>
      <c r="X88" s="263" t="n">
        <f aca="false">V88+W88</f>
        <v>40.5579471783921</v>
      </c>
    </row>
    <row r="89" customFormat="false" ht="12.75" hidden="false" customHeight="false" outlineLevel="0" collapsed="false">
      <c r="T89" s="269" t="n">
        <v>39203</v>
      </c>
      <c r="U89" s="270" t="n">
        <f aca="false">'Company Gas Prices'!C108</f>
        <v>3.81770833</v>
      </c>
      <c r="V89" s="270" t="n">
        <f aca="false">(U89*'Revenues &amp; Expenses'!$S$2)/1000</f>
        <v>36.56982809307</v>
      </c>
      <c r="W89" s="270" t="n">
        <f aca="false">'Revenues &amp; Expenses'!O95*'Revenues &amp; Expenses'!$AM$5*1000</f>
        <v>2.43693597379068</v>
      </c>
      <c r="X89" s="263" t="n">
        <f aca="false">V89+W89</f>
        <v>39.0067640668607</v>
      </c>
    </row>
    <row r="90" customFormat="false" ht="12.75" hidden="false" customHeight="false" outlineLevel="0" collapsed="false">
      <c r="T90" s="269" t="n">
        <v>39234</v>
      </c>
      <c r="U90" s="270" t="n">
        <f aca="false">'Company Gas Prices'!C109</f>
        <v>3.809375</v>
      </c>
      <c r="V90" s="270" t="n">
        <f aca="false">(U90*'Revenues &amp; Expenses'!$S$2)/1000</f>
        <v>36.490003125</v>
      </c>
      <c r="W90" s="270" t="n">
        <f aca="false">'Revenues &amp; Expenses'!O96*'Revenues &amp; Expenses'!$AM$5*1000</f>
        <v>2.44235237420063</v>
      </c>
      <c r="X90" s="263" t="n">
        <f aca="false">V90+W90</f>
        <v>38.9323554992006</v>
      </c>
    </row>
    <row r="91" customFormat="false" ht="12.75" hidden="false" customHeight="false" outlineLevel="0" collapsed="false">
      <c r="T91" s="269" t="n">
        <v>39264</v>
      </c>
      <c r="U91" s="270" t="n">
        <f aca="false">'Company Gas Prices'!C110</f>
        <v>3.771875</v>
      </c>
      <c r="V91" s="270" t="n">
        <f aca="false">(U91*'Revenues &amp; Expenses'!$S$2)/1000</f>
        <v>36.130790625</v>
      </c>
      <c r="W91" s="270" t="n">
        <f aca="false">'Revenues &amp; Expenses'!O97*'Revenues &amp; Expenses'!$AM$5*1000</f>
        <v>2.44778081324997</v>
      </c>
      <c r="X91" s="263" t="n">
        <f aca="false">V91+W91</f>
        <v>38.57857143825</v>
      </c>
    </row>
    <row r="92" customFormat="false" ht="12.75" hidden="false" customHeight="false" outlineLevel="0" collapsed="false">
      <c r="T92" s="269" t="n">
        <v>39295</v>
      </c>
      <c r="U92" s="270" t="n">
        <f aca="false">'Company Gas Prices'!C111</f>
        <v>3.771875</v>
      </c>
      <c r="V92" s="270" t="n">
        <f aca="false">(U92*'Revenues &amp; Expenses'!$S$2)/1000</f>
        <v>36.130790625</v>
      </c>
      <c r="W92" s="270" t="n">
        <f aca="false">'Revenues &amp; Expenses'!O98*'Revenues &amp; Expenses'!$AM$5*1000</f>
        <v>2.4532213176961</v>
      </c>
      <c r="X92" s="263" t="n">
        <f aca="false">V92+W92</f>
        <v>38.5840119426961</v>
      </c>
    </row>
    <row r="93" customFormat="false" ht="12.75" hidden="false" customHeight="false" outlineLevel="0" collapsed="false">
      <c r="T93" s="269" t="n">
        <v>39326</v>
      </c>
      <c r="U93" s="270" t="n">
        <f aca="false">'Company Gas Prices'!C112</f>
        <v>3.81770833</v>
      </c>
      <c r="V93" s="270" t="n">
        <f aca="false">(U93*'Revenues &amp; Expenses'!$S$2)/1000</f>
        <v>36.56982809307</v>
      </c>
      <c r="W93" s="270" t="n">
        <f aca="false">'Revenues &amp; Expenses'!O99*'Revenues &amp; Expenses'!$AM$5*1000</f>
        <v>2.45867391435591</v>
      </c>
      <c r="X93" s="263" t="n">
        <f aca="false">V93+W93</f>
        <v>39.0285020074259</v>
      </c>
    </row>
    <row r="94" customFormat="false" ht="12.75" hidden="false" customHeight="false" outlineLevel="0" collapsed="false">
      <c r="T94" s="269" t="n">
        <v>39356</v>
      </c>
      <c r="U94" s="270" t="n">
        <f aca="false">'Company Gas Prices'!C113</f>
        <v>3.778125</v>
      </c>
      <c r="V94" s="270" t="n">
        <f aca="false">(U94*'Revenues &amp; Expenses'!$S$2)/1000</f>
        <v>36.190659375</v>
      </c>
      <c r="W94" s="270" t="n">
        <f aca="false">'Revenues &amp; Expenses'!O100*'Revenues &amp; Expenses'!$AM$5*1000</f>
        <v>2.46413863010588</v>
      </c>
      <c r="X94" s="263" t="n">
        <f aca="false">V94+W94</f>
        <v>38.6547980051059</v>
      </c>
    </row>
    <row r="95" customFormat="false" ht="12.75" hidden="false" customHeight="false" outlineLevel="0" collapsed="false">
      <c r="T95" s="269" t="n">
        <v>39387</v>
      </c>
      <c r="U95" s="270" t="n">
        <f aca="false">'Company Gas Prices'!C114</f>
        <v>3.778125</v>
      </c>
      <c r="V95" s="270" t="n">
        <f aca="false">(U95*'Revenues &amp; Expenses'!$S$2)/1000</f>
        <v>36.190659375</v>
      </c>
      <c r="W95" s="270" t="n">
        <f aca="false">'Revenues &amp; Expenses'!O101*'Revenues &amp; Expenses'!$AM$5*1000</f>
        <v>2.46961549188224</v>
      </c>
      <c r="X95" s="263" t="n">
        <f aca="false">V95+W95</f>
        <v>38.6602748668822</v>
      </c>
    </row>
    <row r="96" customFormat="false" ht="12.75" hidden="false" customHeight="false" outlineLevel="0" collapsed="false">
      <c r="T96" s="269" t="n">
        <v>39417</v>
      </c>
      <c r="U96" s="270" t="n">
        <f aca="false">'Company Gas Prices'!C115</f>
        <v>3.778125</v>
      </c>
      <c r="V96" s="270" t="n">
        <f aca="false">(U96*'Revenues &amp; Expenses'!$S$2)/1000</f>
        <v>36.190659375</v>
      </c>
      <c r="W96" s="270" t="n">
        <f aca="false">'Revenues &amp; Expenses'!O102*'Revenues &amp; Expenses'!$AM$5*1000</f>
        <v>2.47510452668106</v>
      </c>
      <c r="X96" s="263" t="n">
        <f aca="false">V96+W96</f>
        <v>38.6657639016811</v>
      </c>
    </row>
    <row r="97" customFormat="false" ht="12.75" hidden="false" customHeight="false" outlineLevel="0" collapsed="false">
      <c r="T97" s="269" t="n">
        <v>39448</v>
      </c>
      <c r="U97" s="270" t="n">
        <f aca="false">'Company Gas Prices'!C116</f>
        <v>3.83541667</v>
      </c>
      <c r="V97" s="270" t="n">
        <f aca="false">(U97*'Revenues &amp; Expenses'!$S$2)/1000</f>
        <v>36.73945628193</v>
      </c>
      <c r="W97" s="270" t="n">
        <f aca="false">'Revenues &amp; Expenses'!O103*'Revenues &amp; Expenses'!$AM$5*1000</f>
        <v>2.48060576155845</v>
      </c>
      <c r="X97" s="263" t="n">
        <f aca="false">V97+W97</f>
        <v>39.2200620434885</v>
      </c>
    </row>
    <row r="98" customFormat="false" ht="12.75" hidden="false" customHeight="false" outlineLevel="0" collapsed="false">
      <c r="T98" s="269" t="n">
        <v>39479</v>
      </c>
      <c r="U98" s="270" t="n">
        <f aca="false">'Company Gas Prices'!C117</f>
        <v>3.83541667</v>
      </c>
      <c r="V98" s="270" t="n">
        <f aca="false">(U98*'Revenues &amp; Expenses'!$S$2)/1000</f>
        <v>36.73945628193</v>
      </c>
      <c r="W98" s="270" t="n">
        <f aca="false">'Revenues &amp; Expenses'!O104*'Revenues &amp; Expenses'!$AM$5*1000</f>
        <v>2.48611922363063</v>
      </c>
      <c r="X98" s="263" t="n">
        <f aca="false">V98+W98</f>
        <v>39.2255755055606</v>
      </c>
    </row>
    <row r="99" customFormat="false" ht="12.75" hidden="false" customHeight="false" outlineLevel="0" collapsed="false">
      <c r="T99" s="269" t="n">
        <v>39508</v>
      </c>
      <c r="U99" s="270" t="n">
        <f aca="false">'Company Gas Prices'!C118</f>
        <v>3.83541667</v>
      </c>
      <c r="V99" s="270" t="n">
        <f aca="false">(U99*'Revenues &amp; Expenses'!$S$2)/1000</f>
        <v>36.73945628193</v>
      </c>
      <c r="W99" s="270" t="n">
        <f aca="false">'Revenues &amp; Expenses'!O105*'Revenues &amp; Expenses'!$AM$5*1000</f>
        <v>2.4916449400741</v>
      </c>
      <c r="X99" s="263" t="n">
        <f aca="false">V99+W99</f>
        <v>39.2311012220041</v>
      </c>
    </row>
    <row r="100" customFormat="false" ht="12.75" hidden="false" customHeight="false" outlineLevel="0" collapsed="false">
      <c r="T100" s="269" t="n">
        <v>39539</v>
      </c>
      <c r="U100" s="270" t="n">
        <f aca="false">'Company Gas Prices'!C119</f>
        <v>3.98020833</v>
      </c>
      <c r="V100" s="270" t="n">
        <f aca="false">(U100*'Revenues &amp; Expenses'!$S$2)/1000</f>
        <v>38.12641559307</v>
      </c>
      <c r="W100" s="270" t="n">
        <f aca="false">'Revenues &amp; Expenses'!O106*'Revenues &amp; Expenses'!$AM$5*1000</f>
        <v>2.49718293812575</v>
      </c>
      <c r="X100" s="263" t="n">
        <f aca="false">V100+W100</f>
        <v>40.6235985311958</v>
      </c>
    </row>
    <row r="101" customFormat="false" ht="12.75" hidden="false" customHeight="false" outlineLevel="0" collapsed="false">
      <c r="T101" s="269" t="n">
        <v>39569</v>
      </c>
      <c r="U101" s="270" t="n">
        <f aca="false">'Company Gas Prices'!C120</f>
        <v>3.81770833</v>
      </c>
      <c r="V101" s="270" t="n">
        <f aca="false">(U101*'Revenues &amp; Expenses'!$S$2)/1000</f>
        <v>36.56982809307</v>
      </c>
      <c r="W101" s="270" t="n">
        <f aca="false">'Revenues &amp; Expenses'!O107*'Revenues &amp; Expenses'!$AM$5*1000</f>
        <v>2.50273324508303</v>
      </c>
      <c r="X101" s="263" t="n">
        <f aca="false">V101+W101</f>
        <v>39.072561338153</v>
      </c>
    </row>
    <row r="102" customFormat="false" ht="12.75" hidden="false" customHeight="false" outlineLevel="0" collapsed="false">
      <c r="T102" s="269" t="n">
        <v>39600</v>
      </c>
      <c r="U102" s="270" t="n">
        <f aca="false">'Company Gas Prices'!C121</f>
        <v>3.809375</v>
      </c>
      <c r="V102" s="270" t="n">
        <f aca="false">(U102*'Revenues &amp; Expenses'!$S$2)/1000</f>
        <v>36.490003125</v>
      </c>
      <c r="W102" s="270" t="n">
        <f aca="false">'Revenues &amp; Expenses'!O108*'Revenues &amp; Expenses'!$AM$5*1000</f>
        <v>2.50829588830405</v>
      </c>
      <c r="X102" s="263" t="n">
        <f aca="false">V102+W102</f>
        <v>38.9982990133041</v>
      </c>
    </row>
    <row r="103" customFormat="false" ht="12.75" hidden="false" customHeight="false" outlineLevel="0" collapsed="false">
      <c r="T103" s="269" t="n">
        <v>39630</v>
      </c>
      <c r="U103" s="270" t="n">
        <f aca="false">'Company Gas Prices'!C122</f>
        <v>3.771875</v>
      </c>
      <c r="V103" s="270" t="n">
        <f aca="false">(U103*'Revenues &amp; Expenses'!$S$2)/1000</f>
        <v>36.130790625</v>
      </c>
      <c r="W103" s="270" t="n">
        <f aca="false">'Revenues &amp; Expenses'!O109*'Revenues &amp; Expenses'!$AM$5*1000</f>
        <v>2.51387089520772</v>
      </c>
      <c r="X103" s="263" t="n">
        <f aca="false">V103+W103</f>
        <v>38.6446615202077</v>
      </c>
    </row>
    <row r="104" customFormat="false" ht="12.75" hidden="false" customHeight="false" outlineLevel="0" collapsed="false">
      <c r="T104" s="269" t="n">
        <v>39661</v>
      </c>
      <c r="U104" s="270" t="n">
        <f aca="false">'Company Gas Prices'!C123</f>
        <v>3.771875</v>
      </c>
      <c r="V104" s="270" t="n">
        <f aca="false">(U104*'Revenues &amp; Expenses'!$S$2)/1000</f>
        <v>36.130790625</v>
      </c>
      <c r="W104" s="270" t="n">
        <f aca="false">'Revenues &amp; Expenses'!O110*'Revenues &amp; Expenses'!$AM$5*1000</f>
        <v>2.5194582932739</v>
      </c>
      <c r="X104" s="263" t="n">
        <f aca="false">V104+W104</f>
        <v>38.6502489182739</v>
      </c>
    </row>
    <row r="105" customFormat="false" ht="12.75" hidden="false" customHeight="false" outlineLevel="0" collapsed="false">
      <c r="T105" s="269" t="n">
        <v>39692</v>
      </c>
      <c r="U105" s="270" t="n">
        <f aca="false">'Company Gas Prices'!C124</f>
        <v>3.81770833</v>
      </c>
      <c r="V105" s="270" t="n">
        <f aca="false">(U105*'Revenues &amp; Expenses'!$S$2)/1000</f>
        <v>36.56982809307</v>
      </c>
      <c r="W105" s="270" t="n">
        <f aca="false">'Revenues &amp; Expenses'!O111*'Revenues &amp; Expenses'!$AM$5*1000</f>
        <v>2.52505811004352</v>
      </c>
      <c r="X105" s="263" t="n">
        <f aca="false">V105+W105</f>
        <v>39.0948862031135</v>
      </c>
    </row>
    <row r="106" customFormat="false" ht="12.75" hidden="false" customHeight="false" outlineLevel="0" collapsed="false">
      <c r="T106" s="269" t="n">
        <v>39722</v>
      </c>
      <c r="U106" s="270" t="n">
        <f aca="false">'Company Gas Prices'!C125</f>
        <v>3.778125</v>
      </c>
      <c r="V106" s="270" t="n">
        <f aca="false">(U106*'Revenues &amp; Expenses'!$S$2)/1000</f>
        <v>36.190659375</v>
      </c>
      <c r="W106" s="270" t="n">
        <f aca="false">'Revenues &amp; Expenses'!O112*'Revenues &amp; Expenses'!$AM$5*1000</f>
        <v>2.53067037311874</v>
      </c>
      <c r="X106" s="263" t="n">
        <f aca="false">V106+W106</f>
        <v>38.7213297481187</v>
      </c>
    </row>
    <row r="107" customFormat="false" ht="12.75" hidden="false" customHeight="false" outlineLevel="0" collapsed="false">
      <c r="T107" s="269" t="n">
        <v>39753</v>
      </c>
      <c r="U107" s="270" t="n">
        <f aca="false">'Company Gas Prices'!C126</f>
        <v>3.778125</v>
      </c>
      <c r="V107" s="270" t="n">
        <f aca="false">(U107*'Revenues &amp; Expenses'!$S$2)/1000</f>
        <v>36.190659375</v>
      </c>
      <c r="W107" s="270" t="n">
        <f aca="false">'Revenues &amp; Expenses'!O113*'Revenues &amp; Expenses'!$AM$5*1000</f>
        <v>2.53629511016306</v>
      </c>
      <c r="X107" s="263" t="n">
        <f aca="false">V107+W107</f>
        <v>38.7269544851631</v>
      </c>
    </row>
    <row r="108" customFormat="false" ht="12.75" hidden="false" customHeight="false" outlineLevel="0" collapsed="false">
      <c r="T108" s="269" t="n">
        <v>39783</v>
      </c>
      <c r="U108" s="270" t="n">
        <f aca="false">'Company Gas Prices'!C127</f>
        <v>3.778125</v>
      </c>
      <c r="V108" s="270" t="n">
        <f aca="false">(U108*'Revenues &amp; Expenses'!$S$2)/1000</f>
        <v>36.190659375</v>
      </c>
      <c r="W108" s="270" t="n">
        <f aca="false">'Revenues &amp; Expenses'!O114*'Revenues &amp; Expenses'!$AM$5*1000</f>
        <v>2.54193234890145</v>
      </c>
      <c r="X108" s="263" t="n">
        <f aca="false">V108+W108</f>
        <v>38.7325917239015</v>
      </c>
    </row>
    <row r="109" customFormat="false" ht="12.75" hidden="false" customHeight="false" outlineLevel="0" collapsed="false">
      <c r="T109" s="269" t="n">
        <v>39814</v>
      </c>
      <c r="U109" s="270" t="n">
        <f aca="false">'Company Gas Prices'!C128</f>
        <v>3.83541667</v>
      </c>
      <c r="V109" s="270" t="n">
        <f aca="false">(U109*'Revenues &amp; Expenses'!$S$2)/1000</f>
        <v>36.73945628193</v>
      </c>
      <c r="W109" s="270" t="n">
        <f aca="false">'Revenues &amp; Expenses'!O115*'Revenues &amp; Expenses'!$AM$5*1000</f>
        <v>2.54758211712053</v>
      </c>
      <c r="X109" s="263" t="n">
        <f aca="false">V109+W109</f>
        <v>39.2870383990505</v>
      </c>
    </row>
    <row r="110" customFormat="false" ht="12.75" hidden="false" customHeight="false" outlineLevel="0" collapsed="false">
      <c r="T110" s="269" t="n">
        <v>39845</v>
      </c>
      <c r="U110" s="270" t="n">
        <f aca="false">'Company Gas Prices'!C129</f>
        <v>3.83541667</v>
      </c>
      <c r="V110" s="270" t="n">
        <f aca="false">(U110*'Revenues &amp; Expenses'!$S$2)/1000</f>
        <v>36.73945628193</v>
      </c>
      <c r="W110" s="270" t="n">
        <f aca="false">'Revenues &amp; Expenses'!O116*'Revenues &amp; Expenses'!$AM$5*1000</f>
        <v>2.55324444266865</v>
      </c>
      <c r="X110" s="263" t="n">
        <f aca="false">V110+W110</f>
        <v>39.2927007245987</v>
      </c>
    </row>
    <row r="111" customFormat="false" ht="12.75" hidden="false" customHeight="false" outlineLevel="0" collapsed="false">
      <c r="T111" s="269" t="n">
        <v>39873</v>
      </c>
      <c r="U111" s="270" t="n">
        <f aca="false">'Company Gas Prices'!C130</f>
        <v>3.83541667</v>
      </c>
      <c r="V111" s="270" t="n">
        <f aca="false">(U111*'Revenues &amp; Expenses'!$S$2)/1000</f>
        <v>36.73945628193</v>
      </c>
      <c r="W111" s="270" t="n">
        <f aca="false">'Revenues &amp; Expenses'!O117*'Revenues &amp; Expenses'!$AM$5*1000</f>
        <v>2.5589193534561</v>
      </c>
      <c r="X111" s="263" t="n">
        <f aca="false">V111+W111</f>
        <v>39.2983756353861</v>
      </c>
    </row>
    <row r="112" customFormat="false" ht="12.75" hidden="false" customHeight="false" outlineLevel="0" collapsed="false">
      <c r="T112" s="269" t="n">
        <v>39904</v>
      </c>
      <c r="U112" s="270" t="n">
        <f aca="false">'Company Gas Prices'!C131</f>
        <v>3.98020833</v>
      </c>
      <c r="V112" s="270" t="n">
        <f aca="false">(U112*'Revenues &amp; Expenses'!$S$2)/1000</f>
        <v>38.12641559307</v>
      </c>
      <c r="W112" s="270" t="n">
        <f aca="false">'Revenues &amp; Expenses'!O118*'Revenues &amp; Expenses'!$AM$5*1000</f>
        <v>2.56460687745515</v>
      </c>
      <c r="X112" s="263" t="n">
        <f aca="false">V112+W112</f>
        <v>40.6910224705252</v>
      </c>
    </row>
    <row r="113" customFormat="false" ht="12.75" hidden="false" customHeight="false" outlineLevel="0" collapsed="false">
      <c r="T113" s="269" t="n">
        <v>39934</v>
      </c>
      <c r="U113" s="270" t="n">
        <f aca="false">'Company Gas Prices'!C132</f>
        <v>3.81770833</v>
      </c>
      <c r="V113" s="270" t="n">
        <f aca="false">(U113*'Revenues &amp; Expenses'!$S$2)/1000</f>
        <v>36.56982809307</v>
      </c>
      <c r="W113" s="270" t="n">
        <f aca="false">'Revenues &amp; Expenses'!O119*'Revenues &amp; Expenses'!$AM$5*1000</f>
        <v>2.57030704270027</v>
      </c>
      <c r="X113" s="263" t="n">
        <f aca="false">V113+W113</f>
        <v>39.1401351357703</v>
      </c>
    </row>
    <row r="114" customFormat="false" ht="12.75" hidden="false" customHeight="false" outlineLevel="0" collapsed="false">
      <c r="T114" s="269" t="n">
        <v>39965</v>
      </c>
      <c r="U114" s="270" t="n">
        <f aca="false">'Company Gas Prices'!C133</f>
        <v>3.809375</v>
      </c>
      <c r="V114" s="270" t="n">
        <f aca="false">(U114*'Revenues &amp; Expenses'!$S$2)/1000</f>
        <v>36.490003125</v>
      </c>
      <c r="W114" s="270" t="n">
        <f aca="false">'Revenues &amp; Expenses'!O120*'Revenues &amp; Expenses'!$AM$5*1000</f>
        <v>2.57601987728826</v>
      </c>
      <c r="X114" s="263" t="n">
        <f aca="false">V114+W114</f>
        <v>39.0660230022883</v>
      </c>
    </row>
    <row r="115" customFormat="false" ht="12.75" hidden="false" customHeight="false" outlineLevel="0" collapsed="false">
      <c r="T115" s="269" t="n">
        <v>39995</v>
      </c>
      <c r="U115" s="270" t="n">
        <f aca="false">'Company Gas Prices'!C134</f>
        <v>3.771875</v>
      </c>
      <c r="V115" s="270" t="n">
        <f aca="false">(U115*'Revenues &amp; Expenses'!$S$2)/1000</f>
        <v>36.130790625</v>
      </c>
      <c r="W115" s="270" t="n">
        <f aca="false">'Revenues &amp; Expenses'!O121*'Revenues &amp; Expenses'!$AM$5*1000</f>
        <v>2.58174540937833</v>
      </c>
      <c r="X115" s="263" t="n">
        <f aca="false">V115+W115</f>
        <v>38.7125360343783</v>
      </c>
    </row>
    <row r="116" customFormat="false" ht="12.75" hidden="false" customHeight="false" outlineLevel="0" collapsed="false">
      <c r="T116" s="269" t="n">
        <v>40026</v>
      </c>
      <c r="U116" s="270" t="n">
        <f aca="false">'Company Gas Prices'!C135</f>
        <v>3.771875</v>
      </c>
      <c r="V116" s="270" t="n">
        <f aca="false">(U116*'Revenues &amp; Expenses'!$S$2)/1000</f>
        <v>36.130790625</v>
      </c>
      <c r="W116" s="270" t="n">
        <f aca="false">'Revenues &amp; Expenses'!O122*'Revenues &amp; Expenses'!$AM$5*1000</f>
        <v>2.58748366719229</v>
      </c>
      <c r="X116" s="263" t="n">
        <f aca="false">V116+W116</f>
        <v>38.7182742921923</v>
      </c>
    </row>
    <row r="117" customFormat="false" ht="12.75" hidden="false" customHeight="false" outlineLevel="0" collapsed="false">
      <c r="T117" s="269" t="n">
        <v>40057</v>
      </c>
      <c r="U117" s="270" t="n">
        <f aca="false">'Company Gas Prices'!C136</f>
        <v>3.81770833</v>
      </c>
      <c r="V117" s="270" t="n">
        <f aca="false">(U117*'Revenues &amp; Expenses'!$S$2)/1000</f>
        <v>36.56982809307</v>
      </c>
      <c r="W117" s="270" t="n">
        <f aca="false">'Revenues &amp; Expenses'!O123*'Revenues &amp; Expenses'!$AM$5*1000</f>
        <v>2.5932346790147</v>
      </c>
      <c r="X117" s="263" t="n">
        <f aca="false">V117+W117</f>
        <v>39.1630627720847</v>
      </c>
    </row>
    <row r="118" customFormat="false" ht="12.75" hidden="false" customHeight="false" outlineLevel="0" collapsed="false">
      <c r="T118" s="269" t="n">
        <v>40087</v>
      </c>
      <c r="U118" s="270" t="n">
        <f aca="false">'Company Gas Prices'!C137</f>
        <v>3.778125</v>
      </c>
      <c r="V118" s="270" t="n">
        <f aca="false">(U118*'Revenues &amp; Expenses'!$S$2)/1000</f>
        <v>36.190659375</v>
      </c>
      <c r="W118" s="270" t="n">
        <f aca="false">'Revenues &amp; Expenses'!O124*'Revenues &amp; Expenses'!$AM$5*1000</f>
        <v>2.59899847319295</v>
      </c>
      <c r="X118" s="263" t="n">
        <f aca="false">V118+W118</f>
        <v>38.789657848193</v>
      </c>
    </row>
    <row r="119" customFormat="false" ht="12.75" hidden="false" customHeight="false" outlineLevel="0" collapsed="false">
      <c r="T119" s="269" t="n">
        <v>40118</v>
      </c>
      <c r="U119" s="270" t="n">
        <f aca="false">'Company Gas Prices'!C138</f>
        <v>3.778125</v>
      </c>
      <c r="V119" s="270" t="n">
        <f aca="false">(U119*'Revenues &amp; Expenses'!$S$2)/1000</f>
        <v>36.190659375</v>
      </c>
      <c r="W119" s="270" t="n">
        <f aca="false">'Revenues &amp; Expenses'!O125*'Revenues &amp; Expenses'!$AM$5*1000</f>
        <v>2.60477507813746</v>
      </c>
      <c r="X119" s="263" t="n">
        <f aca="false">V119+W119</f>
        <v>38.7954344531375</v>
      </c>
    </row>
    <row r="120" customFormat="false" ht="12.75" hidden="false" customHeight="false" outlineLevel="0" collapsed="false">
      <c r="T120" s="269" t="n">
        <v>40148</v>
      </c>
      <c r="U120" s="270" t="n">
        <f aca="false">'Company Gas Prices'!C139</f>
        <v>3.778125</v>
      </c>
      <c r="V120" s="270" t="n">
        <f aca="false">(U120*'Revenues &amp; Expenses'!$S$2)/1000</f>
        <v>36.190659375</v>
      </c>
      <c r="W120" s="270" t="n">
        <f aca="false">'Revenues &amp; Expenses'!O126*'Revenues &amp; Expenses'!$AM$5*1000</f>
        <v>2.61056452232179</v>
      </c>
      <c r="X120" s="263" t="n">
        <f aca="false">V120+W120</f>
        <v>38.8012238973218</v>
      </c>
    </row>
    <row r="121" customFormat="false" ht="12.75" hidden="false" customHeight="false" outlineLevel="0" collapsed="false">
      <c r="T121" s="269" t="n">
        <v>40179</v>
      </c>
      <c r="U121" s="270" t="n">
        <f aca="false">'Company Gas Prices'!C140</f>
        <v>3.83541667</v>
      </c>
      <c r="V121" s="270" t="n">
        <f aca="false">(U121*'Revenues &amp; Expenses'!$S$2)/1000</f>
        <v>36.73945628193</v>
      </c>
      <c r="W121" s="270" t="n">
        <f aca="false">'Revenues &amp; Expenses'!O127*'Revenues &amp; Expenses'!$AM$5*1000</f>
        <v>2.61636683428278</v>
      </c>
      <c r="X121" s="263" t="n">
        <f aca="false">V121+W121</f>
        <v>39.3558231162128</v>
      </c>
    </row>
    <row r="122" customFormat="false" ht="12.75" hidden="false" customHeight="false" outlineLevel="0" collapsed="false">
      <c r="T122" s="269" t="n">
        <v>40210</v>
      </c>
      <c r="U122" s="270" t="n">
        <f aca="false">'Company Gas Prices'!C141</f>
        <v>3.83541667</v>
      </c>
      <c r="V122" s="270" t="n">
        <f aca="false">(U122*'Revenues &amp; Expenses'!$S$2)/1000</f>
        <v>36.73945628193</v>
      </c>
      <c r="W122" s="270" t="n">
        <f aca="false">'Revenues &amp; Expenses'!O128*'Revenues &amp; Expenses'!$AM$5*1000</f>
        <v>2.62218204262071</v>
      </c>
      <c r="X122" s="263" t="n">
        <f aca="false">V122+W122</f>
        <v>39.3616383245507</v>
      </c>
    </row>
    <row r="123" customFormat="false" ht="12.75" hidden="false" customHeight="false" outlineLevel="0" collapsed="false">
      <c r="T123" s="269" t="n">
        <v>40238</v>
      </c>
      <c r="U123" s="270" t="n">
        <f aca="false">'Company Gas Prices'!C142</f>
        <v>3.83541667</v>
      </c>
      <c r="V123" s="270" t="n">
        <f aca="false">(U123*'Revenues &amp; Expenses'!$S$2)/1000</f>
        <v>36.73945628193</v>
      </c>
      <c r="W123" s="270" t="n">
        <f aca="false">'Revenues &amp; Expenses'!O129*'Revenues &amp; Expenses'!$AM$5*1000</f>
        <v>2.62801017599941</v>
      </c>
      <c r="X123" s="263" t="n">
        <f aca="false">V123+W123</f>
        <v>39.3674664579294</v>
      </c>
    </row>
    <row r="124" customFormat="false" ht="12.75" hidden="false" customHeight="false" outlineLevel="0" collapsed="false">
      <c r="T124" s="269" t="n">
        <v>40269</v>
      </c>
      <c r="U124" s="270" t="n">
        <f aca="false">'Company Gas Prices'!C143</f>
        <v>3.98020833</v>
      </c>
      <c r="V124" s="270" t="n">
        <f aca="false">(U124*'Revenues &amp; Expenses'!$S$2)/1000</f>
        <v>38.12641559307</v>
      </c>
      <c r="W124" s="270" t="n">
        <f aca="false">'Revenues &amp; Expenses'!O130*'Revenues &amp; Expenses'!$AM$5*1000</f>
        <v>2.63385126314643</v>
      </c>
      <c r="X124" s="263" t="n">
        <f aca="false">V124+W124</f>
        <v>40.7602668562164</v>
      </c>
    </row>
    <row r="125" customFormat="false" ht="12.75" hidden="false" customHeight="false" outlineLevel="0" collapsed="false">
      <c r="T125" s="269" t="n">
        <v>40299</v>
      </c>
      <c r="U125" s="270" t="n">
        <f aca="false">'Company Gas Prices'!C144</f>
        <v>3.81770833</v>
      </c>
      <c r="V125" s="270" t="n">
        <f aca="false">(U125*'Revenues &amp; Expenses'!$S$2)/1000</f>
        <v>36.56982809307</v>
      </c>
      <c r="W125" s="270" t="n">
        <f aca="false">'Revenues &amp; Expenses'!O131*'Revenues &amp; Expenses'!$AM$5*1000</f>
        <v>2.63970533285318</v>
      </c>
      <c r="X125" s="263" t="n">
        <f aca="false">V125+W125</f>
        <v>39.2095334259232</v>
      </c>
    </row>
    <row r="126" customFormat="false" ht="12.75" hidden="false" customHeight="false" outlineLevel="0" collapsed="false">
      <c r="T126" s="269" t="n">
        <v>40330</v>
      </c>
      <c r="U126" s="270" t="n">
        <f aca="false">'Company Gas Prices'!C145</f>
        <v>3.809375</v>
      </c>
      <c r="V126" s="270" t="n">
        <f aca="false">(U126*'Revenues &amp; Expenses'!$S$2)/1000</f>
        <v>36.490003125</v>
      </c>
      <c r="W126" s="270" t="n">
        <f aca="false">'Revenues &amp; Expenses'!O132*'Revenues &amp; Expenses'!$AM$5*1000</f>
        <v>2.64557241397504</v>
      </c>
      <c r="X126" s="263" t="n">
        <f aca="false">V126+W126</f>
        <v>39.135575538975</v>
      </c>
    </row>
    <row r="127" customFormat="false" ht="12.75" hidden="false" customHeight="false" outlineLevel="0" collapsed="false">
      <c r="T127" s="269" t="n">
        <v>40360</v>
      </c>
      <c r="U127" s="270" t="n">
        <f aca="false">'Company Gas Prices'!C146</f>
        <v>3.771875</v>
      </c>
      <c r="V127" s="270" t="n">
        <f aca="false">(U127*'Revenues &amp; Expenses'!$S$2)/1000</f>
        <v>36.130790625</v>
      </c>
      <c r="W127" s="270" t="n">
        <f aca="false">'Revenues &amp; Expenses'!O133*'Revenues &amp; Expenses'!$AM$5*1000</f>
        <v>2.65145253543154</v>
      </c>
      <c r="X127" s="263" t="n">
        <f aca="false">V127+W127</f>
        <v>38.7822431604315</v>
      </c>
    </row>
    <row r="128" customFormat="false" ht="12.75" hidden="false" customHeight="false" outlineLevel="0" collapsed="false">
      <c r="T128" s="269" t="n">
        <v>40391</v>
      </c>
      <c r="U128" s="270" t="n">
        <f aca="false">'Company Gas Prices'!C147</f>
        <v>3.771875</v>
      </c>
      <c r="V128" s="270" t="n">
        <f aca="false">(U128*'Revenues &amp; Expenses'!$S$2)/1000</f>
        <v>36.130790625</v>
      </c>
      <c r="W128" s="270" t="n">
        <f aca="false">'Revenues &amp; Expenses'!O134*'Revenues &amp; Expenses'!$AM$5*1000</f>
        <v>2.65734572620648</v>
      </c>
      <c r="X128" s="263" t="n">
        <f aca="false">V128+W128</f>
        <v>38.7881363512065</v>
      </c>
    </row>
    <row r="129" customFormat="false" ht="12.75" hidden="false" customHeight="false" outlineLevel="0" collapsed="false">
      <c r="T129" s="269" t="n">
        <v>40422</v>
      </c>
      <c r="U129" s="270" t="n">
        <f aca="false">'Company Gas Prices'!C148</f>
        <v>3.81770833</v>
      </c>
      <c r="V129" s="270" t="n">
        <f aca="false">(U129*'Revenues &amp; Expenses'!$S$2)/1000</f>
        <v>36.56982809307</v>
      </c>
      <c r="W129" s="270" t="n">
        <f aca="false">'Revenues &amp; Expenses'!O135*'Revenues &amp; Expenses'!$AM$5*1000</f>
        <v>2.66325201534809</v>
      </c>
      <c r="X129" s="263" t="n">
        <f aca="false">V129+W129</f>
        <v>39.2330801084181</v>
      </c>
    </row>
    <row r="130" customFormat="false" ht="12.75" hidden="false" customHeight="false" outlineLevel="0" collapsed="false">
      <c r="T130" s="269" t="n">
        <v>40452</v>
      </c>
      <c r="U130" s="270" t="n">
        <f aca="false">'Company Gas Prices'!C149</f>
        <v>3.778125</v>
      </c>
      <c r="V130" s="270" t="n">
        <f aca="false">(U130*'Revenues &amp; Expenses'!$S$2)/1000</f>
        <v>36.190659375</v>
      </c>
      <c r="W130" s="270" t="n">
        <f aca="false">'Revenues &amp; Expenses'!O136*'Revenues &amp; Expenses'!$AM$5*1000</f>
        <v>2.66917143196916</v>
      </c>
      <c r="X130" s="263" t="n">
        <f aca="false">V130+W130</f>
        <v>38.8598308069692</v>
      </c>
    </row>
    <row r="131" customFormat="false" ht="12.75" hidden="false" customHeight="false" outlineLevel="0" collapsed="false">
      <c r="T131" s="269" t="n">
        <v>40483</v>
      </c>
      <c r="U131" s="270" t="n">
        <f aca="false">'Company Gas Prices'!C150</f>
        <v>3.778125</v>
      </c>
      <c r="V131" s="270" t="n">
        <f aca="false">(U131*'Revenues &amp; Expenses'!$S$2)/1000</f>
        <v>36.190659375</v>
      </c>
      <c r="W131" s="270" t="n">
        <f aca="false">'Revenues &amp; Expenses'!O137*'Revenues &amp; Expenses'!$AM$5*1000</f>
        <v>2.67510400524717</v>
      </c>
      <c r="X131" s="263" t="n">
        <f aca="false">V131+W131</f>
        <v>38.8657633802472</v>
      </c>
    </row>
    <row r="132" customFormat="false" ht="12.75" hidden="false" customHeight="false" outlineLevel="0" collapsed="false">
      <c r="T132" s="269" t="n">
        <v>40513</v>
      </c>
      <c r="U132" s="270" t="n">
        <f aca="false">'Company Gas Prices'!C151</f>
        <v>3.778125</v>
      </c>
      <c r="V132" s="270" t="n">
        <f aca="false">(U132*'Revenues &amp; Expenses'!$S$2)/1000</f>
        <v>36.190659375</v>
      </c>
      <c r="W132" s="270" t="n">
        <f aca="false">'Revenues &amp; Expenses'!O138*'Revenues &amp; Expenses'!$AM$5*1000</f>
        <v>2.68104976442448</v>
      </c>
      <c r="X132" s="263" t="n">
        <f aca="false">V132+W132</f>
        <v>38.8717091394245</v>
      </c>
    </row>
    <row r="133" customFormat="false" ht="12.75" hidden="false" customHeight="false" outlineLevel="0" collapsed="false">
      <c r="T133" s="269" t="n">
        <v>40544</v>
      </c>
      <c r="U133" s="270" t="n">
        <f aca="false">'Company Gas Prices'!C152</f>
        <v>3.83541667</v>
      </c>
      <c r="V133" s="270" t="n">
        <f aca="false">(U133*'Revenues &amp; Expenses'!$S$2)/1000</f>
        <v>36.73945628193</v>
      </c>
      <c r="W133" s="270" t="n">
        <f aca="false">'Revenues &amp; Expenses'!O139*'Revenues &amp; Expenses'!$AM$5*1000</f>
        <v>2.68700873880842</v>
      </c>
      <c r="X133" s="263" t="n">
        <f aca="false">V133+W133</f>
        <v>39.4264650207384</v>
      </c>
    </row>
    <row r="134" customFormat="false" ht="12.75" hidden="false" customHeight="false" outlineLevel="0" collapsed="false">
      <c r="T134" s="269" t="n">
        <v>40575</v>
      </c>
      <c r="U134" s="270" t="n">
        <f aca="false">'Company Gas Prices'!C153</f>
        <v>3.83541667</v>
      </c>
      <c r="V134" s="270" t="n">
        <f aca="false">(U134*'Revenues &amp; Expenses'!$S$2)/1000</f>
        <v>36.73945628193</v>
      </c>
      <c r="W134" s="270" t="n">
        <f aca="false">'Revenues &amp; Expenses'!O140*'Revenues &amp; Expenses'!$AM$5*1000</f>
        <v>2.69298095777147</v>
      </c>
      <c r="X134" s="263" t="n">
        <f aca="false">V134+W134</f>
        <v>39.4324372397015</v>
      </c>
    </row>
    <row r="135" customFormat="false" ht="12.75" hidden="false" customHeight="false" outlineLevel="0" collapsed="false">
      <c r="T135" s="269" t="n">
        <v>40603</v>
      </c>
      <c r="U135" s="270" t="n">
        <f aca="false">'Company Gas Prices'!C154</f>
        <v>3.83541667</v>
      </c>
      <c r="V135" s="270" t="n">
        <f aca="false">(U135*'Revenues &amp; Expenses'!$S$2)/1000</f>
        <v>36.73945628193</v>
      </c>
      <c r="W135" s="270" t="n">
        <f aca="false">'Revenues &amp; Expenses'!O141*'Revenues &amp; Expenses'!$AM$5*1000</f>
        <v>2.69896645075139</v>
      </c>
      <c r="X135" s="263" t="n">
        <f aca="false">V135+W135</f>
        <v>39.4384227326814</v>
      </c>
    </row>
    <row r="136" customFormat="false" ht="12.75" hidden="false" customHeight="false" outlineLevel="0" collapsed="false">
      <c r="T136" s="269" t="n">
        <v>40634</v>
      </c>
      <c r="U136" s="270" t="n">
        <f aca="false">'Company Gas Prices'!C155</f>
        <v>3.98020833</v>
      </c>
      <c r="V136" s="270" t="n">
        <f aca="false">(U136*'Revenues &amp; Expenses'!$S$2)/1000</f>
        <v>38.12641559307</v>
      </c>
      <c r="W136" s="270" t="n">
        <f aca="false">'Revenues &amp; Expenses'!O142*'Revenues &amp; Expenses'!$AM$5*1000</f>
        <v>2.70496524725139</v>
      </c>
      <c r="X136" s="263" t="n">
        <f aca="false">V136+W136</f>
        <v>40.8313808403214</v>
      </c>
    </row>
    <row r="137" customFormat="false" ht="12.75" hidden="false" customHeight="false" outlineLevel="0" collapsed="false">
      <c r="T137" s="269" t="n">
        <v>40664</v>
      </c>
      <c r="U137" s="270" t="n">
        <f aca="false">'Company Gas Prices'!C156</f>
        <v>3.81770833</v>
      </c>
      <c r="V137" s="270" t="n">
        <f aca="false">(U137*'Revenues &amp; Expenses'!$S$2)/1000</f>
        <v>36.56982809307</v>
      </c>
      <c r="W137" s="270" t="n">
        <f aca="false">'Revenues &amp; Expenses'!O143*'Revenues &amp; Expenses'!$AM$5*1000</f>
        <v>2.71097737684022</v>
      </c>
      <c r="X137" s="263" t="n">
        <f aca="false">V137+W137</f>
        <v>39.2808054699102</v>
      </c>
    </row>
    <row r="138" customFormat="false" ht="12.75" hidden="false" customHeight="false" outlineLevel="0" collapsed="false">
      <c r="T138" s="269" t="n">
        <v>40695</v>
      </c>
      <c r="U138" s="270" t="n">
        <f aca="false">'Company Gas Prices'!C157</f>
        <v>3.809375</v>
      </c>
      <c r="V138" s="270" t="n">
        <f aca="false">(U138*'Revenues &amp; Expenses'!$S$2)/1000</f>
        <v>36.490003125</v>
      </c>
      <c r="W138" s="270" t="n">
        <f aca="false">'Revenues &amp; Expenses'!O144*'Revenues &amp; Expenses'!$AM$5*1000</f>
        <v>2.71700286915237</v>
      </c>
      <c r="X138" s="263" t="n">
        <f aca="false">V138+W138</f>
        <v>39.2070059941524</v>
      </c>
    </row>
    <row r="139" customFormat="false" ht="12.75" hidden="false" customHeight="false" outlineLevel="0" collapsed="false">
      <c r="T139" s="269" t="n">
        <v>40725</v>
      </c>
      <c r="U139" s="270" t="n">
        <f aca="false">'Company Gas Prices'!C158</f>
        <v>3.771875</v>
      </c>
      <c r="V139" s="270" t="n">
        <f aca="false">(U139*'Revenues &amp; Expenses'!$S$2)/1000</f>
        <v>36.130790625</v>
      </c>
      <c r="W139" s="270" t="n">
        <f aca="false">'Revenues &amp; Expenses'!O145*'Revenues &amp; Expenses'!$AM$5*1000</f>
        <v>2.72304175388819</v>
      </c>
      <c r="X139" s="263" t="n">
        <f aca="false">V139+W139</f>
        <v>38.8538323788882</v>
      </c>
    </row>
    <row r="140" customFormat="false" ht="12.75" hidden="false" customHeight="false" outlineLevel="0" collapsed="false">
      <c r="T140" s="269" t="n">
        <v>40756</v>
      </c>
      <c r="U140" s="270" t="n">
        <f aca="false">'Company Gas Prices'!C159</f>
        <v>3.771875</v>
      </c>
      <c r="V140" s="270" t="n">
        <f aca="false">(U140*'Revenues &amp; Expenses'!$S$2)/1000</f>
        <v>36.130790625</v>
      </c>
      <c r="W140" s="270" t="n">
        <f aca="false">'Revenues &amp; Expenses'!O146*'Revenues &amp; Expenses'!$AM$5*1000</f>
        <v>2.72909406081406</v>
      </c>
      <c r="X140" s="263" t="n">
        <f aca="false">V140+W140</f>
        <v>38.8598846858141</v>
      </c>
    </row>
    <row r="141" customFormat="false" ht="12.75" hidden="false" customHeight="false" outlineLevel="0" collapsed="false">
      <c r="T141" s="269" t="n">
        <v>40787</v>
      </c>
      <c r="U141" s="270" t="n">
        <f aca="false">'Company Gas Prices'!C160</f>
        <v>3.81770833</v>
      </c>
      <c r="V141" s="270" t="n">
        <f aca="false">(U141*'Revenues &amp; Expenses'!$S$2)/1000</f>
        <v>36.56982809307</v>
      </c>
      <c r="W141" s="270" t="n">
        <f aca="false">'Revenues &amp; Expenses'!O147*'Revenues &amp; Expenses'!$AM$5*1000</f>
        <v>2.73515981976249</v>
      </c>
      <c r="X141" s="263" t="n">
        <f aca="false">V141+W141</f>
        <v>39.3049879128325</v>
      </c>
    </row>
    <row r="142" customFormat="false" ht="12.75" hidden="false" customHeight="false" outlineLevel="0" collapsed="false">
      <c r="T142" s="269" t="n">
        <v>40817</v>
      </c>
      <c r="U142" s="270" t="n">
        <f aca="false">'Company Gas Prices'!C161</f>
        <v>3.778125</v>
      </c>
      <c r="V142" s="270" t="n">
        <f aca="false">(U142*'Revenues &amp; Expenses'!$S$2)/1000</f>
        <v>36.190659375</v>
      </c>
      <c r="W142" s="270" t="n">
        <f aca="false">'Revenues &amp; Expenses'!O148*'Revenues &amp; Expenses'!$AM$5*1000</f>
        <v>2.74123906063232</v>
      </c>
      <c r="X142" s="263" t="n">
        <f aca="false">V142+W142</f>
        <v>38.9318984356323</v>
      </c>
    </row>
    <row r="143" customFormat="false" ht="12.75" hidden="false" customHeight="false" outlineLevel="0" collapsed="false">
      <c r="T143" s="269" t="n">
        <v>40848</v>
      </c>
      <c r="U143" s="270" t="n">
        <f aca="false">'Company Gas Prices'!C162</f>
        <v>3.778125</v>
      </c>
      <c r="V143" s="270" t="n">
        <f aca="false">(U143*'Revenues &amp; Expenses'!$S$2)/1000</f>
        <v>36.190659375</v>
      </c>
      <c r="W143" s="270" t="n">
        <f aca="false">'Revenues &amp; Expenses'!O149*'Revenues &amp; Expenses'!$AM$5*1000</f>
        <v>2.74733181338884</v>
      </c>
      <c r="X143" s="263" t="n">
        <f aca="false">V143+W143</f>
        <v>38.9379911883888</v>
      </c>
    </row>
    <row r="144" customFormat="false" ht="12.75" hidden="false" customHeight="false" outlineLevel="0" collapsed="false">
      <c r="T144" s="269" t="n">
        <v>40878</v>
      </c>
      <c r="U144" s="270" t="n">
        <f aca="false">'Company Gas Prices'!C163</f>
        <v>3.778125</v>
      </c>
      <c r="V144" s="270" t="n">
        <f aca="false">(U144*'Revenues &amp; Expenses'!$S$2)/1000</f>
        <v>36.190659375</v>
      </c>
      <c r="W144" s="270" t="n">
        <f aca="false">'Revenues &amp; Expenses'!O150*'Revenues &amp; Expenses'!$AM$5*1000</f>
        <v>2.75343810806394</v>
      </c>
      <c r="X144" s="263" t="n">
        <f aca="false">V144+W144</f>
        <v>38.9440974830639</v>
      </c>
    </row>
    <row r="145" customFormat="false" ht="12.75" hidden="false" customHeight="false" outlineLevel="0" collapsed="false">
      <c r="T145" s="269" t="n">
        <v>40909</v>
      </c>
      <c r="U145" s="270" t="n">
        <f aca="false">'Company Gas Prices'!C164</f>
        <v>3.83541667</v>
      </c>
      <c r="V145" s="270" t="n">
        <f aca="false">(U145*'Revenues &amp; Expenses'!$S$2)/1000</f>
        <v>36.73945628193</v>
      </c>
      <c r="W145" s="270" t="n">
        <f aca="false">'Revenues &amp; Expenses'!O151*'Revenues &amp; Expenses'!$AM$5*1000</f>
        <v>2.75955797475624</v>
      </c>
      <c r="X145" s="263" t="n">
        <f aca="false">V145+W145</f>
        <v>39.4990142566862</v>
      </c>
    </row>
    <row r="146" customFormat="false" ht="12.75" hidden="false" customHeight="false" outlineLevel="0" collapsed="false">
      <c r="T146" s="269" t="n">
        <v>40940</v>
      </c>
      <c r="U146" s="270" t="n">
        <f aca="false">'Company Gas Prices'!C165</f>
        <v>3.83541667</v>
      </c>
      <c r="V146" s="270" t="n">
        <f aca="false">(U146*'Revenues &amp; Expenses'!$S$2)/1000</f>
        <v>36.73945628193</v>
      </c>
      <c r="W146" s="270" t="n">
        <f aca="false">'Revenues &amp; Expenses'!O152*'Revenues &amp; Expenses'!$AM$5*1000</f>
        <v>2.7656914436313</v>
      </c>
      <c r="X146" s="263" t="n">
        <f aca="false">V146+W146</f>
        <v>39.5051477255613</v>
      </c>
    </row>
    <row r="147" customFormat="false" ht="12.75" hidden="false" customHeight="false" outlineLevel="0" collapsed="false">
      <c r="T147" s="269" t="n">
        <v>40969</v>
      </c>
      <c r="U147" s="270" t="n">
        <f aca="false">'Company Gas Prices'!C166</f>
        <v>3.83541667</v>
      </c>
      <c r="V147" s="270" t="n">
        <f aca="false">(U147*'Revenues &amp; Expenses'!$S$2)/1000</f>
        <v>36.73945628193</v>
      </c>
      <c r="W147" s="270" t="n">
        <f aca="false">'Revenues &amp; Expenses'!O153*'Revenues &amp; Expenses'!$AM$5*1000</f>
        <v>2.77183854492168</v>
      </c>
      <c r="X147" s="263" t="n">
        <f aca="false">V147+W147</f>
        <v>39.5112948268517</v>
      </c>
    </row>
    <row r="148" customFormat="false" ht="12.75" hidden="false" customHeight="false" outlineLevel="0" collapsed="false">
      <c r="T148" s="269" t="n">
        <v>41000</v>
      </c>
      <c r="U148" s="270" t="n">
        <f aca="false">'Company Gas Prices'!C167</f>
        <v>3.98020833</v>
      </c>
      <c r="V148" s="270" t="n">
        <f aca="false">(U148*'Revenues &amp; Expenses'!$S$2)/1000</f>
        <v>38.12641559307</v>
      </c>
      <c r="W148" s="270" t="n">
        <f aca="false">'Revenues &amp; Expenses'!O154*'Revenues &amp; Expenses'!$AM$5*1000</f>
        <v>2.77799930892718</v>
      </c>
      <c r="X148" s="263" t="n">
        <f aca="false">V148+W148</f>
        <v>40.9044149019972</v>
      </c>
    </row>
    <row r="149" customFormat="false" ht="12.75" hidden="false" customHeight="false" outlineLevel="0" collapsed="false">
      <c r="T149" s="269" t="n">
        <v>41030</v>
      </c>
      <c r="U149" s="270" t="n">
        <f aca="false">'Company Gas Prices'!C168</f>
        <v>3.81770833</v>
      </c>
      <c r="V149" s="270" t="n">
        <f aca="false">(U149*'Revenues &amp; Expenses'!$S$2)/1000</f>
        <v>36.56982809307</v>
      </c>
      <c r="W149" s="270" t="n">
        <f aca="false">'Revenues &amp; Expenses'!O155*'Revenues &amp; Expenses'!$AM$5*1000</f>
        <v>2.7841737660149</v>
      </c>
      <c r="X149" s="263" t="n">
        <f aca="false">V149+W149</f>
        <v>39.3540018590849</v>
      </c>
    </row>
    <row r="150" customFormat="false" ht="12.75" hidden="false" customHeight="false" outlineLevel="0" collapsed="false">
      <c r="T150" s="269" t="n">
        <v>41061</v>
      </c>
      <c r="U150" s="270" t="n">
        <f aca="false">'Company Gas Prices'!C169</f>
        <v>3.809375</v>
      </c>
      <c r="V150" s="270" t="n">
        <f aca="false">(U150*'Revenues &amp; Expenses'!$S$2)/1000</f>
        <v>36.490003125</v>
      </c>
      <c r="W150" s="270" t="n">
        <f aca="false">'Revenues &amp; Expenses'!O156*'Revenues &amp; Expenses'!$AM$5*1000</f>
        <v>2.79036194661948</v>
      </c>
      <c r="X150" s="263" t="n">
        <f aca="false">V150+W150</f>
        <v>39.2803650716195</v>
      </c>
    </row>
    <row r="151" customFormat="false" ht="12.75" hidden="false" customHeight="false" outlineLevel="0" collapsed="false">
      <c r="T151" s="269" t="n">
        <v>41091</v>
      </c>
      <c r="U151" s="270" t="n">
        <f aca="false">'Company Gas Prices'!C170</f>
        <v>3.771875</v>
      </c>
      <c r="V151" s="270" t="n">
        <f aca="false">(U151*'Revenues &amp; Expenses'!$S$2)/1000</f>
        <v>36.130790625</v>
      </c>
      <c r="W151" s="270" t="n">
        <f aca="false">'Revenues &amp; Expenses'!O157*'Revenues &amp; Expenses'!$AM$5*1000</f>
        <v>2.79656388124317</v>
      </c>
      <c r="X151" s="263" t="n">
        <f aca="false">V151+W151</f>
        <v>38.9273545062432</v>
      </c>
    </row>
    <row r="152" customFormat="false" ht="12.75" hidden="false" customHeight="false" outlineLevel="0" collapsed="false">
      <c r="T152" s="269" t="n">
        <v>41122</v>
      </c>
      <c r="U152" s="270" t="n">
        <f aca="false">'Company Gas Prices'!C171</f>
        <v>3.771875</v>
      </c>
      <c r="V152" s="270" t="n">
        <f aca="false">(U152*'Revenues &amp; Expenses'!$S$2)/1000</f>
        <v>36.130790625</v>
      </c>
      <c r="W152" s="270" t="n">
        <f aca="false">'Revenues &amp; Expenses'!O158*'Revenues &amp; Expenses'!$AM$5*1000</f>
        <v>2.80277960045604</v>
      </c>
      <c r="X152" s="263" t="n">
        <f aca="false">V152+W152</f>
        <v>38.933570225456</v>
      </c>
    </row>
    <row r="153" customFormat="false" ht="12.75" hidden="false" customHeight="false" outlineLevel="0" collapsed="false">
      <c r="T153" s="269" t="n">
        <v>41153</v>
      </c>
      <c r="U153" s="270" t="n">
        <f aca="false">'Company Gas Prices'!C172</f>
        <v>3.81770833</v>
      </c>
      <c r="V153" s="270" t="n">
        <f aca="false">(U153*'Revenues &amp; Expenses'!$S$2)/1000</f>
        <v>36.56982809307</v>
      </c>
      <c r="W153" s="270" t="n">
        <f aca="false">'Revenues &amp; Expenses'!O159*'Revenues &amp; Expenses'!$AM$5*1000</f>
        <v>2.80900913489608</v>
      </c>
      <c r="X153" s="263" t="n">
        <f aca="false">V153+W153</f>
        <v>39.3788372279661</v>
      </c>
    </row>
    <row r="154" customFormat="false" ht="12.75" hidden="false" customHeight="false" outlineLevel="0" collapsed="false">
      <c r="T154" s="269" t="n">
        <v>41183</v>
      </c>
      <c r="U154" s="270" t="n">
        <f aca="false">'Company Gas Prices'!C173</f>
        <v>3.778125</v>
      </c>
      <c r="V154" s="270" t="n">
        <f aca="false">(U154*'Revenues &amp; Expenses'!$S$2)/1000</f>
        <v>36.190659375</v>
      </c>
      <c r="W154" s="270" t="n">
        <f aca="false">'Revenues &amp; Expenses'!O160*'Revenues &amp; Expenses'!$AM$5*1000</f>
        <v>2.8152525152694</v>
      </c>
      <c r="X154" s="263" t="n">
        <f aca="false">V154+W154</f>
        <v>39.0059118902694</v>
      </c>
    </row>
    <row r="155" customFormat="false" ht="12.75" hidden="false" customHeight="false" outlineLevel="0" collapsed="false">
      <c r="T155" s="269" t="n">
        <v>41214</v>
      </c>
      <c r="U155" s="270" t="n">
        <f aca="false">'Company Gas Prices'!C174</f>
        <v>3.778125</v>
      </c>
      <c r="V155" s="270" t="n">
        <f aca="false">(U155*'Revenues &amp; Expenses'!$S$2)/1000</f>
        <v>36.190659375</v>
      </c>
      <c r="W155" s="270" t="n">
        <f aca="false">'Revenues &amp; Expenses'!O161*'Revenues &amp; Expenses'!$AM$5*1000</f>
        <v>2.82150977235034</v>
      </c>
      <c r="X155" s="263" t="n">
        <f aca="false">V155+W155</f>
        <v>39.0121691473503</v>
      </c>
    </row>
    <row r="156" customFormat="false" ht="12.75" hidden="false" customHeight="false" outlineLevel="0" collapsed="false">
      <c r="T156" s="269" t="n">
        <v>41244</v>
      </c>
      <c r="U156" s="270" t="n">
        <f aca="false">'Company Gas Prices'!C175</f>
        <v>3.778125</v>
      </c>
      <c r="V156" s="270" t="n">
        <f aca="false">(U156*'Revenues &amp; Expenses'!$S$2)/1000</f>
        <v>36.190659375</v>
      </c>
      <c r="W156" s="270" t="n">
        <f aca="false">'Revenues &amp; Expenses'!O162*'Revenues &amp; Expenses'!$AM$5*1000</f>
        <v>2.82778093698166</v>
      </c>
      <c r="X156" s="263" t="n">
        <f aca="false">V156+W156</f>
        <v>39.0184403119817</v>
      </c>
    </row>
    <row r="157" customFormat="false" ht="12.75" hidden="false" customHeight="false" outlineLevel="0" collapsed="false">
      <c r="T157" s="269" t="n">
        <v>41275</v>
      </c>
      <c r="U157" s="270" t="n">
        <f aca="false">'Company Gas Prices'!C176</f>
        <v>3.83541667</v>
      </c>
      <c r="V157" s="270" t="n">
        <f aca="false">(U157*'Revenues &amp; Expenses'!$S$2)/1000</f>
        <v>36.73945628193</v>
      </c>
      <c r="W157" s="270" t="n">
        <f aca="false">'Revenues &amp; Expenses'!O163*'Revenues &amp; Expenses'!$AM$5*1000</f>
        <v>2.83406604007466</v>
      </c>
      <c r="X157" s="263" t="n">
        <f aca="false">V157+W157</f>
        <v>39.5735223220047</v>
      </c>
    </row>
    <row r="158" customFormat="false" ht="12.75" hidden="false" customHeight="false" outlineLevel="0" collapsed="false">
      <c r="T158" s="269" t="n">
        <v>41306</v>
      </c>
      <c r="U158" s="270" t="n">
        <f aca="false">'Company Gas Prices'!C177</f>
        <v>3.83541667</v>
      </c>
      <c r="V158" s="270" t="n">
        <f aca="false">(U158*'Revenues &amp; Expenses'!$S$2)/1000</f>
        <v>36.73945628193</v>
      </c>
      <c r="W158" s="270" t="n">
        <f aca="false">'Revenues &amp; Expenses'!O164*'Revenues &amp; Expenses'!$AM$5*1000</f>
        <v>2.84036511260934</v>
      </c>
      <c r="X158" s="263" t="n">
        <f aca="false">V158+W158</f>
        <v>39.5798213945393</v>
      </c>
    </row>
    <row r="159" customFormat="false" ht="12.75" hidden="false" customHeight="false" outlineLevel="0" collapsed="false">
      <c r="T159" s="269" t="n">
        <v>41334</v>
      </c>
      <c r="U159" s="270" t="n">
        <f aca="false">'Company Gas Prices'!C178</f>
        <v>3.83541667</v>
      </c>
      <c r="V159" s="270" t="n">
        <f aca="false">(U159*'Revenues &amp; Expenses'!$S$2)/1000</f>
        <v>36.73945628193</v>
      </c>
      <c r="W159" s="270" t="n">
        <f aca="false">'Revenues &amp; Expenses'!O165*'Revenues &amp; Expenses'!$AM$5*1000</f>
        <v>2.84667818563457</v>
      </c>
      <c r="X159" s="263" t="n">
        <f aca="false">V159+W159</f>
        <v>39.5861344675646</v>
      </c>
    </row>
    <row r="160" customFormat="false" ht="12.75" hidden="false" customHeight="false" outlineLevel="0" collapsed="false">
      <c r="T160" s="269" t="n">
        <v>41365</v>
      </c>
      <c r="U160" s="270" t="n">
        <f aca="false">'Company Gas Prices'!C179</f>
        <v>3.98020833</v>
      </c>
      <c r="V160" s="270" t="n">
        <f aca="false">(U160*'Revenues &amp; Expenses'!$S$2)/1000</f>
        <v>38.12641559307</v>
      </c>
      <c r="W160" s="270" t="n">
        <f aca="false">'Revenues &amp; Expenses'!O166*'Revenues &amp; Expenses'!$AM$5*1000</f>
        <v>2.85300529026821</v>
      </c>
      <c r="X160" s="263" t="n">
        <f aca="false">V160+W160</f>
        <v>40.9794208833382</v>
      </c>
    </row>
    <row r="161" customFormat="false" ht="12.75" hidden="false" customHeight="false" outlineLevel="0" collapsed="false">
      <c r="T161" s="269" t="n">
        <v>41395</v>
      </c>
      <c r="U161" s="270" t="n">
        <f aca="false">'Company Gas Prices'!C180</f>
        <v>3.81770833</v>
      </c>
      <c r="V161" s="270" t="n">
        <f aca="false">(U161*'Revenues &amp; Expenses'!$S$2)/1000</f>
        <v>36.56982809307</v>
      </c>
      <c r="W161" s="270" t="n">
        <f aca="false">'Revenues &amp; Expenses'!O167*'Revenues &amp; Expenses'!$AM$5*1000</f>
        <v>2.8593464576973</v>
      </c>
      <c r="X161" s="263" t="n">
        <f aca="false">V161+W161</f>
        <v>39.4291745507673</v>
      </c>
    </row>
    <row r="162" customFormat="false" ht="12.75" hidden="false" customHeight="false" outlineLevel="0" collapsed="false">
      <c r="T162" s="269" t="n">
        <v>41426</v>
      </c>
      <c r="U162" s="270" t="n">
        <f aca="false">'Company Gas Prices'!C181</f>
        <v>3.809375</v>
      </c>
      <c r="V162" s="270" t="n">
        <f aca="false">(U162*'Revenues &amp; Expenses'!$S$2)/1000</f>
        <v>36.490003125</v>
      </c>
      <c r="W162" s="270" t="n">
        <f aca="false">'Revenues &amp; Expenses'!O168*'Revenues &amp; Expenses'!$AM$5*1000</f>
        <v>2.86570171917821</v>
      </c>
      <c r="X162" s="263" t="n">
        <f aca="false">V162+W162</f>
        <v>39.3557048441782</v>
      </c>
    </row>
    <row r="163" customFormat="false" ht="12.75" hidden="false" customHeight="false" outlineLevel="0" collapsed="false">
      <c r="T163" s="269" t="n">
        <v>41456</v>
      </c>
      <c r="U163" s="270" t="n">
        <f aca="false">'Company Gas Prices'!C182</f>
        <v>3.771875</v>
      </c>
      <c r="V163" s="270" t="n">
        <f aca="false">(U163*'Revenues &amp; Expenses'!$S$2)/1000</f>
        <v>36.130790625</v>
      </c>
      <c r="W163" s="270" t="n">
        <f aca="false">'Revenues &amp; Expenses'!O169*'Revenues &amp; Expenses'!$AM$5*1000</f>
        <v>2.87207110603674</v>
      </c>
      <c r="X163" s="263" t="n">
        <f aca="false">V163+W163</f>
        <v>39.0028617310367</v>
      </c>
    </row>
    <row r="164" customFormat="false" ht="12.75" hidden="false" customHeight="false" outlineLevel="0" collapsed="false">
      <c r="T164" s="269" t="n">
        <v>41487</v>
      </c>
      <c r="U164" s="270" t="n">
        <f aca="false">'Company Gas Prices'!C183</f>
        <v>3.771875</v>
      </c>
      <c r="V164" s="270" t="n">
        <f aca="false">(U164*'Revenues &amp; Expenses'!$S$2)/1000</f>
        <v>36.130790625</v>
      </c>
      <c r="W164" s="270" t="n">
        <f aca="false">'Revenues &amp; Expenses'!O170*'Revenues &amp; Expenses'!$AM$5*1000</f>
        <v>2.87845464966835</v>
      </c>
      <c r="X164" s="263" t="n">
        <f aca="false">V164+W164</f>
        <v>39.0092452746684</v>
      </c>
    </row>
    <row r="165" customFormat="false" ht="12.75" hidden="false" customHeight="false" outlineLevel="0" collapsed="false">
      <c r="T165" s="269" t="n">
        <v>41518</v>
      </c>
      <c r="U165" s="270" t="n">
        <f aca="false">'Company Gas Prices'!C184</f>
        <v>3.81770833</v>
      </c>
      <c r="V165" s="270" t="n">
        <f aca="false">(U165*'Revenues &amp; Expenses'!$S$2)/1000</f>
        <v>36.56982809307</v>
      </c>
      <c r="W165" s="270" t="n">
        <f aca="false">'Revenues &amp; Expenses'!O171*'Revenues &amp; Expenses'!$AM$5*1000</f>
        <v>2.88485238153827</v>
      </c>
      <c r="X165" s="263" t="n">
        <f aca="false">V165+W165</f>
        <v>39.4546804746083</v>
      </c>
    </row>
    <row r="166" customFormat="false" ht="12.75" hidden="false" customHeight="false" outlineLevel="0" collapsed="false">
      <c r="T166" s="269" t="n">
        <v>41548</v>
      </c>
      <c r="U166" s="270" t="n">
        <f aca="false">'Company Gas Prices'!C185</f>
        <v>3.778125</v>
      </c>
      <c r="V166" s="270" t="n">
        <f aca="false">(U166*'Revenues &amp; Expenses'!$S$2)/1000</f>
        <v>36.190659375</v>
      </c>
      <c r="W166" s="270" t="n">
        <f aca="false">'Revenues &amp; Expenses'!O172*'Revenues &amp; Expenses'!$AM$5*1000</f>
        <v>2.89126433318167</v>
      </c>
      <c r="X166" s="263" t="n">
        <f aca="false">V166+W166</f>
        <v>39.0819237081817</v>
      </c>
    </row>
    <row r="167" customFormat="false" ht="12.75" hidden="false" customHeight="false" outlineLevel="0" collapsed="false">
      <c r="T167" s="269" t="n">
        <v>41579</v>
      </c>
      <c r="U167" s="270" t="n">
        <f aca="false">'Company Gas Prices'!C186</f>
        <v>3.778125</v>
      </c>
      <c r="V167" s="270" t="n">
        <f aca="false">(U167*'Revenues &amp; Expenses'!$S$2)/1000</f>
        <v>36.190659375</v>
      </c>
      <c r="W167" s="270" t="n">
        <f aca="false">'Revenues &amp; Expenses'!O173*'Revenues &amp; Expenses'!$AM$5*1000</f>
        <v>2.8976905362038</v>
      </c>
      <c r="X167" s="263" t="n">
        <f aca="false">V167+W167</f>
        <v>39.0883499112038</v>
      </c>
    </row>
    <row r="168" customFormat="false" ht="12.75" hidden="false" customHeight="false" outlineLevel="0" collapsed="false">
      <c r="T168" s="269" t="n">
        <v>41609</v>
      </c>
      <c r="U168" s="270" t="n">
        <f aca="false">'Company Gas Prices'!C187</f>
        <v>3.778125</v>
      </c>
      <c r="V168" s="270" t="n">
        <f aca="false">(U168*'Revenues &amp; Expenses'!$S$2)/1000</f>
        <v>36.190659375</v>
      </c>
      <c r="W168" s="270" t="n">
        <f aca="false">'Revenues &amp; Expenses'!O174*'Revenues &amp; Expenses'!$AM$5*1000</f>
        <v>2.90413102228017</v>
      </c>
      <c r="X168" s="263" t="n">
        <f aca="false">V168+W168</f>
        <v>39.0947903972802</v>
      </c>
    </row>
    <row r="169" customFormat="false" ht="12.75" hidden="false" customHeight="false" outlineLevel="0" collapsed="false">
      <c r="T169" s="269" t="n">
        <v>41640</v>
      </c>
      <c r="U169" s="270" t="n">
        <f aca="false">'Company Gas Prices'!C188</f>
        <v>3.83541667</v>
      </c>
      <c r="V169" s="270" t="n">
        <f aca="false">(U169*'Revenues &amp; Expenses'!$S$2)/1000</f>
        <v>36.73945628193</v>
      </c>
      <c r="W169" s="270" t="n">
        <f aca="false">'Revenues &amp; Expenses'!O175*'Revenues &amp; Expenses'!$AM$5*1000</f>
        <v>2.91058582315668</v>
      </c>
      <c r="X169" s="263" t="n">
        <f aca="false">V169+W169</f>
        <v>39.6500421050867</v>
      </c>
    </row>
    <row r="170" customFormat="false" ht="12.75" hidden="false" customHeight="false" outlineLevel="0" collapsed="false">
      <c r="T170" s="269" t="n">
        <v>41671</v>
      </c>
      <c r="U170" s="270" t="n">
        <f aca="false">'Company Gas Prices'!C189</f>
        <v>3.83541667</v>
      </c>
      <c r="V170" s="270" t="n">
        <f aca="false">(U170*'Revenues &amp; Expenses'!$S$2)/1000</f>
        <v>36.73945628193</v>
      </c>
      <c r="W170" s="270" t="n">
        <f aca="false">'Revenues &amp; Expenses'!O176*'Revenues &amp; Expenses'!$AM$5*1000</f>
        <v>2.91705497064979</v>
      </c>
      <c r="X170" s="263" t="n">
        <f aca="false">V170+W170</f>
        <v>39.6565112525798</v>
      </c>
    </row>
    <row r="171" customFormat="false" ht="12.75" hidden="false" customHeight="false" outlineLevel="0" collapsed="false">
      <c r="T171" s="269" t="n">
        <v>41699</v>
      </c>
      <c r="U171" s="270" t="n">
        <f aca="false">'Company Gas Prices'!C190</f>
        <v>3.83541667</v>
      </c>
      <c r="V171" s="270" t="n">
        <f aca="false">(U171*'Revenues &amp; Expenses'!$S$2)/1000</f>
        <v>36.73945628193</v>
      </c>
      <c r="W171" s="270" t="n">
        <f aca="false">'Revenues &amp; Expenses'!O177*'Revenues &amp; Expenses'!$AM$5*1000</f>
        <v>2.9235384966467</v>
      </c>
      <c r="X171" s="263" t="n">
        <f aca="false">V171+W171</f>
        <v>39.6629947785767</v>
      </c>
    </row>
    <row r="172" customFormat="false" ht="12.75" hidden="false" customHeight="false" outlineLevel="0" collapsed="false">
      <c r="T172" s="269" t="n">
        <v>41730</v>
      </c>
      <c r="U172" s="270" t="n">
        <f aca="false">'Company Gas Prices'!C191</f>
        <v>3.98020833</v>
      </c>
      <c r="V172" s="270" t="n">
        <f aca="false">(U172*'Revenues &amp; Expenses'!$S$2)/1000</f>
        <v>38.12641559307</v>
      </c>
      <c r="W172" s="270" t="n">
        <f aca="false">'Revenues &amp; Expenses'!O178*'Revenues &amp; Expenses'!$AM$5*1000</f>
        <v>2.93003643310545</v>
      </c>
      <c r="X172" s="263" t="n">
        <f aca="false">V172+W172</f>
        <v>41.0564520261755</v>
      </c>
    </row>
    <row r="173" customFormat="false" ht="12.75" hidden="false" customHeight="false" outlineLevel="0" collapsed="false">
      <c r="T173" s="269" t="n">
        <v>41760</v>
      </c>
      <c r="U173" s="270" t="n">
        <f aca="false">'Company Gas Prices'!C192</f>
        <v>3.81770833</v>
      </c>
      <c r="V173" s="270" t="n">
        <f aca="false">(U173*'Revenues &amp; Expenses'!$S$2)/1000</f>
        <v>36.56982809307</v>
      </c>
      <c r="W173" s="270" t="n">
        <f aca="false">'Revenues &amp; Expenses'!O179*'Revenues &amp; Expenses'!$AM$5*1000</f>
        <v>2.93654881205513</v>
      </c>
      <c r="X173" s="263" t="n">
        <f aca="false">V173+W173</f>
        <v>39.5063769051251</v>
      </c>
    </row>
    <row r="174" customFormat="false" ht="12.75" hidden="false" customHeight="false" outlineLevel="0" collapsed="false">
      <c r="T174" s="269" t="n">
        <v>41791</v>
      </c>
      <c r="U174" s="270" t="n">
        <f aca="false">'Company Gas Prices'!C193</f>
        <v>3.809375</v>
      </c>
      <c r="V174" s="270" t="n">
        <f aca="false">(U174*'Revenues &amp; Expenses'!$S$2)/1000</f>
        <v>36.490003125</v>
      </c>
      <c r="W174" s="270" t="n">
        <f aca="false">'Revenues &amp; Expenses'!O180*'Revenues &amp; Expenses'!$AM$5*1000</f>
        <v>2.94307566559602</v>
      </c>
      <c r="X174" s="263" t="n">
        <f aca="false">V174+W174</f>
        <v>39.433078790596</v>
      </c>
    </row>
    <row r="175" customFormat="false" ht="12.75" hidden="false" customHeight="false" outlineLevel="0" collapsed="false">
      <c r="T175" s="269" t="n">
        <v>41821</v>
      </c>
      <c r="U175" s="270" t="n">
        <f aca="false">'Company Gas Prices'!C194</f>
        <v>3.771875</v>
      </c>
      <c r="V175" s="270" t="n">
        <f aca="false">(U175*'Revenues &amp; Expenses'!$S$2)/1000</f>
        <v>36.130790625</v>
      </c>
      <c r="W175" s="270" t="n">
        <f aca="false">'Revenues &amp; Expenses'!O181*'Revenues &amp; Expenses'!$AM$5*1000</f>
        <v>2.94961702589973</v>
      </c>
      <c r="X175" s="263" t="n">
        <f aca="false">V175+W175</f>
        <v>39.0804076508997</v>
      </c>
    </row>
    <row r="176" customFormat="false" ht="12.75" hidden="false" customHeight="false" outlineLevel="0" collapsed="false">
      <c r="T176" s="269" t="n">
        <v>41852</v>
      </c>
      <c r="U176" s="270" t="n">
        <f aca="false">'Company Gas Prices'!C195</f>
        <v>3.771875</v>
      </c>
      <c r="V176" s="270" t="n">
        <f aca="false">(U176*'Revenues &amp; Expenses'!$S$2)/1000</f>
        <v>36.130790625</v>
      </c>
      <c r="W176" s="270" t="n">
        <f aca="false">'Revenues &amp; Expenses'!O182*'Revenues &amp; Expenses'!$AM$5*1000</f>
        <v>2.95617292520939</v>
      </c>
      <c r="X176" s="263" t="n">
        <f aca="false">V176+W176</f>
        <v>39.0869635502094</v>
      </c>
    </row>
    <row r="177" customFormat="false" ht="12.75" hidden="false" customHeight="false" outlineLevel="0" collapsed="false">
      <c r="T177" s="269" t="n">
        <v>41883</v>
      </c>
      <c r="U177" s="270" t="n">
        <f aca="false">'Company Gas Prices'!C196</f>
        <v>3.81770833</v>
      </c>
      <c r="V177" s="270" t="n">
        <f aca="false">(U177*'Revenues &amp; Expenses'!$S$2)/1000</f>
        <v>36.56982809307</v>
      </c>
      <c r="W177" s="270" t="n">
        <f aca="false">'Revenues &amp; Expenses'!O183*'Revenues &amp; Expenses'!$AM$5*1000</f>
        <v>2.9627433958398</v>
      </c>
      <c r="X177" s="263" t="n">
        <f aca="false">V177+W177</f>
        <v>39.5325714889098</v>
      </c>
    </row>
    <row r="178" customFormat="false" ht="12.75" hidden="false" customHeight="false" outlineLevel="0" collapsed="false">
      <c r="T178" s="269" t="n">
        <v>41913</v>
      </c>
      <c r="U178" s="270" t="n">
        <f aca="false">'Company Gas Prices'!C197</f>
        <v>3.778125</v>
      </c>
      <c r="V178" s="270" t="n">
        <f aca="false">(U178*'Revenues &amp; Expenses'!$S$2)/1000</f>
        <v>36.190659375</v>
      </c>
      <c r="W178" s="270" t="n">
        <f aca="false">'Revenues &amp; Expenses'!O184*'Revenues &amp; Expenses'!$AM$5*1000</f>
        <v>2.96932847017757</v>
      </c>
      <c r="X178" s="263" t="n">
        <f aca="false">V178+W178</f>
        <v>39.1599878451776</v>
      </c>
    </row>
    <row r="179" customFormat="false" ht="12.75" hidden="false" customHeight="false" outlineLevel="0" collapsed="false">
      <c r="T179" s="269" t="n">
        <v>41944</v>
      </c>
      <c r="U179" s="270" t="n">
        <f aca="false">'Company Gas Prices'!C198</f>
        <v>3.778125</v>
      </c>
      <c r="V179" s="270" t="n">
        <f aca="false">(U179*'Revenues &amp; Expenses'!$S$2)/1000</f>
        <v>36.190659375</v>
      </c>
      <c r="W179" s="270" t="n">
        <f aca="false">'Revenues &amp; Expenses'!O185*'Revenues &amp; Expenses'!$AM$5*1000</f>
        <v>2.9759281806813</v>
      </c>
      <c r="X179" s="263" t="n">
        <f aca="false">V179+W179</f>
        <v>39.1665875556813</v>
      </c>
    </row>
    <row r="180" customFormat="false" ht="12.75" hidden="false" customHeight="false" outlineLevel="0" collapsed="false">
      <c r="T180" s="269" t="n">
        <v>41974</v>
      </c>
      <c r="U180" s="270" t="n">
        <f aca="false">'Company Gas Prices'!C199</f>
        <v>3.778125</v>
      </c>
      <c r="V180" s="270" t="n">
        <f aca="false">(U180*'Revenues &amp; Expenses'!$S$2)/1000</f>
        <v>36.190659375</v>
      </c>
      <c r="W180" s="270" t="n">
        <f aca="false">'Revenues &amp; Expenses'!O186*'Revenues &amp; Expenses'!$AM$5*1000</f>
        <v>2.98254255988173</v>
      </c>
      <c r="X180" s="263" t="n">
        <f aca="false">V180+W180</f>
        <v>39.1732019348817</v>
      </c>
    </row>
    <row r="181" customFormat="false" ht="12.75" hidden="false" customHeight="false" outlineLevel="0" collapsed="false">
      <c r="T181" s="269" t="n">
        <v>42005</v>
      </c>
      <c r="U181" s="270" t="n">
        <f aca="false">'Company Gas Prices'!C200</f>
        <v>3.9375</v>
      </c>
      <c r="V181" s="270" t="n">
        <f aca="false">(U181*'Revenues &amp; Expenses'!$S$2)/1000</f>
        <v>37.7173125</v>
      </c>
      <c r="W181" s="270" t="n">
        <f aca="false">'Revenues &amp; Expenses'!O187*'Revenues &amp; Expenses'!$AM$5*1000</f>
        <v>2.98917164038191</v>
      </c>
      <c r="X181" s="263" t="n">
        <f aca="false">V181+W181</f>
        <v>40.7064841403819</v>
      </c>
    </row>
    <row r="182" customFormat="false" ht="12.75" hidden="false" customHeight="false" outlineLevel="0" collapsed="false">
      <c r="T182" s="269" t="n">
        <v>42036</v>
      </c>
      <c r="U182" s="270" t="n">
        <f aca="false">'Company Gas Prices'!C201</f>
        <v>3.9375</v>
      </c>
      <c r="V182" s="270" t="n">
        <f aca="false">(U182*'Revenues &amp; Expenses'!$S$2)/1000</f>
        <v>37.7173125</v>
      </c>
      <c r="W182" s="270" t="n">
        <f aca="false">'Revenues &amp; Expenses'!O188*'Revenues &amp; Expenses'!$AM$5*1000</f>
        <v>2.99581545485734</v>
      </c>
      <c r="X182" s="263" t="n">
        <f aca="false">V182+W182</f>
        <v>40.7131279548573</v>
      </c>
    </row>
    <row r="183" customFormat="false" ht="12.75" hidden="false" customHeight="false" outlineLevel="0" collapsed="false">
      <c r="T183" s="269" t="n">
        <v>42064</v>
      </c>
      <c r="U183" s="270" t="n">
        <f aca="false">'Company Gas Prices'!C202</f>
        <v>3.9375</v>
      </c>
      <c r="V183" s="270" t="n">
        <f aca="false">(U183*'Revenues &amp; Expenses'!$S$2)/1000</f>
        <v>37.7173125</v>
      </c>
      <c r="W183" s="270" t="n">
        <f aca="false">'Revenues &amp; Expenses'!O189*'Revenues &amp; Expenses'!$AM$5*1000</f>
        <v>3.00247403605616</v>
      </c>
      <c r="X183" s="263" t="n">
        <f aca="false">V183+W183</f>
        <v>40.7197865360562</v>
      </c>
    </row>
    <row r="184" customFormat="false" ht="12.75" hidden="false" customHeight="false" outlineLevel="0" collapsed="false">
      <c r="T184" s="269" t="n">
        <v>42095</v>
      </c>
      <c r="U184" s="270" t="n">
        <f aca="false">'Company Gas Prices'!C203</f>
        <v>4.08229167</v>
      </c>
      <c r="V184" s="270" t="n">
        <f aca="false">(U184*'Revenues &amp; Expenses'!$S$2)/1000</f>
        <v>39.10427190693</v>
      </c>
      <c r="W184" s="270" t="n">
        <f aca="false">'Revenues &amp; Expenses'!O190*'Revenues &amp; Expenses'!$AM$5*1000</f>
        <v>3.0091474167993</v>
      </c>
      <c r="X184" s="263" t="n">
        <f aca="false">V184+W184</f>
        <v>42.1134193237293</v>
      </c>
    </row>
    <row r="185" customFormat="false" ht="12.75" hidden="false" customHeight="false" outlineLevel="0" collapsed="false">
      <c r="T185" s="269" t="n">
        <v>42125</v>
      </c>
      <c r="U185" s="270" t="n">
        <f aca="false">'Company Gas Prices'!C204</f>
        <v>3.91979167</v>
      </c>
      <c r="V185" s="270" t="n">
        <f aca="false">(U185*'Revenues &amp; Expenses'!$S$2)/1000</f>
        <v>37.54768440693</v>
      </c>
      <c r="W185" s="270" t="n">
        <f aca="false">'Revenues &amp; Expenses'!O191*'Revenues &amp; Expenses'!$AM$5*1000</f>
        <v>3.01583562998062</v>
      </c>
      <c r="X185" s="263" t="n">
        <f aca="false">V185+W185</f>
        <v>40.5635200369106</v>
      </c>
    </row>
    <row r="186" customFormat="false" ht="12.75" hidden="false" customHeight="false" outlineLevel="0" collapsed="false">
      <c r="T186" s="269" t="n">
        <v>42156</v>
      </c>
      <c r="U186" s="270" t="n">
        <f aca="false">'Company Gas Prices'!C205</f>
        <v>3.9125</v>
      </c>
      <c r="V186" s="270" t="n">
        <f aca="false">(U186*'Revenues &amp; Expenses'!$S$2)/1000</f>
        <v>37.4778375</v>
      </c>
      <c r="W186" s="270" t="n">
        <f aca="false">'Revenues &amp; Expenses'!O192*'Revenues &amp; Expenses'!$AM$5*1000</f>
        <v>3.02253870856711</v>
      </c>
      <c r="X186" s="263" t="n">
        <f aca="false">V186+W186</f>
        <v>40.5003762085671</v>
      </c>
    </row>
    <row r="187" customFormat="false" ht="12.75" hidden="false" customHeight="false" outlineLevel="0" collapsed="false">
      <c r="T187" s="269" t="n">
        <v>42186</v>
      </c>
      <c r="U187" s="270" t="n">
        <f aca="false">'Company Gas Prices'!C206</f>
        <v>3.87395833</v>
      </c>
      <c r="V187" s="270" t="n">
        <f aca="false">(U187*'Revenues &amp; Expenses'!$S$2)/1000</f>
        <v>37.10864684307</v>
      </c>
      <c r="W187" s="270" t="n">
        <f aca="false">'Revenues &amp; Expenses'!O193*'Revenues &amp; Expenses'!$AM$5*1000</f>
        <v>3.02925668559902</v>
      </c>
      <c r="X187" s="263" t="n">
        <f aca="false">V187+W187</f>
        <v>40.137903528669</v>
      </c>
    </row>
    <row r="188" customFormat="false" ht="12.75" hidden="false" customHeight="false" outlineLevel="0" collapsed="false">
      <c r="T188" s="269" t="n">
        <v>42217</v>
      </c>
      <c r="U188" s="270" t="n">
        <f aca="false">'Company Gas Prices'!C207</f>
        <v>3.87395833</v>
      </c>
      <c r="V188" s="270" t="n">
        <f aca="false">(U188*'Revenues &amp; Expenses'!$S$2)/1000</f>
        <v>37.10864684307</v>
      </c>
      <c r="W188" s="270" t="n">
        <f aca="false">'Revenues &amp; Expenses'!O194*'Revenues &amp; Expenses'!$AM$5*1000</f>
        <v>3.03598959419005</v>
      </c>
      <c r="X188" s="263" t="n">
        <f aca="false">V188+W188</f>
        <v>40.1446364372601</v>
      </c>
    </row>
    <row r="189" customFormat="false" ht="12.75" hidden="false" customHeight="false" outlineLevel="0" collapsed="false">
      <c r="T189" s="269" t="n">
        <v>42248</v>
      </c>
      <c r="U189" s="270" t="n">
        <f aca="false">'Company Gas Prices'!C208</f>
        <v>3.91979167</v>
      </c>
      <c r="V189" s="270" t="n">
        <f aca="false">(U189*'Revenues &amp; Expenses'!$S$2)/1000</f>
        <v>37.54768440693</v>
      </c>
      <c r="W189" s="270" t="n">
        <f aca="false">'Revenues &amp; Expenses'!O195*'Revenues &amp; Expenses'!$AM$5*1000</f>
        <v>3.04273746752748</v>
      </c>
      <c r="X189" s="263" t="n">
        <f aca="false">V189+W189</f>
        <v>40.5904218744575</v>
      </c>
    </row>
    <row r="190" customFormat="false" ht="12.75" hidden="false" customHeight="false" outlineLevel="0" collapsed="false">
      <c r="T190" s="269" t="n">
        <v>42278</v>
      </c>
      <c r="U190" s="270" t="n">
        <f aca="false">'Company Gas Prices'!C209</f>
        <v>3.88020833</v>
      </c>
      <c r="V190" s="270" t="n">
        <f aca="false">(U190*'Revenues &amp; Expenses'!$S$2)/1000</f>
        <v>37.16851559307</v>
      </c>
      <c r="W190" s="270" t="n">
        <f aca="false">'Revenues &amp; Expenses'!O196*'Revenues &amp; Expenses'!$AM$5*1000</f>
        <v>3.04950033887237</v>
      </c>
      <c r="X190" s="263" t="n">
        <f aca="false">V190+W190</f>
        <v>40.2180159319424</v>
      </c>
    </row>
    <row r="191" customFormat="false" ht="12.75" hidden="false" customHeight="false" outlineLevel="0" collapsed="false">
      <c r="T191" s="269" t="n">
        <v>42309</v>
      </c>
      <c r="U191" s="270" t="n">
        <f aca="false">'Company Gas Prices'!C210</f>
        <v>3.88020833</v>
      </c>
      <c r="V191" s="270" t="n">
        <f aca="false">(U191*'Revenues &amp; Expenses'!$S$2)/1000</f>
        <v>37.16851559307</v>
      </c>
      <c r="W191" s="270" t="n">
        <f aca="false">'Revenues &amp; Expenses'!O197*'Revenues &amp; Expenses'!$AM$5*1000</f>
        <v>3.0562782415597</v>
      </c>
      <c r="X191" s="263" t="n">
        <f aca="false">V191+W191</f>
        <v>40.2247938346297</v>
      </c>
    </row>
    <row r="192" customFormat="false" ht="12.75" hidden="false" customHeight="false" outlineLevel="0" collapsed="false">
      <c r="T192" s="269" t="n">
        <v>42339</v>
      </c>
      <c r="U192" s="270" t="n">
        <f aca="false">'Company Gas Prices'!C211</f>
        <v>3.88020833</v>
      </c>
      <c r="V192" s="270" t="n">
        <f aca="false">(U192*'Revenues &amp; Expenses'!$S$2)/1000</f>
        <v>37.16851559307</v>
      </c>
      <c r="W192" s="270" t="n">
        <f aca="false">'Revenues &amp; Expenses'!O198*'Revenues &amp; Expenses'!$AM$5*1000</f>
        <v>3.06307120899854</v>
      </c>
      <c r="X192" s="263" t="n">
        <f aca="false">V192+W192</f>
        <v>40.2315868020685</v>
      </c>
    </row>
    <row r="193" customFormat="false" ht="12.75" hidden="false" customHeight="false" outlineLevel="0" collapsed="false">
      <c r="T193" s="269" t="n">
        <v>42370</v>
      </c>
      <c r="U193" s="270" t="n">
        <f aca="false">'Company Gas Prices'!C212</f>
        <v>3.9375</v>
      </c>
      <c r="V193" s="270" t="n">
        <f aca="false">(U193*'Revenues &amp; Expenses'!$S$2)/1000</f>
        <v>37.7173125</v>
      </c>
      <c r="W193" s="270" t="n">
        <f aca="false">'Revenues &amp; Expenses'!O199*'Revenues &amp; Expenses'!$AM$5*1000</f>
        <v>3.06987927467222</v>
      </c>
      <c r="X193" s="263" t="n">
        <f aca="false">V193+W193</f>
        <v>40.7871917746722</v>
      </c>
    </row>
    <row r="194" customFormat="false" ht="12.75" hidden="false" customHeight="false" outlineLevel="0" collapsed="false">
      <c r="T194" s="269" t="n">
        <v>42401</v>
      </c>
      <c r="U194" s="270" t="n">
        <f aca="false">'Company Gas Prices'!C213</f>
        <v>3.9375</v>
      </c>
      <c r="V194" s="270" t="n">
        <f aca="false">(U194*'Revenues &amp; Expenses'!$S$2)/1000</f>
        <v>37.7173125</v>
      </c>
      <c r="W194" s="270" t="n">
        <f aca="false">'Revenues &amp; Expenses'!O200*'Revenues &amp; Expenses'!$AM$5*1000</f>
        <v>3.07670247213849</v>
      </c>
      <c r="X194" s="263" t="n">
        <f aca="false">V194+W194</f>
        <v>40.7940149721385</v>
      </c>
    </row>
    <row r="195" customFormat="false" ht="12.75" hidden="false" customHeight="false" outlineLevel="0" collapsed="false">
      <c r="T195" s="269" t="n">
        <v>42430</v>
      </c>
      <c r="U195" s="270" t="n">
        <f aca="false">'Company Gas Prices'!C214</f>
        <v>3.9375</v>
      </c>
      <c r="V195" s="270" t="n">
        <f aca="false">(U195*'Revenues &amp; Expenses'!$S$2)/1000</f>
        <v>37.7173125</v>
      </c>
      <c r="W195" s="270" t="n">
        <f aca="false">'Revenues &amp; Expenses'!O201*'Revenues &amp; Expenses'!$AM$5*1000</f>
        <v>3.08354083502968</v>
      </c>
      <c r="X195" s="263" t="n">
        <f aca="false">V195+W195</f>
        <v>40.8008533350297</v>
      </c>
    </row>
    <row r="196" customFormat="false" ht="12.75" hidden="false" customHeight="false" outlineLevel="0" collapsed="false">
      <c r="T196" s="269" t="n">
        <v>42461</v>
      </c>
      <c r="U196" s="270" t="n">
        <f aca="false">'Company Gas Prices'!C215</f>
        <v>4.08229167</v>
      </c>
      <c r="V196" s="270" t="n">
        <f aca="false">(U196*'Revenues &amp; Expenses'!$S$2)/1000</f>
        <v>39.10427190693</v>
      </c>
      <c r="W196" s="270" t="n">
        <f aca="false">'Revenues &amp; Expenses'!O202*'Revenues &amp; Expenses'!$AM$5*1000</f>
        <v>3.09039439705288</v>
      </c>
      <c r="X196" s="263" t="n">
        <f aca="false">V196+W196</f>
        <v>42.1946663039829</v>
      </c>
    </row>
    <row r="197" customFormat="false" ht="12.75" hidden="false" customHeight="false" outlineLevel="0" collapsed="false">
      <c r="T197" s="269" t="n">
        <v>42491</v>
      </c>
      <c r="U197" s="270" t="n">
        <f aca="false">'Company Gas Prices'!C216</f>
        <v>3.91979167</v>
      </c>
      <c r="V197" s="270" t="n">
        <f aca="false">(U197*'Revenues &amp; Expenses'!$S$2)/1000</f>
        <v>37.54768440693</v>
      </c>
      <c r="W197" s="270" t="n">
        <f aca="false">'Revenues &amp; Expenses'!O203*'Revenues &amp; Expenses'!$AM$5*1000</f>
        <v>3.0972631919901</v>
      </c>
      <c r="X197" s="263" t="n">
        <f aca="false">V197+W197</f>
        <v>40.6449475989201</v>
      </c>
    </row>
    <row r="198" customFormat="false" ht="12.75" hidden="false" customHeight="false" outlineLevel="0" collapsed="false">
      <c r="T198" s="269" t="n">
        <v>42522</v>
      </c>
      <c r="U198" s="270" t="n">
        <f aca="false">'Company Gas Prices'!C217</f>
        <v>3.9125</v>
      </c>
      <c r="V198" s="270" t="n">
        <f aca="false">(U198*'Revenues &amp; Expenses'!$S$2)/1000</f>
        <v>37.4778375</v>
      </c>
      <c r="W198" s="270" t="n">
        <f aca="false">'Revenues &amp; Expenses'!O204*'Revenues &amp; Expenses'!$AM$5*1000</f>
        <v>3.10414725369842</v>
      </c>
      <c r="X198" s="263" t="n">
        <f aca="false">V198+W198</f>
        <v>40.5819847536984</v>
      </c>
    </row>
    <row r="199" customFormat="false" ht="12.75" hidden="false" customHeight="false" outlineLevel="0" collapsed="false">
      <c r="T199" s="269" t="n">
        <v>42552</v>
      </c>
      <c r="U199" s="270" t="n">
        <f aca="false">'Company Gas Prices'!C218</f>
        <v>3.87395833</v>
      </c>
      <c r="V199" s="270" t="n">
        <f aca="false">(U199*'Revenues &amp; Expenses'!$S$2)/1000</f>
        <v>37.10864684307</v>
      </c>
      <c r="W199" s="270" t="n">
        <f aca="false">'Revenues &amp; Expenses'!O205*'Revenues &amp; Expenses'!$AM$5*1000</f>
        <v>3.1110466161102</v>
      </c>
      <c r="X199" s="263" t="n">
        <f aca="false">V199+W199</f>
        <v>40.2196934591802</v>
      </c>
    </row>
    <row r="200" customFormat="false" ht="12.75" hidden="false" customHeight="false" outlineLevel="0" collapsed="false">
      <c r="T200" s="269" t="n">
        <v>42583</v>
      </c>
      <c r="U200" s="270" t="n">
        <f aca="false">'Company Gas Prices'!C219</f>
        <v>3.87395833</v>
      </c>
      <c r="V200" s="270" t="n">
        <f aca="false">(U200*'Revenues &amp; Expenses'!$S$2)/1000</f>
        <v>37.10864684307</v>
      </c>
      <c r="W200" s="270" t="n">
        <f aca="false">'Revenues &amp; Expenses'!O206*'Revenues &amp; Expenses'!$AM$5*1000</f>
        <v>3.11796131323318</v>
      </c>
      <c r="X200" s="263" t="n">
        <f aca="false">V200+W200</f>
        <v>40.2266081563032</v>
      </c>
    </row>
    <row r="201" customFormat="false" ht="12.75" hidden="false" customHeight="false" outlineLevel="0" collapsed="false">
      <c r="T201" s="269" t="n">
        <v>42614</v>
      </c>
      <c r="U201" s="270" t="n">
        <f aca="false">'Company Gas Prices'!C220</f>
        <v>3.91979167</v>
      </c>
      <c r="V201" s="270" t="n">
        <f aca="false">(U201*'Revenues &amp; Expenses'!$S$2)/1000</f>
        <v>37.54768440693</v>
      </c>
      <c r="W201" s="270" t="n">
        <f aca="false">'Revenues &amp; Expenses'!O207*'Revenues &amp; Expenses'!$AM$5*1000</f>
        <v>3.12489137915072</v>
      </c>
      <c r="X201" s="263" t="n">
        <f aca="false">V201+W201</f>
        <v>40.6725757860807</v>
      </c>
    </row>
    <row r="202" customFormat="false" ht="12.75" hidden="false" customHeight="false" outlineLevel="0" collapsed="false">
      <c r="T202" s="269" t="n">
        <v>42644</v>
      </c>
      <c r="U202" s="270" t="n">
        <f aca="false">'Company Gas Prices'!C221</f>
        <v>3.88020833</v>
      </c>
      <c r="V202" s="270" t="n">
        <f aca="false">(U202*'Revenues &amp; Expenses'!$S$2)/1000</f>
        <v>37.16851559307</v>
      </c>
      <c r="W202" s="270" t="n">
        <f aca="false">'Revenues &amp; Expenses'!O208*'Revenues &amp; Expenses'!$AM$5*1000</f>
        <v>3.13183684802192</v>
      </c>
      <c r="X202" s="263" t="n">
        <f aca="false">V202+W202</f>
        <v>40.3003524410919</v>
      </c>
    </row>
    <row r="203" customFormat="false" ht="12.75" hidden="false" customHeight="false" outlineLevel="0" collapsed="false">
      <c r="T203" s="269" t="n">
        <v>42675</v>
      </c>
      <c r="U203" s="270" t="n">
        <f aca="false">'Company Gas Prices'!C222</f>
        <v>3.88020833</v>
      </c>
      <c r="V203" s="270" t="n">
        <f aca="false">(U203*'Revenues &amp; Expenses'!$S$2)/1000</f>
        <v>37.16851559307</v>
      </c>
      <c r="W203" s="270" t="n">
        <f aca="false">'Revenues &amp; Expenses'!O209*'Revenues &amp; Expenses'!$AM$5*1000</f>
        <v>3.13879775408181</v>
      </c>
      <c r="X203" s="263" t="n">
        <f aca="false">V203+W203</f>
        <v>40.3073133471518</v>
      </c>
    </row>
    <row r="204" customFormat="false" ht="12.75" hidden="false" customHeight="false" outlineLevel="0" collapsed="false">
      <c r="T204" s="269" t="n">
        <v>42705</v>
      </c>
      <c r="U204" s="270" t="n">
        <f aca="false">'Company Gas Prices'!C223</f>
        <v>3.88020833</v>
      </c>
      <c r="V204" s="270" t="n">
        <f aca="false">(U204*'Revenues &amp; Expenses'!$S$2)/1000</f>
        <v>37.16851559307</v>
      </c>
      <c r="W204" s="270" t="n">
        <f aca="false">'Revenues &amp; Expenses'!O210*'Revenues &amp; Expenses'!$AM$5*1000</f>
        <v>3.1457741316415</v>
      </c>
      <c r="X204" s="263" t="n">
        <f aca="false">V204+W204</f>
        <v>40.3142897247115</v>
      </c>
    </row>
    <row r="205" customFormat="false" ht="12.75" hidden="false" customHeight="false" outlineLevel="0" collapsed="false">
      <c r="T205" s="269" t="n">
        <v>42736</v>
      </c>
      <c r="U205" s="270" t="n">
        <f aca="false">'Company Gas Prices'!C224</f>
        <v>3.9375</v>
      </c>
      <c r="V205" s="270" t="n">
        <f aca="false">(U205*'Revenues &amp; Expenses'!$S$2)/1000</f>
        <v>37.7173125</v>
      </c>
      <c r="W205" s="270" t="n">
        <f aca="false">'Revenues &amp; Expenses'!O211*'Revenues &amp; Expenses'!$AM$5*1000</f>
        <v>3.15276601508837</v>
      </c>
      <c r="X205" s="263" t="n">
        <f aca="false">V205+W205</f>
        <v>40.8700785150884</v>
      </c>
    </row>
    <row r="206" customFormat="false" ht="12.75" hidden="false" customHeight="false" outlineLevel="0" collapsed="false">
      <c r="T206" s="269" t="n">
        <v>42767</v>
      </c>
      <c r="U206" s="270" t="n">
        <f aca="false">'Company Gas Prices'!C225</f>
        <v>3.9375</v>
      </c>
      <c r="V206" s="270" t="n">
        <f aca="false">(U206*'Revenues &amp; Expenses'!$S$2)/1000</f>
        <v>37.7173125</v>
      </c>
      <c r="W206" s="270" t="n">
        <f aca="false">'Revenues &amp; Expenses'!O212*'Revenues &amp; Expenses'!$AM$5*1000</f>
        <v>3.15977343888622</v>
      </c>
      <c r="X206" s="263" t="n">
        <f aca="false">V206+W206</f>
        <v>40.8770859388862</v>
      </c>
    </row>
    <row r="207" customFormat="false" ht="12.75" hidden="false" customHeight="false" outlineLevel="0" collapsed="false">
      <c r="T207" s="269" t="n">
        <v>42795</v>
      </c>
      <c r="U207" s="270" t="n">
        <f aca="false">'Company Gas Prices'!C226</f>
        <v>3.9375</v>
      </c>
      <c r="V207" s="270" t="n">
        <f aca="false">(U207*'Revenues &amp; Expenses'!$S$2)/1000</f>
        <v>37.7173125</v>
      </c>
      <c r="W207" s="270" t="n">
        <f aca="false">'Revenues &amp; Expenses'!O213*'Revenues &amp; Expenses'!$AM$5*1000</f>
        <v>3.16679643757548</v>
      </c>
      <c r="X207" s="263" t="n">
        <f aca="false">V207+W207</f>
        <v>40.8841089375755</v>
      </c>
    </row>
    <row r="208" customFormat="false" ht="12.75" hidden="false" customHeight="false" outlineLevel="0" collapsed="false">
      <c r="T208" s="269" t="n">
        <v>42826</v>
      </c>
      <c r="U208" s="270" t="n">
        <f aca="false">'Company Gas Prices'!C227</f>
        <v>4.08229167</v>
      </c>
      <c r="V208" s="270" t="n">
        <f aca="false">(U208*'Revenues &amp; Expenses'!$S$2)/1000</f>
        <v>39.10427190693</v>
      </c>
      <c r="W208" s="270" t="n">
        <f aca="false">'Revenues &amp; Expenses'!O214*'Revenues &amp; Expenses'!$AM$5*1000</f>
        <v>3.17383504577331</v>
      </c>
      <c r="X208" s="263" t="n">
        <f aca="false">V208+W208</f>
        <v>42.2781069527033</v>
      </c>
    </row>
    <row r="209" customFormat="false" ht="12.75" hidden="false" customHeight="false" outlineLevel="0" collapsed="false">
      <c r="T209" s="269" t="n">
        <v>42856</v>
      </c>
      <c r="U209" s="270" t="n">
        <f aca="false">'Company Gas Prices'!C228</f>
        <v>3.91979167</v>
      </c>
      <c r="V209" s="270" t="n">
        <f aca="false">(U209*'Revenues &amp; Expenses'!$S$2)/1000</f>
        <v>37.54768440693</v>
      </c>
      <c r="W209" s="270" t="n">
        <f aca="false">'Revenues &amp; Expenses'!O215*'Revenues &amp; Expenses'!$AM$5*1000</f>
        <v>3.18088929817383</v>
      </c>
      <c r="X209" s="263" t="n">
        <f aca="false">V209+W209</f>
        <v>40.7285737051038</v>
      </c>
    </row>
    <row r="210" customFormat="false" ht="12.75" hidden="false" customHeight="false" outlineLevel="0" collapsed="false">
      <c r="T210" s="269" t="n">
        <v>42887</v>
      </c>
      <c r="U210" s="270" t="n">
        <f aca="false">'Company Gas Prices'!C229</f>
        <v>3.9125</v>
      </c>
      <c r="V210" s="270" t="n">
        <f aca="false">(U210*'Revenues &amp; Expenses'!$S$2)/1000</f>
        <v>37.4778375</v>
      </c>
      <c r="W210" s="270" t="n">
        <f aca="false">'Revenues &amp; Expenses'!O216*'Revenues &amp; Expenses'!$AM$5*1000</f>
        <v>3.18795922954828</v>
      </c>
      <c r="X210" s="263" t="n">
        <f aca="false">V210+W210</f>
        <v>40.6657967295483</v>
      </c>
    </row>
    <row r="211" customFormat="false" ht="12.75" hidden="false" customHeight="false" outlineLevel="0" collapsed="false">
      <c r="T211" s="269" t="n">
        <v>42917</v>
      </c>
      <c r="U211" s="270" t="n">
        <f aca="false">'Company Gas Prices'!C230</f>
        <v>3.87395833</v>
      </c>
      <c r="V211" s="270" t="n">
        <f aca="false">(U211*'Revenues &amp; Expenses'!$S$2)/1000</f>
        <v>37.10864684307</v>
      </c>
      <c r="W211" s="270" t="n">
        <f aca="false">'Revenues &amp; Expenses'!O217*'Revenues &amp; Expenses'!$AM$5*1000</f>
        <v>3.19504487474517</v>
      </c>
      <c r="X211" s="263" t="n">
        <f aca="false">V211+W211</f>
        <v>40.3036917178152</v>
      </c>
    </row>
    <row r="212" customFormat="false" ht="12.75" hidden="false" customHeight="false" outlineLevel="0" collapsed="false">
      <c r="T212" s="269" t="n">
        <v>42948</v>
      </c>
      <c r="U212" s="270" t="n">
        <f aca="false">'Company Gas Prices'!C231</f>
        <v>3.87395833</v>
      </c>
      <c r="V212" s="270" t="n">
        <f aca="false">(U212*'Revenues &amp; Expenses'!$S$2)/1000</f>
        <v>37.10864684307</v>
      </c>
      <c r="W212" s="270" t="n">
        <f aca="false">'Revenues &amp; Expenses'!O218*'Revenues &amp; Expenses'!$AM$5*1000</f>
        <v>3.20214626869047</v>
      </c>
      <c r="X212" s="263" t="n">
        <f aca="false">V212+W212</f>
        <v>40.3107931117605</v>
      </c>
    </row>
    <row r="213" customFormat="false" ht="12.75" hidden="false" customHeight="false" outlineLevel="0" collapsed="false">
      <c r="T213" s="269" t="n">
        <v>42979</v>
      </c>
      <c r="U213" s="270" t="n">
        <f aca="false">'Company Gas Prices'!C232</f>
        <v>3.91979167</v>
      </c>
      <c r="V213" s="270" t="n">
        <f aca="false">(U213*'Revenues &amp; Expenses'!$S$2)/1000</f>
        <v>37.54768440693</v>
      </c>
      <c r="W213" s="270" t="n">
        <f aca="false">'Revenues &amp; Expenses'!O219*'Revenues &amp; Expenses'!$AM$5*1000</f>
        <v>3.20926344638779</v>
      </c>
      <c r="X213" s="263" t="n">
        <f aca="false">V213+W213</f>
        <v>40.7569478533178</v>
      </c>
    </row>
    <row r="214" customFormat="false" ht="12.75" hidden="false" customHeight="false" outlineLevel="0" collapsed="false">
      <c r="T214" s="269" t="n">
        <v>43009</v>
      </c>
      <c r="U214" s="270" t="n">
        <f aca="false">'Company Gas Prices'!C233</f>
        <v>3.88020833</v>
      </c>
      <c r="V214" s="270" t="n">
        <f aca="false">(U214*'Revenues &amp; Expenses'!$S$2)/1000</f>
        <v>37.16851559307</v>
      </c>
      <c r="W214" s="270" t="n">
        <f aca="false">'Revenues &amp; Expenses'!O220*'Revenues &amp; Expenses'!$AM$5*1000</f>
        <v>3.21639644291851</v>
      </c>
      <c r="X214" s="263" t="n">
        <f aca="false">V214+W214</f>
        <v>40.3849120359885</v>
      </c>
    </row>
    <row r="215" customFormat="false" ht="12.75" hidden="false" customHeight="false" outlineLevel="0" collapsed="false">
      <c r="T215" s="269" t="n">
        <v>43040</v>
      </c>
      <c r="U215" s="270" t="n">
        <f aca="false">'Company Gas Prices'!C234</f>
        <v>3.88020833</v>
      </c>
      <c r="V215" s="270" t="n">
        <f aca="false">(U215*'Revenues &amp; Expenses'!$S$2)/1000</f>
        <v>37.16851559307</v>
      </c>
      <c r="W215" s="270" t="n">
        <f aca="false">'Revenues &amp; Expenses'!O221*'Revenues &amp; Expenses'!$AM$5*1000</f>
        <v>3.22354529344202</v>
      </c>
      <c r="X215" s="263" t="n">
        <f aca="false">V215+W215</f>
        <v>40.392060886512</v>
      </c>
    </row>
    <row r="216" customFormat="false" ht="12.75" hidden="false" customHeight="false" outlineLevel="0" collapsed="false">
      <c r="T216" s="269" t="n">
        <v>43070</v>
      </c>
      <c r="U216" s="270" t="n">
        <f aca="false">'Company Gas Prices'!C235</f>
        <v>3.88020833</v>
      </c>
      <c r="V216" s="270" t="n">
        <f aca="false">(U216*'Revenues &amp; Expenses'!$S$2)/1000</f>
        <v>37.16851559307</v>
      </c>
      <c r="W216" s="270" t="n">
        <f aca="false">'Revenues &amp; Expenses'!O222*'Revenues &amp; Expenses'!$AM$5*1000</f>
        <v>3.23071003319582</v>
      </c>
      <c r="X216" s="263" t="n">
        <f aca="false">V216+W216</f>
        <v>40.3992256262658</v>
      </c>
    </row>
    <row r="217" customFormat="false" ht="12.75" hidden="false" customHeight="false" outlineLevel="0" collapsed="false">
      <c r="T217" s="269" t="n">
        <v>43101</v>
      </c>
      <c r="U217" s="270" t="n">
        <f aca="false">'Company Gas Prices'!C236</f>
        <v>3.9375</v>
      </c>
      <c r="V217" s="270" t="n">
        <f aca="false">(U217*'Revenues &amp; Expenses'!$S$2)/1000</f>
        <v>37.7173125</v>
      </c>
      <c r="W217" s="270" t="n">
        <f aca="false">'Revenues &amp; Expenses'!O223*'Revenues &amp; Expenses'!$AM$5*1000</f>
        <v>3.23789069749575</v>
      </c>
      <c r="X217" s="263" t="n">
        <f aca="false">V217+W217</f>
        <v>40.9552031974958</v>
      </c>
    </row>
    <row r="218" customFormat="false" ht="12.75" hidden="false" customHeight="false" outlineLevel="0" collapsed="false">
      <c r="T218" s="269" t="n">
        <v>43132</v>
      </c>
      <c r="U218" s="270" t="n">
        <f aca="false">'Company Gas Prices'!C237</f>
        <v>3.9375</v>
      </c>
      <c r="V218" s="270" t="n">
        <f aca="false">(U218*'Revenues &amp; Expenses'!$S$2)/1000</f>
        <v>37.7173125</v>
      </c>
      <c r="W218" s="270" t="n">
        <f aca="false">'Revenues &amp; Expenses'!O224*'Revenues &amp; Expenses'!$AM$5*1000</f>
        <v>3.24508732173615</v>
      </c>
      <c r="X218" s="263" t="n">
        <f aca="false">V218+W218</f>
        <v>40.9623998217362</v>
      </c>
    </row>
    <row r="219" customFormat="false" ht="12.75" hidden="false" customHeight="false" outlineLevel="0" collapsed="false">
      <c r="T219" s="269" t="n">
        <v>43160</v>
      </c>
      <c r="U219" s="270" t="n">
        <f aca="false">'Company Gas Prices'!C238</f>
        <v>3.9375</v>
      </c>
      <c r="V219" s="270" t="n">
        <f aca="false">(U219*'Revenues &amp; Expenses'!$S$2)/1000</f>
        <v>37.7173125</v>
      </c>
      <c r="W219" s="270" t="n">
        <f aca="false">'Revenues &amp; Expenses'!O225*'Revenues &amp; Expenses'!$AM$5*1000</f>
        <v>3.25229994139001</v>
      </c>
      <c r="X219" s="263" t="n">
        <f aca="false">V219+W219</f>
        <v>40.96961244139</v>
      </c>
    </row>
    <row r="220" customFormat="false" ht="12.75" hidden="false" customHeight="false" outlineLevel="0" collapsed="false">
      <c r="T220" s="269" t="n">
        <v>43191</v>
      </c>
      <c r="U220" s="270" t="n">
        <f aca="false">'Company Gas Prices'!C239</f>
        <v>4.08229167</v>
      </c>
      <c r="V220" s="270" t="n">
        <f aca="false">(U220*'Revenues &amp; Expenses'!$S$2)/1000</f>
        <v>39.10427190693</v>
      </c>
      <c r="W220" s="270" t="n">
        <f aca="false">'Revenues &amp; Expenses'!O226*'Revenues &amp; Expenses'!$AM$5*1000</f>
        <v>3.25952859200918</v>
      </c>
      <c r="X220" s="263" t="n">
        <f aca="false">V220+W220</f>
        <v>42.3638004989392</v>
      </c>
    </row>
    <row r="221" customFormat="false" ht="12.75" hidden="false" customHeight="false" outlineLevel="0" collapsed="false">
      <c r="T221" s="269" t="n">
        <v>43221</v>
      </c>
      <c r="U221" s="270" t="n">
        <f aca="false">'Company Gas Prices'!C240</f>
        <v>3.91979167</v>
      </c>
      <c r="V221" s="270" t="n">
        <f aca="false">(U221*'Revenues &amp; Expenses'!$S$2)/1000</f>
        <v>37.54768440693</v>
      </c>
      <c r="W221" s="270" t="n">
        <f aca="false">'Revenues &amp; Expenses'!O227*'Revenues &amp; Expenses'!$AM$5*1000</f>
        <v>3.26677330922452</v>
      </c>
      <c r="X221" s="263" t="n">
        <f aca="false">V221+W221</f>
        <v>40.8144577161545</v>
      </c>
    </row>
    <row r="222" customFormat="false" ht="12.75" hidden="false" customHeight="false" outlineLevel="0" collapsed="false">
      <c r="T222" s="269" t="n">
        <v>43252</v>
      </c>
      <c r="U222" s="270" t="n">
        <f aca="false">'Company Gas Prices'!C241</f>
        <v>3.9125</v>
      </c>
      <c r="V222" s="270" t="n">
        <f aca="false">(U222*'Revenues &amp; Expenses'!$S$2)/1000</f>
        <v>37.4778375</v>
      </c>
      <c r="W222" s="270" t="n">
        <f aca="false">'Revenues &amp; Expenses'!O228*'Revenues &amp; Expenses'!$AM$5*1000</f>
        <v>3.27403412874608</v>
      </c>
      <c r="X222" s="263" t="n">
        <f aca="false">V222+W222</f>
        <v>40.7518716287461</v>
      </c>
    </row>
    <row r="223" customFormat="false" ht="12.75" hidden="false" customHeight="false" outlineLevel="0" collapsed="false">
      <c r="T223" s="269" t="n">
        <v>43282</v>
      </c>
      <c r="U223" s="270" t="n">
        <f aca="false">'Company Gas Prices'!C242</f>
        <v>3.87395833</v>
      </c>
      <c r="V223" s="270" t="n">
        <f aca="false">(U223*'Revenues &amp; Expenses'!$S$2)/1000</f>
        <v>37.10864684307</v>
      </c>
      <c r="W223" s="270" t="n">
        <f aca="false">'Revenues &amp; Expenses'!O229*'Revenues &amp; Expenses'!$AM$5*1000</f>
        <v>3.28131108636329</v>
      </c>
      <c r="X223" s="263" t="n">
        <f aca="false">V223+W223</f>
        <v>40.3899579294333</v>
      </c>
    </row>
    <row r="224" customFormat="false" ht="12.75" hidden="false" customHeight="false" outlineLevel="0" collapsed="false">
      <c r="T224" s="269" t="n">
        <v>43313</v>
      </c>
      <c r="U224" s="270" t="n">
        <f aca="false">'Company Gas Prices'!C243</f>
        <v>3.87395833</v>
      </c>
      <c r="V224" s="270" t="n">
        <f aca="false">(U224*'Revenues &amp; Expenses'!$S$2)/1000</f>
        <v>37.10864684307</v>
      </c>
      <c r="W224" s="270" t="n">
        <f aca="false">'Revenues &amp; Expenses'!O230*'Revenues &amp; Expenses'!$AM$5*1000</f>
        <v>3.28860421794512</v>
      </c>
      <c r="X224" s="263" t="n">
        <f aca="false">V224+W224</f>
        <v>40.3972510610151</v>
      </c>
    </row>
    <row r="225" customFormat="false" ht="12.75" hidden="false" customHeight="false" outlineLevel="0" collapsed="false">
      <c r="T225" s="269" t="n">
        <v>43344</v>
      </c>
      <c r="U225" s="270" t="n">
        <f aca="false">'Company Gas Prices'!C244</f>
        <v>3.91979167</v>
      </c>
      <c r="V225" s="270" t="n">
        <f aca="false">(U225*'Revenues &amp; Expenses'!$S$2)/1000</f>
        <v>37.54768440693</v>
      </c>
      <c r="W225" s="270" t="n">
        <f aca="false">'Revenues &amp; Expenses'!O231*'Revenues &amp; Expenses'!$AM$5*1000</f>
        <v>3.29591355944026</v>
      </c>
      <c r="X225" s="263" t="n">
        <f aca="false">V225+W225</f>
        <v>40.8435979663703</v>
      </c>
    </row>
    <row r="226" customFormat="false" ht="12.75" hidden="false" customHeight="false" outlineLevel="0" collapsed="false">
      <c r="T226" s="269" t="n">
        <v>43374</v>
      </c>
      <c r="U226" s="270" t="n">
        <f aca="false">'Company Gas Prices'!C245</f>
        <v>3.88020833</v>
      </c>
      <c r="V226" s="270" t="n">
        <f aca="false">(U226*'Revenues &amp; Expenses'!$S$2)/1000</f>
        <v>37.16851559307</v>
      </c>
      <c r="W226" s="270" t="n">
        <f aca="false">'Revenues &amp; Expenses'!O232*'Revenues &amp; Expenses'!$AM$5*1000</f>
        <v>3.30323914687731</v>
      </c>
      <c r="X226" s="263" t="n">
        <f aca="false">V226+W226</f>
        <v>40.4717547399473</v>
      </c>
    </row>
    <row r="227" customFormat="false" ht="12.75" hidden="false" customHeight="false" outlineLevel="0" collapsed="false">
      <c r="T227" s="269" t="n">
        <v>43405</v>
      </c>
      <c r="U227" s="270" t="n">
        <f aca="false">'Company Gas Prices'!C246</f>
        <v>3.88020833</v>
      </c>
      <c r="V227" s="270" t="n">
        <f aca="false">(U227*'Revenues &amp; Expenses'!$S$2)/1000</f>
        <v>37.16851559307</v>
      </c>
      <c r="W227" s="270" t="n">
        <f aca="false">'Revenues &amp; Expenses'!O233*'Revenues &amp; Expenses'!$AM$5*1000</f>
        <v>3.31058101636495</v>
      </c>
      <c r="X227" s="263" t="n">
        <f aca="false">V227+W227</f>
        <v>40.479096609435</v>
      </c>
    </row>
    <row r="228" customFormat="false" ht="12.75" hidden="false" customHeight="false" outlineLevel="0" collapsed="false">
      <c r="T228" s="269" t="n">
        <v>43435</v>
      </c>
      <c r="U228" s="270" t="n">
        <f aca="false">'Company Gas Prices'!C247</f>
        <v>3.88020833</v>
      </c>
      <c r="V228" s="270" t="n">
        <f aca="false">(U228*'Revenues &amp; Expenses'!$S$2)/1000</f>
        <v>37.16851559307</v>
      </c>
      <c r="W228" s="270" t="n">
        <f aca="false">'Revenues &amp; Expenses'!O234*'Revenues &amp; Expenses'!$AM$5*1000</f>
        <v>3.31793920409211</v>
      </c>
      <c r="X228" s="263" t="n">
        <f aca="false">V228+W228</f>
        <v>40.4864547971621</v>
      </c>
    </row>
    <row r="229" customFormat="false" ht="12.75" hidden="false" customHeight="false" outlineLevel="0" collapsed="false">
      <c r="T229" s="269" t="n">
        <v>43466</v>
      </c>
      <c r="U229" s="270" t="n">
        <f aca="false">'Company Gas Prices'!C248</f>
        <v>3.9375</v>
      </c>
      <c r="V229" s="270" t="n">
        <f aca="false">(U229*'Revenues &amp; Expenses'!$S$2)/1000</f>
        <v>37.7173125</v>
      </c>
      <c r="W229" s="270" t="n">
        <f aca="false">'Revenues &amp; Expenses'!O235*'Revenues &amp; Expenses'!$AM$5*1000</f>
        <v>3.32531374632814</v>
      </c>
      <c r="X229" s="263" t="n">
        <f aca="false">V229+W229</f>
        <v>41.0426262463281</v>
      </c>
    </row>
    <row r="230" customFormat="false" ht="12.75" hidden="false" customHeight="false" outlineLevel="0" collapsed="false">
      <c r="T230" s="269" t="n">
        <v>43497</v>
      </c>
      <c r="U230" s="270" t="n">
        <f aca="false">'Company Gas Prices'!C249</f>
        <v>3.9375</v>
      </c>
      <c r="V230" s="270" t="n">
        <f aca="false">(U230*'Revenues &amp; Expenses'!$S$2)/1000</f>
        <v>37.7173125</v>
      </c>
      <c r="W230" s="270" t="n">
        <f aca="false">'Revenues &amp; Expenses'!O236*'Revenues &amp; Expenses'!$AM$5*1000</f>
        <v>3.33270467942303</v>
      </c>
      <c r="X230" s="263" t="n">
        <f aca="false">V230+W230</f>
        <v>41.050017179423</v>
      </c>
    </row>
    <row r="231" customFormat="false" ht="12.75" hidden="false" customHeight="false" outlineLevel="0" collapsed="false">
      <c r="T231" s="269" t="n">
        <v>43525</v>
      </c>
      <c r="U231" s="270" t="n">
        <f aca="false">'Company Gas Prices'!C250</f>
        <v>3.9375</v>
      </c>
      <c r="V231" s="270" t="n">
        <f aca="false">(U231*'Revenues &amp; Expenses'!$S$2)/1000</f>
        <v>37.7173125</v>
      </c>
      <c r="W231" s="270" t="n">
        <f aca="false">'Revenues &amp; Expenses'!O237*'Revenues &amp; Expenses'!$AM$5*1000</f>
        <v>3.34011203980755</v>
      </c>
      <c r="X231" s="263" t="n">
        <f aca="false">V231+W231</f>
        <v>41.0574245398075</v>
      </c>
    </row>
    <row r="232" customFormat="false" ht="12.75" hidden="false" customHeight="false" outlineLevel="0" collapsed="false">
      <c r="T232" s="269" t="n">
        <v>43556</v>
      </c>
      <c r="U232" s="270" t="n">
        <f aca="false">'Company Gas Prices'!C251</f>
        <v>4.08229167</v>
      </c>
      <c r="V232" s="270" t="n">
        <f aca="false">(U232*'Revenues &amp; Expenses'!$S$2)/1000</f>
        <v>39.10427190693</v>
      </c>
      <c r="W232" s="270" t="n">
        <f aca="false">'Revenues &amp; Expenses'!O238*'Revenues &amp; Expenses'!$AM$5*1000</f>
        <v>3.34753586399343</v>
      </c>
      <c r="X232" s="263" t="n">
        <f aca="false">V232+W232</f>
        <v>42.4518077709234</v>
      </c>
    </row>
    <row r="233" customFormat="false" ht="12.75" hidden="false" customHeight="false" outlineLevel="0" collapsed="false">
      <c r="T233" s="269" t="n">
        <v>43586</v>
      </c>
      <c r="U233" s="270" t="n">
        <f aca="false">'Company Gas Prices'!C252</f>
        <v>3.91979167</v>
      </c>
      <c r="V233" s="270" t="n">
        <f aca="false">(U233*'Revenues &amp; Expenses'!$S$2)/1000</f>
        <v>37.54768440693</v>
      </c>
      <c r="W233" s="270" t="n">
        <f aca="false">'Revenues &amp; Expenses'!O239*'Revenues &amp; Expenses'!$AM$5*1000</f>
        <v>3.35497618857358</v>
      </c>
      <c r="X233" s="263" t="n">
        <f aca="false">V233+W233</f>
        <v>40.9026605955036</v>
      </c>
    </row>
    <row r="234" customFormat="false" ht="12.75" hidden="false" customHeight="false" outlineLevel="0" collapsed="false">
      <c r="T234" s="269" t="n">
        <v>43617</v>
      </c>
      <c r="U234" s="270" t="n">
        <f aca="false">'Company Gas Prices'!C253</f>
        <v>3.9125</v>
      </c>
      <c r="V234" s="270" t="n">
        <f aca="false">(U234*'Revenues &amp; Expenses'!$S$2)/1000</f>
        <v>37.4778375</v>
      </c>
      <c r="W234" s="270" t="n">
        <f aca="false">'Revenues &amp; Expenses'!O240*'Revenues &amp; Expenses'!$AM$5*1000</f>
        <v>3.36243305022223</v>
      </c>
      <c r="X234" s="263" t="n">
        <f aca="false">V234+W234</f>
        <v>40.8402705502222</v>
      </c>
    </row>
    <row r="235" customFormat="false" ht="12.75" hidden="false" customHeight="false" outlineLevel="0" collapsed="false">
      <c r="T235" s="269" t="n">
        <v>43647</v>
      </c>
      <c r="U235" s="270" t="n">
        <f aca="false">'Company Gas Prices'!C254</f>
        <v>3.87395833</v>
      </c>
      <c r="V235" s="270" t="n">
        <f aca="false">(U235*'Revenues &amp; Expenses'!$S$2)/1000</f>
        <v>37.10864684307</v>
      </c>
      <c r="W235" s="270" t="n">
        <f aca="false">'Revenues &amp; Expenses'!O241*'Revenues &amp; Expenses'!$AM$5*1000</f>
        <v>3.3699064856951</v>
      </c>
      <c r="X235" s="263" t="n">
        <f aca="false">V235+W235</f>
        <v>40.4785533287651</v>
      </c>
    </row>
    <row r="236" customFormat="false" ht="12.75" hidden="false" customHeight="false" outlineLevel="0" collapsed="false">
      <c r="T236" s="269" t="n">
        <v>43678</v>
      </c>
      <c r="U236" s="270" t="n">
        <f aca="false">'Company Gas Prices'!C255</f>
        <v>3.87395833</v>
      </c>
      <c r="V236" s="270" t="n">
        <f aca="false">(U236*'Revenues &amp; Expenses'!$S$2)/1000</f>
        <v>37.10864684307</v>
      </c>
      <c r="W236" s="270" t="n">
        <f aca="false">'Revenues &amp; Expenses'!O242*'Revenues &amp; Expenses'!$AM$5*1000</f>
        <v>3.37739653182963</v>
      </c>
      <c r="X236" s="263" t="n">
        <f aca="false">V236+W236</f>
        <v>40.4860433748996</v>
      </c>
    </row>
    <row r="237" customFormat="false" ht="12.75" hidden="false" customHeight="false" outlineLevel="0" collapsed="false">
      <c r="T237" s="269" t="n">
        <v>43709</v>
      </c>
      <c r="U237" s="270" t="n">
        <f aca="false">'Company Gas Prices'!C256</f>
        <v>3.91979167</v>
      </c>
      <c r="V237" s="270" t="n">
        <f aca="false">(U237*'Revenues &amp; Expenses'!$S$2)/1000</f>
        <v>37.54768440693</v>
      </c>
      <c r="W237" s="270" t="n">
        <f aca="false">'Revenues &amp; Expenses'!O243*'Revenues &amp; Expenses'!$AM$5*1000</f>
        <v>3.38490322554515</v>
      </c>
      <c r="X237" s="263" t="n">
        <f aca="false">V237+W237</f>
        <v>40.9325876324751</v>
      </c>
    </row>
    <row r="238" customFormat="false" ht="12.75" hidden="false" customHeight="false" outlineLevel="0" collapsed="false">
      <c r="T238" s="269" t="n">
        <v>43739</v>
      </c>
      <c r="U238" s="270" t="n">
        <f aca="false">'Company Gas Prices'!C257</f>
        <v>3.88020833</v>
      </c>
      <c r="V238" s="270" t="n">
        <f aca="false">(U238*'Revenues &amp; Expenses'!$S$2)/1000</f>
        <v>37.16851559307</v>
      </c>
      <c r="W238" s="270" t="n">
        <f aca="false">'Revenues &amp; Expenses'!O244*'Revenues &amp; Expenses'!$AM$5*1000</f>
        <v>3.392426603843</v>
      </c>
      <c r="X238" s="263" t="n">
        <f aca="false">V238+W238</f>
        <v>40.560942196913</v>
      </c>
    </row>
    <row r="239" customFormat="false" ht="12.75" hidden="false" customHeight="false" outlineLevel="0" collapsed="false">
      <c r="T239" s="269" t="n">
        <v>43770</v>
      </c>
      <c r="U239" s="270" t="n">
        <f aca="false">'Company Gas Prices'!C258</f>
        <v>3.88020833</v>
      </c>
      <c r="V239" s="270" t="n">
        <f aca="false">(U239*'Revenues &amp; Expenses'!$S$2)/1000</f>
        <v>37.16851559307</v>
      </c>
      <c r="W239" s="270" t="n">
        <f aca="false">'Revenues &amp; Expenses'!O245*'Revenues &amp; Expenses'!$AM$5*1000</f>
        <v>3.39996670380681</v>
      </c>
      <c r="X239" s="263" t="n">
        <f aca="false">V239+W239</f>
        <v>40.5684822968768</v>
      </c>
    </row>
    <row r="240" customFormat="false" ht="12.75" hidden="false" customHeight="false" outlineLevel="0" collapsed="false">
      <c r="T240" s="269" t="n">
        <v>43800</v>
      </c>
      <c r="U240" s="270" t="n">
        <f aca="false">'Company Gas Prices'!C259</f>
        <v>3.88020833</v>
      </c>
      <c r="V240" s="270" t="n">
        <f aca="false">(U240*'Revenues &amp; Expenses'!$S$2)/1000</f>
        <v>37.16851559307</v>
      </c>
      <c r="W240" s="270" t="n">
        <f aca="false">'Revenues &amp; Expenses'!O246*'Revenues &amp; Expenses'!$AM$5*1000</f>
        <v>3.40752356260259</v>
      </c>
      <c r="X240" s="263" t="n">
        <f aca="false">V240+W240</f>
        <v>40.5760391556726</v>
      </c>
    </row>
    <row r="241" customFormat="false" ht="12.75" hidden="false" customHeight="false" outlineLevel="0" collapsed="false">
      <c r="U241" s="260"/>
      <c r="V241" s="260"/>
      <c r="W241" s="260"/>
      <c r="X241" s="260"/>
    </row>
    <row r="242" customFormat="false" ht="12.75" hidden="false" customHeight="false" outlineLevel="0" collapsed="false">
      <c r="U242" s="260"/>
      <c r="V242" s="260"/>
      <c r="W242" s="260"/>
      <c r="X242" s="260"/>
    </row>
    <row r="243" customFormat="false" ht="12.75" hidden="false" customHeight="false" outlineLevel="0" collapsed="false">
      <c r="U243" s="260"/>
      <c r="V243" s="260"/>
      <c r="W243" s="260"/>
      <c r="X243" s="260"/>
    </row>
    <row r="244" customFormat="false" ht="12.75" hidden="false" customHeight="false" outlineLevel="0" collapsed="false">
      <c r="U244" s="260"/>
      <c r="V244" s="260"/>
      <c r="W244" s="260"/>
      <c r="X244" s="260"/>
    </row>
    <row r="245" customFormat="false" ht="12.75" hidden="false" customHeight="false" outlineLevel="0" collapsed="false">
      <c r="U245" s="260"/>
      <c r="V245" s="260"/>
      <c r="W245" s="260"/>
      <c r="X245" s="260"/>
    </row>
    <row r="246" customFormat="false" ht="12.75" hidden="false" customHeight="false" outlineLevel="0" collapsed="false">
      <c r="U246" s="260"/>
      <c r="V246" s="260"/>
      <c r="W246" s="260"/>
      <c r="X246" s="260"/>
    </row>
  </sheetData>
  <mergeCells count="2">
    <mergeCell ref="B2:R2"/>
    <mergeCell ref="H31:L31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369"/>
  <sheetViews>
    <sheetView showFormulas="false" showGridLines="true" showRowColHeaders="true" showZeros="true" rightToLeft="false" tabSelected="false" showOutlineSymbols="true" defaultGridColor="true" view="normal" topLeftCell="E1" colorId="64" zoomScale="100" zoomScaleNormal="100" zoomScalePageLayoutView="100" workbookViewId="0">
      <selection pane="topLeft" activeCell="E8" activeCellId="0" sqref="E8"/>
    </sheetView>
  </sheetViews>
  <sheetFormatPr defaultColWidth="11.84765625" defaultRowHeight="16.5" customHeight="true" zeroHeight="false" outlineLevelRow="0" outlineLevelCol="0"/>
  <cols>
    <col collapsed="false" customWidth="false" hidden="false" outlineLevel="0" max="3" min="1" style="296" width="11.85"/>
    <col collapsed="false" customWidth="true" hidden="false" outlineLevel="0" max="4" min="4" style="297" width="16.84"/>
    <col collapsed="false" customWidth="true" hidden="false" outlineLevel="0" max="5" min="5" style="298" width="18.14"/>
    <col collapsed="false" customWidth="true" hidden="false" outlineLevel="0" max="6" min="6" style="299" width="13.7"/>
    <col collapsed="false" customWidth="true" hidden="false" outlineLevel="0" max="8" min="7" style="298" width="14.7"/>
    <col collapsed="false" customWidth="true" hidden="false" outlineLevel="0" max="9" min="9" style="298" width="1.7"/>
    <col collapsed="false" customWidth="true" hidden="false" outlineLevel="0" max="10" min="10" style="300" width="1.7"/>
    <col collapsed="false" customWidth="true" hidden="false" outlineLevel="0" max="11" min="11" style="10" width="15.99"/>
    <col collapsed="false" customWidth="true" hidden="false" outlineLevel="0" max="12" min="12" style="10" width="12.28"/>
    <col collapsed="false" customWidth="true" hidden="false" outlineLevel="0" max="13" min="13" style="299" width="12.28"/>
    <col collapsed="false" customWidth="false" hidden="false" outlineLevel="0" max="14" min="14" style="299" width="11.85"/>
    <col collapsed="false" customWidth="false" hidden="false" outlineLevel="0" max="15" min="15" style="298" width="11.85"/>
    <col collapsed="false" customWidth="false" hidden="false" outlineLevel="0" max="257" min="16" style="299" width="11.85"/>
  </cols>
  <sheetData>
    <row r="1" customFormat="false" ht="16.5" hidden="false" customHeight="false" outlineLevel="0" collapsed="false">
      <c r="B1" s="296" t="s">
        <v>141</v>
      </c>
      <c r="C1" s="301" t="n">
        <v>36578</v>
      </c>
      <c r="D1" s="302" t="s">
        <v>142</v>
      </c>
      <c r="E1" s="302" t="s">
        <v>143</v>
      </c>
    </row>
    <row r="2" customFormat="false" ht="17.25" hidden="false" customHeight="false" outlineLevel="0" collapsed="false">
      <c r="B2" s="296" t="s">
        <v>144</v>
      </c>
      <c r="C2" s="303" t="n">
        <v>0</v>
      </c>
      <c r="D2" s="304" t="e">
        <f aca="false">MAX(G11:G257)</f>
        <v>#NAME?</v>
      </c>
      <c r="E2" s="304" t="e">
        <f aca="false">MAX(H11:H257)</f>
        <v>#NAME?</v>
      </c>
      <c r="G2" s="305"/>
      <c r="H2" s="305"/>
      <c r="K2" s="306" t="n">
        <f aca="false">'Debt Amortization'!AS21</f>
        <v>40.3481882013881</v>
      </c>
    </row>
    <row r="3" customFormat="false" ht="16.5" hidden="false" customHeight="false" outlineLevel="0" collapsed="false">
      <c r="G3" s="307"/>
      <c r="H3" s="307"/>
    </row>
    <row r="4" customFormat="false" ht="16.5" hidden="false" customHeight="false" outlineLevel="0" collapsed="false">
      <c r="D4" s="308"/>
      <c r="G4" s="309"/>
      <c r="H4" s="309"/>
    </row>
    <row r="5" customFormat="false" ht="16.5" hidden="true" customHeight="false" outlineLevel="0" collapsed="false">
      <c r="C5" s="296" t="s">
        <v>145</v>
      </c>
      <c r="E5" s="310"/>
      <c r="G5" s="305"/>
      <c r="H5" s="305"/>
      <c r="I5" s="310"/>
      <c r="J5" s="311"/>
      <c r="O5" s="310"/>
    </row>
    <row r="6" customFormat="false" ht="24" hidden="true" customHeight="true" outlineLevel="0" collapsed="false">
      <c r="C6" s="296" t="s">
        <v>146</v>
      </c>
      <c r="G6" s="305"/>
      <c r="H6" s="305"/>
    </row>
    <row r="7" customFormat="false" ht="16.5" hidden="false" customHeight="false" outlineLevel="0" collapsed="false">
      <c r="D7" s="312"/>
      <c r="G7" s="313"/>
      <c r="H7" s="313"/>
    </row>
    <row r="8" customFormat="false" ht="16.5" hidden="false" customHeight="false" outlineLevel="0" collapsed="false">
      <c r="D8" s="314"/>
      <c r="E8" s="314"/>
      <c r="G8" s="315"/>
      <c r="H8" s="308"/>
      <c r="O8" s="314"/>
    </row>
    <row r="9" customFormat="false" ht="33.75" hidden="false" customHeight="false" outlineLevel="0" collapsed="false">
      <c r="A9" s="316"/>
      <c r="B9" s="317" t="s">
        <v>147</v>
      </c>
      <c r="C9" s="317" t="s">
        <v>62</v>
      </c>
      <c r="D9" s="318" t="s">
        <v>148</v>
      </c>
      <c r="E9" s="318" t="s">
        <v>149</v>
      </c>
      <c r="F9" s="318" t="s">
        <v>150</v>
      </c>
      <c r="G9" s="318" t="s">
        <v>151</v>
      </c>
      <c r="H9" s="318" t="s">
        <v>152</v>
      </c>
      <c r="I9" s="319"/>
      <c r="J9" s="320"/>
      <c r="K9" s="321" t="s">
        <v>153</v>
      </c>
      <c r="L9" s="239" t="s">
        <v>154</v>
      </c>
      <c r="M9" s="322" t="s">
        <v>155</v>
      </c>
      <c r="O9" s="318" t="s">
        <v>156</v>
      </c>
    </row>
    <row r="10" customFormat="false" ht="16.5" hidden="false" customHeight="false" outlineLevel="0" collapsed="false">
      <c r="C10" s="316"/>
      <c r="D10" s="316" t="n">
        <v>1</v>
      </c>
      <c r="E10" s="296"/>
      <c r="G10" s="296"/>
      <c r="H10" s="296"/>
      <c r="I10" s="296"/>
      <c r="J10" s="323"/>
      <c r="O10" s="296"/>
    </row>
    <row r="11" customFormat="false" ht="16.5" hidden="false" customHeight="false" outlineLevel="0" collapsed="false">
      <c r="A11" s="308" t="n">
        <v>1</v>
      </c>
      <c r="B11" s="308" t="n">
        <v>30</v>
      </c>
      <c r="C11" s="324" t="n">
        <v>36707</v>
      </c>
      <c r="D11" s="315" t="n">
        <f aca="false">$D$17</f>
        <v>0</v>
      </c>
      <c r="E11" s="308" t="e">
        <f aca="false">SUM('Revenues &amp; Expenses'!BJ12:$BJ$258)</f>
        <v>#NAME?</v>
      </c>
      <c r="F11" s="10" t="n">
        <f aca="false">$M$18</f>
        <v>125699173.570108</v>
      </c>
      <c r="G11" s="308" t="e">
        <f aca="false">IF(AND(D11=1,E11-F11&gt;0),E11-F11,0)</f>
        <v>#NAME?</v>
      </c>
      <c r="H11" s="308" t="e">
        <f aca="false">IF(AND(D11=1,F11-E11&gt;0),F11-E11,0)</f>
        <v>#NAME?</v>
      </c>
      <c r="I11" s="308"/>
      <c r="J11" s="325"/>
      <c r="O11" s="308" t="n">
        <f aca="false">$O$17</f>
        <v>118125000</v>
      </c>
    </row>
    <row r="12" customFormat="false" ht="16.5" hidden="false" customHeight="false" outlineLevel="0" collapsed="false">
      <c r="A12" s="308" t="n">
        <f aca="false">A11+1</f>
        <v>2</v>
      </c>
      <c r="B12" s="308" t="n">
        <v>31</v>
      </c>
      <c r="C12" s="324" t="n">
        <v>36738</v>
      </c>
      <c r="D12" s="315" t="n">
        <f aca="false">$D$17</f>
        <v>0</v>
      </c>
      <c r="E12" s="308" t="e">
        <f aca="false">SUM('Revenues &amp; Expenses'!BJ13:$BJ$258)</f>
        <v>#NAME?</v>
      </c>
      <c r="F12" s="10" t="n">
        <f aca="false">$M$18</f>
        <v>125699173.570108</v>
      </c>
      <c r="G12" s="308" t="e">
        <f aca="false">IF(AND(D12=1,E12-F12&gt;0),E12-F12,0)</f>
        <v>#NAME?</v>
      </c>
      <c r="H12" s="308" t="e">
        <f aca="false">IF(AND(D12=1,F12-E12&gt;0),F12-E12,0)</f>
        <v>#NAME?</v>
      </c>
      <c r="I12" s="308"/>
      <c r="J12" s="325"/>
      <c r="O12" s="308" t="n">
        <f aca="false">$O$17</f>
        <v>118125000</v>
      </c>
    </row>
    <row r="13" customFormat="false" ht="16.5" hidden="false" customHeight="false" outlineLevel="0" collapsed="false">
      <c r="A13" s="308" t="n">
        <f aca="false">A12+1</f>
        <v>3</v>
      </c>
      <c r="B13" s="308" t="n">
        <v>31</v>
      </c>
      <c r="C13" s="324" t="n">
        <v>36769</v>
      </c>
      <c r="D13" s="315" t="n">
        <f aca="false">$D$17</f>
        <v>0</v>
      </c>
      <c r="E13" s="308" t="e">
        <f aca="false">SUM('Revenues &amp; Expenses'!BJ14:$BJ$258)</f>
        <v>#NAME?</v>
      </c>
      <c r="F13" s="10" t="n">
        <f aca="false">$M$18</f>
        <v>125699173.570108</v>
      </c>
      <c r="G13" s="308" t="e">
        <f aca="false">IF(AND(D13=1,E13-F13&gt;0),E13-F13,0)</f>
        <v>#NAME?</v>
      </c>
      <c r="H13" s="308" t="e">
        <f aca="false">IF(AND(D13=1,F13-E13&gt;0),F13-E13,0)</f>
        <v>#NAME?</v>
      </c>
      <c r="I13" s="308"/>
      <c r="J13" s="325"/>
      <c r="O13" s="308" t="n">
        <f aca="false">$O$17</f>
        <v>118125000</v>
      </c>
    </row>
    <row r="14" customFormat="false" ht="16.5" hidden="false" customHeight="false" outlineLevel="0" collapsed="false">
      <c r="A14" s="308" t="n">
        <f aca="false">A13+1</f>
        <v>4</v>
      </c>
      <c r="B14" s="308" t="n">
        <v>30</v>
      </c>
      <c r="C14" s="324" t="n">
        <v>36799</v>
      </c>
      <c r="D14" s="315" t="n">
        <f aca="false">$D$17</f>
        <v>0</v>
      </c>
      <c r="E14" s="308" t="e">
        <f aca="false">SUM('Revenues &amp; Expenses'!BJ15:$BJ$258)</f>
        <v>#NAME?</v>
      </c>
      <c r="F14" s="10" t="n">
        <f aca="false">$M$18</f>
        <v>125699173.570108</v>
      </c>
      <c r="G14" s="308" t="e">
        <f aca="false">IF(AND(D14=1,E14-F14&gt;0),E14-F14,0)</f>
        <v>#NAME?</v>
      </c>
      <c r="H14" s="308" t="e">
        <f aca="false">IF(AND(D14=1,F14-E14&gt;0),F14-E14,0)</f>
        <v>#NAME?</v>
      </c>
      <c r="I14" s="308"/>
      <c r="J14" s="325"/>
      <c r="O14" s="308" t="n">
        <f aca="false">$O$17</f>
        <v>118125000</v>
      </c>
    </row>
    <row r="15" customFormat="false" ht="16.5" hidden="false" customHeight="false" outlineLevel="0" collapsed="false">
      <c r="A15" s="308" t="n">
        <f aca="false">A14+1</f>
        <v>5</v>
      </c>
      <c r="B15" s="308" t="n">
        <v>31</v>
      </c>
      <c r="C15" s="324" t="n">
        <v>36830</v>
      </c>
      <c r="D15" s="315" t="n">
        <f aca="false">$D$17</f>
        <v>0</v>
      </c>
      <c r="E15" s="308" t="e">
        <f aca="false">SUM('Revenues &amp; Expenses'!BJ16:$BJ$258)</f>
        <v>#NAME?</v>
      </c>
      <c r="F15" s="10" t="n">
        <f aca="false">$M$18</f>
        <v>125699173.570108</v>
      </c>
      <c r="G15" s="308" t="e">
        <f aca="false">IF(AND(D15=1,E15-F15&gt;0),E15-F15,0)</f>
        <v>#NAME?</v>
      </c>
      <c r="H15" s="308" t="e">
        <f aca="false">IF(AND(D15=1,F15-E15&gt;0),F15-E15,0)</f>
        <v>#NAME?</v>
      </c>
      <c r="I15" s="308"/>
      <c r="J15" s="325"/>
      <c r="O15" s="308" t="n">
        <f aca="false">$O$17</f>
        <v>118125000</v>
      </c>
    </row>
    <row r="16" customFormat="false" ht="16.5" hidden="false" customHeight="false" outlineLevel="0" collapsed="false">
      <c r="A16" s="308" t="n">
        <f aca="false">A15+1</f>
        <v>6</v>
      </c>
      <c r="B16" s="308" t="n">
        <v>30</v>
      </c>
      <c r="C16" s="324" t="n">
        <v>36860</v>
      </c>
      <c r="D16" s="315" t="n">
        <f aca="false">$D$17</f>
        <v>0</v>
      </c>
      <c r="E16" s="308" t="e">
        <f aca="false">SUM('Revenues &amp; Expenses'!BJ17:$BJ$258)</f>
        <v>#NAME?</v>
      </c>
      <c r="F16" s="10" t="n">
        <f aca="false">$M$18</f>
        <v>125699173.570108</v>
      </c>
      <c r="G16" s="308" t="e">
        <f aca="false">IF(AND(D16=1,E16-F16&gt;0),E16-F16,0)</f>
        <v>#NAME?</v>
      </c>
      <c r="H16" s="308" t="e">
        <f aca="false">IF(AND(D16=1,F16-E16&gt;0),F16-E16,0)</f>
        <v>#NAME?</v>
      </c>
      <c r="I16" s="308"/>
      <c r="J16" s="325"/>
      <c r="O16" s="308" t="n">
        <f aca="false">$O$17</f>
        <v>118125000</v>
      </c>
    </row>
    <row r="17" customFormat="false" ht="16.5" hidden="false" customHeight="false" outlineLevel="0" collapsed="false">
      <c r="A17" s="308" t="n">
        <f aca="false">A16+1</f>
        <v>7</v>
      </c>
      <c r="B17" s="308" t="n">
        <v>31</v>
      </c>
      <c r="C17" s="324" t="n">
        <v>36891</v>
      </c>
      <c r="D17" s="315" t="n">
        <f aca="false">'Deal Depiction'!J8</f>
        <v>0</v>
      </c>
      <c r="E17" s="308" t="e">
        <f aca="false">SUM('Revenues &amp; Expenses'!BJ18:$BJ$258)</f>
        <v>#NAME?</v>
      </c>
      <c r="F17" s="10" t="n">
        <f aca="false">$M$18</f>
        <v>125699173.570108</v>
      </c>
      <c r="G17" s="308" t="e">
        <f aca="false">IF(AND(D17=1,E17-F17&gt;0),E17-F17,0)</f>
        <v>#NAME?</v>
      </c>
      <c r="H17" s="308" t="e">
        <f aca="false">IF(AND(D17=1,F17-E17&gt;0),F17-E17,0)</f>
        <v>#NAME?</v>
      </c>
      <c r="I17" s="308"/>
      <c r="J17" s="325"/>
      <c r="O17" s="308" t="n">
        <f aca="false">HLOOKUP(C17,'Debt Amortization'!$H$5:$AB$9,5)</f>
        <v>118125000</v>
      </c>
    </row>
    <row r="18" customFormat="false" ht="16.5" hidden="false" customHeight="false" outlineLevel="0" collapsed="false">
      <c r="A18" s="308" t="n">
        <f aca="false">A17+1</f>
        <v>8</v>
      </c>
      <c r="B18" s="308" t="n">
        <v>31</v>
      </c>
      <c r="C18" s="324" t="n">
        <v>36922</v>
      </c>
      <c r="D18" s="315" t="n">
        <f aca="false">D29</f>
        <v>1</v>
      </c>
      <c r="E18" s="308" t="e">
        <f aca="false">SUM('Revenues &amp; Expenses'!BJ19:$BJ$258)</f>
        <v>#NAME?</v>
      </c>
      <c r="F18" s="10" t="n">
        <f aca="false">M18</f>
        <v>125699173.570108</v>
      </c>
      <c r="G18" s="308" t="e">
        <f aca="false">IF(AND(D18=1,E18-F18&gt;0),E18-F18,0)</f>
        <v>#NAME?</v>
      </c>
      <c r="H18" s="308" t="e">
        <f aca="false">IF(AND(D18=1,F18-E18&gt;0),F18-E18,0)</f>
        <v>#NAME?</v>
      </c>
      <c r="I18" s="308"/>
      <c r="J18" s="325"/>
      <c r="K18" s="10" t="n">
        <f aca="false">($K$2*315000)/12</f>
        <v>1059139.94028644</v>
      </c>
      <c r="L18" s="10" t="n">
        <f aca="false">K18*'Revenues &amp; Expenses'!N19</f>
        <v>995276.551039159</v>
      </c>
      <c r="M18" s="10" t="n">
        <f aca="false">SUM(L18:$L$257)</f>
        <v>125699173.570108</v>
      </c>
      <c r="O18" s="308" t="n">
        <f aca="false">HLOOKUP(C18,'Debt Amortization'!$H$5:$AB$9,5)</f>
        <v>118125000</v>
      </c>
    </row>
    <row r="19" customFormat="false" ht="16.5" hidden="false" customHeight="false" outlineLevel="0" collapsed="false">
      <c r="A19" s="308" t="n">
        <f aca="false">A18+1</f>
        <v>9</v>
      </c>
      <c r="B19" s="308" t="n">
        <v>28</v>
      </c>
      <c r="C19" s="324" t="n">
        <v>36950</v>
      </c>
      <c r="D19" s="315" t="n">
        <f aca="false">D29</f>
        <v>1</v>
      </c>
      <c r="E19" s="308" t="e">
        <f aca="false">SUM('Revenues &amp; Expenses'!BJ20:$BJ$258)</f>
        <v>#NAME?</v>
      </c>
      <c r="F19" s="10" t="n">
        <f aca="false">M19</f>
        <v>124703897.019068</v>
      </c>
      <c r="G19" s="308" t="e">
        <f aca="false">IF(AND(D19=1,E19-F19&gt;0),E19-F19,0)</f>
        <v>#NAME?</v>
      </c>
      <c r="H19" s="308" t="e">
        <f aca="false">IF(AND(D19=1,F19-E19&gt;0),F19-E19,0)</f>
        <v>#NAME?</v>
      </c>
      <c r="I19" s="308"/>
      <c r="J19" s="325"/>
      <c r="K19" s="10" t="n">
        <f aca="false">($K$2*315000)/12</f>
        <v>1059139.94028644</v>
      </c>
      <c r="L19" s="10" t="n">
        <f aca="false">K19*'Revenues &amp; Expenses'!N20</f>
        <v>989304.000805699</v>
      </c>
      <c r="M19" s="10" t="n">
        <f aca="false">SUM(L19:$L$257)</f>
        <v>124703897.019068</v>
      </c>
      <c r="O19" s="308" t="n">
        <f aca="false">HLOOKUP(C19,'Debt Amortization'!$H$5:$AB$9,5)</f>
        <v>118125000</v>
      </c>
    </row>
    <row r="20" customFormat="false" ht="16.5" hidden="false" customHeight="false" outlineLevel="0" collapsed="false">
      <c r="A20" s="308" t="n">
        <f aca="false">A19+1</f>
        <v>10</v>
      </c>
      <c r="B20" s="308" t="n">
        <v>31</v>
      </c>
      <c r="C20" s="324" t="n">
        <v>36981</v>
      </c>
      <c r="D20" s="315" t="n">
        <f aca="false">D29</f>
        <v>1</v>
      </c>
      <c r="E20" s="308" t="e">
        <f aca="false">SUM('Revenues &amp; Expenses'!BJ21:$BJ$258)</f>
        <v>#NAME?</v>
      </c>
      <c r="F20" s="10" t="n">
        <f aca="false">M20</f>
        <v>123714593.018263</v>
      </c>
      <c r="G20" s="308" t="e">
        <f aca="false">IF(AND(D20=1,E20-F20&gt;0),E20-F20,0)</f>
        <v>#NAME?</v>
      </c>
      <c r="H20" s="308" t="e">
        <f aca="false">IF(AND(D20=1,F20-E20&gt;0),F20-E20,0)</f>
        <v>#NAME?</v>
      </c>
      <c r="I20" s="308"/>
      <c r="J20" s="325"/>
      <c r="K20" s="10" t="n">
        <f aca="false">($K$2*315000)/12</f>
        <v>1059139.94028644</v>
      </c>
      <c r="L20" s="10" t="n">
        <f aca="false">K20*'Revenues &amp; Expenses'!N21</f>
        <v>983876.131606232</v>
      </c>
      <c r="M20" s="10" t="n">
        <f aca="false">SUM(L20:$L$257)</f>
        <v>123714593.018263</v>
      </c>
      <c r="O20" s="308" t="n">
        <f aca="false">HLOOKUP(C20,'Debt Amortization'!$H$5:$AB$9,5)</f>
        <v>118125000</v>
      </c>
    </row>
    <row r="21" customFormat="false" ht="16.5" hidden="false" customHeight="false" outlineLevel="0" collapsed="false">
      <c r="A21" s="308" t="n">
        <f aca="false">A20+1</f>
        <v>11</v>
      </c>
      <c r="B21" s="308" t="n">
        <v>30</v>
      </c>
      <c r="C21" s="324" t="n">
        <v>37011</v>
      </c>
      <c r="D21" s="315" t="n">
        <f aca="false">D29</f>
        <v>1</v>
      </c>
      <c r="E21" s="308" t="e">
        <f aca="false">SUM('Revenues &amp; Expenses'!BJ22:$BJ$258)</f>
        <v>#NAME?</v>
      </c>
      <c r="F21" s="10" t="n">
        <f aca="false">M21</f>
        <v>122730716.886656</v>
      </c>
      <c r="G21" s="308" t="e">
        <f aca="false">IF(AND(D21=1,E21-F21&gt;0),E21-F21,0)</f>
        <v>#NAME?</v>
      </c>
      <c r="H21" s="308" t="e">
        <f aca="false">IF(AND(D21=1,F21-E21&gt;0),F21-E21,0)</f>
        <v>#NAME?</v>
      </c>
      <c r="I21" s="308"/>
      <c r="J21" s="325"/>
      <c r="K21" s="10" t="n">
        <f aca="false">($K$2*315000)/12</f>
        <v>1059139.94028644</v>
      </c>
      <c r="L21" s="10" t="n">
        <f aca="false">K21*'Revenues &amp; Expenses'!N22</f>
        <v>977880.945529446</v>
      </c>
      <c r="M21" s="10" t="n">
        <f aca="false">SUM(L21:$L$257)</f>
        <v>122730716.886656</v>
      </c>
      <c r="O21" s="308" t="n">
        <f aca="false">HLOOKUP(C21,'Debt Amortization'!$H$5:$AB$9,5)</f>
        <v>118125000</v>
      </c>
    </row>
    <row r="22" customFormat="false" ht="16.5" hidden="false" customHeight="false" outlineLevel="0" collapsed="false">
      <c r="A22" s="308" t="n">
        <f aca="false">A21+1</f>
        <v>12</v>
      </c>
      <c r="B22" s="308" t="n">
        <v>31</v>
      </c>
      <c r="C22" s="324" t="n">
        <v>37042</v>
      </c>
      <c r="D22" s="315" t="n">
        <f aca="false">D29</f>
        <v>1</v>
      </c>
      <c r="E22" s="308" t="e">
        <f aca="false">SUM('Revenues &amp; Expenses'!BJ23:$BJ$258)</f>
        <v>#NAME?</v>
      </c>
      <c r="F22" s="10" t="n">
        <f aca="false">M22</f>
        <v>121752835.941127</v>
      </c>
      <c r="G22" s="308" t="e">
        <f aca="false">IF(AND(D22=1,E22-F22&gt;0),E22-F22,0)</f>
        <v>#NAME?</v>
      </c>
      <c r="H22" s="308" t="e">
        <f aca="false">IF(AND(D22=1,F22-E22&gt;0),F22-E22,0)</f>
        <v>#NAME?</v>
      </c>
      <c r="I22" s="308"/>
      <c r="J22" s="325"/>
      <c r="K22" s="10" t="n">
        <f aca="false">($K$2*315000)/12</f>
        <v>1059139.94028644</v>
      </c>
      <c r="L22" s="10" t="n">
        <f aca="false">K22*'Revenues &amp; Expenses'!N23</f>
        <v>972144.934299432</v>
      </c>
      <c r="M22" s="10" t="n">
        <f aca="false">SUM(L22:$L$257)</f>
        <v>121752835.941127</v>
      </c>
      <c r="O22" s="308" t="n">
        <f aca="false">HLOOKUP(C22,'Debt Amortization'!$H$5:$AB$9,5)</f>
        <v>118125000</v>
      </c>
    </row>
    <row r="23" customFormat="false" ht="16.5" hidden="false" customHeight="false" outlineLevel="0" collapsed="false">
      <c r="A23" s="308" t="n">
        <f aca="false">A22+1</f>
        <v>13</v>
      </c>
      <c r="B23" s="308" t="n">
        <v>30</v>
      </c>
      <c r="C23" s="324" t="n">
        <v>37072</v>
      </c>
      <c r="D23" s="315" t="n">
        <f aca="false">D29</f>
        <v>1</v>
      </c>
      <c r="E23" s="308" t="e">
        <f aca="false">SUM('Revenues &amp; Expenses'!BJ24:$BJ$258)</f>
        <v>#NAME?</v>
      </c>
      <c r="F23" s="10" t="n">
        <f aca="false">M23</f>
        <v>120780691.006828</v>
      </c>
      <c r="G23" s="308" t="e">
        <f aca="false">IF(AND(D23=1,E23-F23&gt;0),E23-F23,0)</f>
        <v>#NAME?</v>
      </c>
      <c r="H23" s="308" t="e">
        <f aca="false">IF(AND(D23=1,F23-E23&gt;0),F23-E23,0)</f>
        <v>#NAME?</v>
      </c>
      <c r="I23" s="308"/>
      <c r="J23" s="325"/>
      <c r="K23" s="10" t="n">
        <f aca="false">($K$2*315000)/12</f>
        <v>1059139.94028644</v>
      </c>
      <c r="L23" s="10" t="n">
        <f aca="false">K23*'Revenues &amp; Expenses'!N24</f>
        <v>966200.567729955</v>
      </c>
      <c r="M23" s="10" t="n">
        <f aca="false">SUM(L23:$L$257)</f>
        <v>120780691.006828</v>
      </c>
      <c r="O23" s="308" t="n">
        <f aca="false">HLOOKUP(C23,'Debt Amortization'!$H$5:$AB$9,5)</f>
        <v>118125000</v>
      </c>
    </row>
    <row r="24" customFormat="false" ht="16.5" hidden="false" customHeight="false" outlineLevel="0" collapsed="false">
      <c r="A24" s="308" t="n">
        <f aca="false">A23+1</f>
        <v>14</v>
      </c>
      <c r="B24" s="308" t="n">
        <v>31</v>
      </c>
      <c r="C24" s="324" t="n">
        <v>37103</v>
      </c>
      <c r="D24" s="315" t="n">
        <f aca="false">D29</f>
        <v>1</v>
      </c>
      <c r="E24" s="308" t="e">
        <f aca="false">SUM('Revenues &amp; Expenses'!BJ25:$BJ$258)</f>
        <v>#NAME?</v>
      </c>
      <c r="F24" s="10" t="n">
        <f aca="false">M24</f>
        <v>119814490.439098</v>
      </c>
      <c r="G24" s="308" t="e">
        <f aca="false">IF(AND(D24=1,E24-F24&gt;0),E24-F24,0)</f>
        <v>#NAME?</v>
      </c>
      <c r="H24" s="308" t="e">
        <f aca="false">IF(AND(D24=1,F24-E24&gt;0),F24-E24,0)</f>
        <v>#NAME?</v>
      </c>
      <c r="I24" s="308"/>
      <c r="J24" s="325"/>
      <c r="K24" s="10" t="n">
        <f aca="false">($K$2*315000)/12</f>
        <v>1059139.94028644</v>
      </c>
      <c r="L24" s="10" t="n">
        <f aca="false">K24*'Revenues &amp; Expenses'!N25</f>
        <v>960457.417607464</v>
      </c>
      <c r="M24" s="10" t="n">
        <f aca="false">SUM(L24:$L$257)</f>
        <v>119814490.439098</v>
      </c>
      <c r="O24" s="308" t="n">
        <f aca="false">HLOOKUP(C24,'Debt Amortization'!$H$5:$AB$9,5)</f>
        <v>118125000</v>
      </c>
    </row>
    <row r="25" customFormat="false" ht="16.5" hidden="false" customHeight="false" outlineLevel="0" collapsed="false">
      <c r="A25" s="308" t="n">
        <f aca="false">A24+1</f>
        <v>15</v>
      </c>
      <c r="B25" s="308" t="n">
        <v>31</v>
      </c>
      <c r="C25" s="324" t="n">
        <v>37134</v>
      </c>
      <c r="D25" s="315" t="n">
        <f aca="false">D29</f>
        <v>1</v>
      </c>
      <c r="E25" s="308" t="e">
        <f aca="false">SUM('Revenues &amp; Expenses'!BJ26:$BJ$258)</f>
        <v>#NAME?</v>
      </c>
      <c r="F25" s="10" t="n">
        <f aca="false">M25</f>
        <v>118854033.02149</v>
      </c>
      <c r="G25" s="308" t="e">
        <f aca="false">IF(AND(D25=1,E25-F25&gt;0),E25-F25,0)</f>
        <v>#NAME?</v>
      </c>
      <c r="H25" s="308" t="e">
        <f aca="false">IF(AND(D25=1,F25-E25&gt;0),F25-E25,0)</f>
        <v>#NAME?</v>
      </c>
      <c r="I25" s="308"/>
      <c r="J25" s="325"/>
      <c r="K25" s="10" t="n">
        <f aca="false">($K$2*315000)/12</f>
        <v>1059139.94028644</v>
      </c>
      <c r="L25" s="10" t="n">
        <f aca="false">K25*'Revenues &amp; Expenses'!N26</f>
        <v>954560.270152003</v>
      </c>
      <c r="M25" s="10" t="n">
        <f aca="false">SUM(L25:$L$257)</f>
        <v>118854033.02149</v>
      </c>
      <c r="O25" s="308" t="n">
        <f aca="false">HLOOKUP(C25,'Debt Amortization'!$H$5:$AB$9,5)</f>
        <v>118125000</v>
      </c>
    </row>
    <row r="26" customFormat="false" ht="16.5" hidden="false" customHeight="false" outlineLevel="0" collapsed="false">
      <c r="A26" s="308" t="n">
        <f aca="false">A25+1</f>
        <v>16</v>
      </c>
      <c r="B26" s="308" t="n">
        <v>30</v>
      </c>
      <c r="C26" s="324" t="n">
        <v>37164</v>
      </c>
      <c r="D26" s="315" t="n">
        <f aca="false">D29</f>
        <v>1</v>
      </c>
      <c r="E26" s="308" t="e">
        <f aca="false">SUM('Revenues &amp; Expenses'!BJ27:$BJ$258)</f>
        <v>#NAME?</v>
      </c>
      <c r="F26" s="10" t="n">
        <f aca="false">M26</f>
        <v>117899472.751338</v>
      </c>
      <c r="G26" s="308" t="e">
        <f aca="false">IF(AND(D26=1,E26-F26&gt;0),E26-F26,0)</f>
        <v>#NAME?</v>
      </c>
      <c r="H26" s="308" t="e">
        <f aca="false">IF(AND(D26=1,F26-E26&gt;0),F26-E26,0)</f>
        <v>#NAME?</v>
      </c>
      <c r="I26" s="308"/>
      <c r="J26" s="325"/>
      <c r="K26" s="10" t="n">
        <f aca="false">($K$2*315000)/12</f>
        <v>1059139.94028644</v>
      </c>
      <c r="L26" s="10" t="n">
        <f aca="false">K26*'Revenues &amp; Expenses'!N27</f>
        <v>948655.547457789</v>
      </c>
      <c r="M26" s="10" t="n">
        <f aca="false">SUM(L26:$L$257)</f>
        <v>117899472.751338</v>
      </c>
      <c r="O26" s="308" t="n">
        <f aca="false">HLOOKUP(C26,'Debt Amortization'!$H$5:$AB$9,5)</f>
        <v>118125000</v>
      </c>
    </row>
    <row r="27" customFormat="false" ht="16.5" hidden="false" customHeight="false" outlineLevel="0" collapsed="false">
      <c r="A27" s="308" t="n">
        <f aca="false">A26+1</f>
        <v>17</v>
      </c>
      <c r="B27" s="308" t="n">
        <v>31</v>
      </c>
      <c r="C27" s="324" t="n">
        <v>37195</v>
      </c>
      <c r="D27" s="315" t="n">
        <f aca="false">D29</f>
        <v>1</v>
      </c>
      <c r="E27" s="308" t="e">
        <f aca="false">SUM('Revenues &amp; Expenses'!BJ28:$BJ$258)</f>
        <v>#NAME?</v>
      </c>
      <c r="F27" s="10" t="n">
        <f aca="false">M27</f>
        <v>116950817.20388</v>
      </c>
      <c r="G27" s="308" t="e">
        <f aca="false">IF(AND(D27=1,E27-F27&gt;0),E27-F27,0)</f>
        <v>#NAME?</v>
      </c>
      <c r="H27" s="308" t="e">
        <f aca="false">IF(AND(D27=1,F27-E27&gt;0),F27-E27,0)</f>
        <v>#NAME?</v>
      </c>
      <c r="I27" s="308"/>
      <c r="J27" s="325"/>
      <c r="K27" s="10" t="n">
        <f aca="false">($K$2*315000)/12</f>
        <v>1059139.94028644</v>
      </c>
      <c r="L27" s="10" t="n">
        <f aca="false">K27*'Revenues &amp; Expenses'!N28</f>
        <v>942968.796306236</v>
      </c>
      <c r="M27" s="10" t="n">
        <f aca="false">SUM(L27:$L$257)</f>
        <v>116950817.20388</v>
      </c>
      <c r="O27" s="308" t="n">
        <f aca="false">HLOOKUP(C27,'Debt Amortization'!$H$5:$AB$9,5)</f>
        <v>118125000</v>
      </c>
    </row>
    <row r="28" customFormat="false" ht="16.5" hidden="false" customHeight="false" outlineLevel="0" collapsed="false">
      <c r="A28" s="308" t="n">
        <f aca="false">A27+1</f>
        <v>18</v>
      </c>
      <c r="B28" s="308" t="n">
        <v>30</v>
      </c>
      <c r="C28" s="324" t="n">
        <v>37225</v>
      </c>
      <c r="D28" s="315" t="n">
        <f aca="false">D29</f>
        <v>1</v>
      </c>
      <c r="E28" s="308" t="e">
        <f aca="false">SUM('Revenues &amp; Expenses'!BJ29:$BJ$258)</f>
        <v>#NAME?</v>
      </c>
      <c r="F28" s="10" t="n">
        <f aca="false">M28</f>
        <v>116007848.407574</v>
      </c>
      <c r="G28" s="308" t="e">
        <f aca="false">IF(AND(D28=1,E28-F28&gt;0),E28-F28,0)</f>
        <v>#NAME?</v>
      </c>
      <c r="H28" s="308" t="e">
        <f aca="false">IF(AND(D28=1,F28-E28&gt;0),F28-E28,0)</f>
        <v>#NAME?</v>
      </c>
      <c r="I28" s="308"/>
      <c r="J28" s="325"/>
      <c r="K28" s="10" t="n">
        <f aca="false">($K$2*315000)/12</f>
        <v>1059139.94028644</v>
      </c>
      <c r="L28" s="10" t="n">
        <f aca="false">K28*'Revenues &amp; Expenses'!N29</f>
        <v>937147.763580356</v>
      </c>
      <c r="M28" s="10" t="n">
        <f aca="false">SUM(L28:$L$257)</f>
        <v>116007848.407574</v>
      </c>
      <c r="O28" s="308" t="n">
        <f aca="false">HLOOKUP(C28,'Debt Amortization'!$H$5:$AB$9,5)</f>
        <v>118125000</v>
      </c>
    </row>
    <row r="29" customFormat="false" ht="16.5" hidden="false" customHeight="false" outlineLevel="0" collapsed="false">
      <c r="A29" s="308" t="n">
        <f aca="false">A28+1</f>
        <v>19</v>
      </c>
      <c r="B29" s="308" t="n">
        <v>31</v>
      </c>
      <c r="C29" s="324" t="n">
        <v>37256</v>
      </c>
      <c r="D29" s="315" t="n">
        <f aca="false">'Deal Depiction'!J9</f>
        <v>1</v>
      </c>
      <c r="E29" s="308" t="e">
        <f aca="false">SUM('Revenues &amp; Expenses'!BJ30:$BJ$258)</f>
        <v>#NAME?</v>
      </c>
      <c r="F29" s="10" t="n">
        <f aca="false">M29</f>
        <v>115070700.643994</v>
      </c>
      <c r="G29" s="308" t="e">
        <f aca="false">IF(AND(D29=1,E29-F29&gt;0),E29-F29,0)</f>
        <v>#NAME?</v>
      </c>
      <c r="H29" s="308" t="e">
        <f aca="false">IF(AND(D29=1,F29-E29&gt;0),F29-E29,0)</f>
        <v>#NAME?</v>
      </c>
      <c r="I29" s="308"/>
      <c r="J29" s="325"/>
      <c r="K29" s="10" t="n">
        <f aca="false">($K$2*315000)/12</f>
        <v>1059139.94028644</v>
      </c>
      <c r="L29" s="10" t="n">
        <f aca="false">K29*'Revenues &amp; Expenses'!N30</f>
        <v>931516.386092824</v>
      </c>
      <c r="M29" s="10" t="n">
        <f aca="false">SUM(L29:$L$257)</f>
        <v>115070700.643994</v>
      </c>
      <c r="O29" s="308" t="n">
        <f aca="false">HLOOKUP(C29,'Debt Amortization'!$H$5:$AB$9,5)</f>
        <v>118125000</v>
      </c>
    </row>
    <row r="30" customFormat="false" ht="16.5" hidden="false" customHeight="false" outlineLevel="0" collapsed="false">
      <c r="A30" s="308" t="n">
        <f aca="false">A29+1</f>
        <v>20</v>
      </c>
      <c r="B30" s="308" t="n">
        <v>31</v>
      </c>
      <c r="C30" s="324" t="n">
        <v>37287</v>
      </c>
      <c r="D30" s="315" t="n">
        <f aca="false">D41</f>
        <v>1</v>
      </c>
      <c r="E30" s="308" t="e">
        <f aca="false">SUM('Revenues &amp; Expenses'!BJ31:$BJ$258)</f>
        <v>#NAME?</v>
      </c>
      <c r="F30" s="10" t="n">
        <f aca="false">M30</f>
        <v>114139184.257901</v>
      </c>
      <c r="G30" s="308" t="e">
        <f aca="false">IF(AND(D30=1,E30-F30&gt;0),E30-F30,0)</f>
        <v>#NAME?</v>
      </c>
      <c r="H30" s="308" t="e">
        <f aca="false">IF(AND(D30=1,F30-E30&gt;0),F30-E30,0)</f>
        <v>#NAME?</v>
      </c>
      <c r="I30" s="308"/>
      <c r="J30" s="325"/>
      <c r="K30" s="10" t="n">
        <f aca="false">($K$2*315000)/12</f>
        <v>1059139.94028644</v>
      </c>
      <c r="L30" s="10" t="n">
        <f aca="false">K30*'Revenues &amp; Expenses'!N31</f>
        <v>925719.243618858</v>
      </c>
      <c r="M30" s="10" t="n">
        <f aca="false">SUM(L30:$L$257)</f>
        <v>114139184.257901</v>
      </c>
      <c r="O30" s="308" t="n">
        <f aca="false">HLOOKUP(C30,'Debt Amortization'!$H$5:$AB$9,5)</f>
        <v>115750253.872263</v>
      </c>
    </row>
    <row r="31" customFormat="false" ht="16.5" hidden="false" customHeight="false" outlineLevel="0" collapsed="false">
      <c r="A31" s="308" t="n">
        <f aca="false">A30+1</f>
        <v>21</v>
      </c>
      <c r="B31" s="308" t="n">
        <v>28</v>
      </c>
      <c r="C31" s="324" t="n">
        <v>37315</v>
      </c>
      <c r="D31" s="315" t="n">
        <f aca="false">D41</f>
        <v>1</v>
      </c>
      <c r="E31" s="308" t="e">
        <f aca="false">SUM('Revenues &amp; Expenses'!BJ32:$BJ$258)</f>
        <v>#NAME?</v>
      </c>
      <c r="F31" s="10" t="n">
        <f aca="false">M31</f>
        <v>113213465.014282</v>
      </c>
      <c r="G31" s="308" t="e">
        <f aca="false">IF(AND(D31=1,E31-F31&gt;0),E31-F31,0)</f>
        <v>#NAME?</v>
      </c>
      <c r="H31" s="308" t="e">
        <f aca="false">IF(AND(D31=1,F31-E31&gt;0),F31-E31,0)</f>
        <v>#NAME?</v>
      </c>
      <c r="I31" s="308"/>
      <c r="J31" s="325"/>
      <c r="K31" s="10" t="n">
        <f aca="false">($K$2*315000)/12</f>
        <v>1059139.94028644</v>
      </c>
      <c r="L31" s="10" t="n">
        <f aca="false">K31*'Revenues &amp; Expenses'!N32</f>
        <v>919954.482872711</v>
      </c>
      <c r="M31" s="10" t="n">
        <f aca="false">SUM(L31:$L$257)</f>
        <v>113213465.014282</v>
      </c>
      <c r="O31" s="308" t="n">
        <f aca="false">HLOOKUP(C31,'Debt Amortization'!$H$5:$AB$9,5)</f>
        <v>115750253.872263</v>
      </c>
    </row>
    <row r="32" customFormat="false" ht="16.5" hidden="false" customHeight="false" outlineLevel="0" collapsed="false">
      <c r="A32" s="308" t="n">
        <f aca="false">A31+1</f>
        <v>22</v>
      </c>
      <c r="B32" s="308" t="n">
        <v>31</v>
      </c>
      <c r="C32" s="324" t="n">
        <v>37346</v>
      </c>
      <c r="D32" s="315" t="n">
        <f aca="false">D41</f>
        <v>1</v>
      </c>
      <c r="E32" s="308" t="e">
        <f aca="false">SUM('Revenues &amp; Expenses'!BJ33:$BJ$258)</f>
        <v>#NAME?</v>
      </c>
      <c r="F32" s="10" t="n">
        <f aca="false">M32</f>
        <v>112293510.531409</v>
      </c>
      <c r="G32" s="308" t="e">
        <f aca="false">IF(AND(D32=1,E32-F32&gt;0),E32-F32,0)</f>
        <v>#NAME?</v>
      </c>
      <c r="H32" s="308" t="e">
        <f aca="false">IF(AND(D32=1,F32-E32&gt;0),F32-E32,0)</f>
        <v>#NAME?</v>
      </c>
      <c r="I32" s="308"/>
      <c r="J32" s="325"/>
      <c r="K32" s="10" t="n">
        <f aca="false">($K$2*315000)/12</f>
        <v>1059139.94028644</v>
      </c>
      <c r="L32" s="10" t="n">
        <f aca="false">K32*'Revenues &amp; Expenses'!N33</f>
        <v>914753.260308158</v>
      </c>
      <c r="M32" s="10" t="n">
        <f aca="false">SUM(L32:$L$257)</f>
        <v>112293510.531409</v>
      </c>
      <c r="O32" s="308" t="n">
        <f aca="false">HLOOKUP(C32,'Debt Amortization'!$H$5:$AB$9,5)</f>
        <v>115750253.872263</v>
      </c>
    </row>
    <row r="33" customFormat="false" ht="16.5" hidden="false" customHeight="false" outlineLevel="0" collapsed="false">
      <c r="A33" s="308" t="n">
        <f aca="false">A32+1</f>
        <v>23</v>
      </c>
      <c r="B33" s="308" t="n">
        <v>30</v>
      </c>
      <c r="C33" s="324" t="n">
        <v>37376</v>
      </c>
      <c r="D33" s="315" t="n">
        <f aca="false">D41</f>
        <v>1</v>
      </c>
      <c r="E33" s="308" t="e">
        <f aca="false">SUM('Revenues &amp; Expenses'!BJ34:$BJ$258)</f>
        <v>#NAME?</v>
      </c>
      <c r="F33" s="10" t="n">
        <f aca="false">M33</f>
        <v>111378757.271101</v>
      </c>
      <c r="G33" s="308" t="e">
        <f aca="false">IF(AND(D33=1,E33-F33&gt;0),E33-F33,0)</f>
        <v>#NAME?</v>
      </c>
      <c r="H33" s="308" t="e">
        <f aca="false">IF(AND(D33=1,F33-E33&gt;0),F33-E33,0)</f>
        <v>#NAME?</v>
      </c>
      <c r="I33" s="308"/>
      <c r="J33" s="325"/>
      <c r="K33" s="10" t="n">
        <f aca="false">($K$2*315000)/12</f>
        <v>1059139.94028644</v>
      </c>
      <c r="L33" s="10" t="n">
        <f aca="false">K33*'Revenues &amp; Expenses'!N34</f>
        <v>909048.558854078</v>
      </c>
      <c r="M33" s="10" t="n">
        <f aca="false">SUM(L33:$L$257)</f>
        <v>111378757.271101</v>
      </c>
      <c r="O33" s="308" t="n">
        <f aca="false">HLOOKUP(C33,'Debt Amortization'!$H$5:$AB$9,5)</f>
        <v>115750253.872263</v>
      </c>
    </row>
    <row r="34" customFormat="false" ht="16.5" hidden="false" customHeight="false" outlineLevel="0" collapsed="false">
      <c r="A34" s="308" t="n">
        <f aca="false">A33+1</f>
        <v>24</v>
      </c>
      <c r="B34" s="308" t="n">
        <v>31</v>
      </c>
      <c r="C34" s="324" t="n">
        <v>37407</v>
      </c>
      <c r="D34" s="315" t="n">
        <f aca="false">D41</f>
        <v>1</v>
      </c>
      <c r="E34" s="308" t="e">
        <f aca="false">SUM('Revenues &amp; Expenses'!BJ35:$BJ$258)</f>
        <v>#NAME?</v>
      </c>
      <c r="F34" s="10" t="n">
        <f aca="false">M34</f>
        <v>110469708.712247</v>
      </c>
      <c r="G34" s="308" t="e">
        <f aca="false">IF(AND(D34=1,E34-F34&gt;0),E34-F34,0)</f>
        <v>#NAME?</v>
      </c>
      <c r="H34" s="308" t="e">
        <f aca="false">IF(AND(D34=1,F34-E34&gt;0),F34-E34,0)</f>
        <v>#NAME?</v>
      </c>
      <c r="I34" s="308"/>
      <c r="J34" s="325"/>
      <c r="K34" s="10" t="n">
        <f aca="false">($K$2*315000)/12</f>
        <v>1059139.94028644</v>
      </c>
      <c r="L34" s="10" t="n">
        <f aca="false">K34*'Revenues &amp; Expenses'!N35</f>
        <v>903609.523344203</v>
      </c>
      <c r="M34" s="10" t="n">
        <f aca="false">SUM(L34:$L$257)</f>
        <v>110469708.712247</v>
      </c>
      <c r="O34" s="308" t="n">
        <f aca="false">HLOOKUP(C34,'Debt Amortization'!$H$5:$AB$9,5)</f>
        <v>115750253.872263</v>
      </c>
    </row>
    <row r="35" customFormat="false" ht="16.5" hidden="false" customHeight="false" outlineLevel="0" collapsed="false">
      <c r="A35" s="308" t="n">
        <f aca="false">A34+1</f>
        <v>25</v>
      </c>
      <c r="B35" s="308" t="n">
        <v>30</v>
      </c>
      <c r="C35" s="324" t="n">
        <v>37437</v>
      </c>
      <c r="D35" s="315" t="n">
        <f aca="false">D41</f>
        <v>1</v>
      </c>
      <c r="E35" s="308" t="e">
        <f aca="false">SUM('Revenues &amp; Expenses'!BJ36:$BJ$258)</f>
        <v>#NAME?</v>
      </c>
      <c r="F35" s="10" t="n">
        <f aca="false">M35</f>
        <v>109566099.188903</v>
      </c>
      <c r="G35" s="308" t="e">
        <f aca="false">IF(AND(D35=1,E35-F35&gt;0),E35-F35,0)</f>
        <v>#NAME?</v>
      </c>
      <c r="H35" s="308" t="e">
        <f aca="false">IF(AND(D35=1,F35-E35&gt;0),F35-E35,0)</f>
        <v>#NAME?</v>
      </c>
      <c r="I35" s="308"/>
      <c r="J35" s="325"/>
      <c r="K35" s="10" t="n">
        <f aca="false">($K$2*315000)/12</f>
        <v>1059139.94028644</v>
      </c>
      <c r="L35" s="10" t="n">
        <f aca="false">K35*'Revenues &amp; Expenses'!N36</f>
        <v>898004.003109715</v>
      </c>
      <c r="M35" s="10" t="n">
        <f aca="false">SUM(L35:$L$257)</f>
        <v>109566099.188903</v>
      </c>
      <c r="O35" s="308" t="n">
        <f aca="false">HLOOKUP(C35,'Debt Amortization'!$H$5:$AB$9,5)</f>
        <v>115750253.872263</v>
      </c>
    </row>
    <row r="36" customFormat="false" ht="16.5" hidden="false" customHeight="false" outlineLevel="0" collapsed="false">
      <c r="A36" s="308" t="n">
        <f aca="false">A35+1</f>
        <v>26</v>
      </c>
      <c r="B36" s="308" t="n">
        <v>31</v>
      </c>
      <c r="C36" s="324" t="n">
        <v>37468</v>
      </c>
      <c r="D36" s="315" t="n">
        <f aca="false">D41</f>
        <v>1</v>
      </c>
      <c r="E36" s="308" t="e">
        <f aca="false">SUM('Revenues &amp; Expenses'!BJ37:$BJ$258)</f>
        <v>#NAME?</v>
      </c>
      <c r="F36" s="10" t="n">
        <f aca="false">M36</f>
        <v>108668095.185793</v>
      </c>
      <c r="G36" s="308" t="e">
        <f aca="false">IF(AND(D36=1,E36-F36&gt;0),E36-F36,0)</f>
        <v>#NAME?</v>
      </c>
      <c r="H36" s="308" t="e">
        <f aca="false">IF(AND(D36=1,F36-E36&gt;0),F36-E36,0)</f>
        <v>#NAME?</v>
      </c>
      <c r="I36" s="308"/>
      <c r="J36" s="325"/>
      <c r="K36" s="10" t="n">
        <f aca="false">($K$2*315000)/12</f>
        <v>1059139.94028644</v>
      </c>
      <c r="L36" s="10" t="n">
        <f aca="false">K36*'Revenues &amp; Expenses'!N37</f>
        <v>892614.1728403</v>
      </c>
      <c r="M36" s="10" t="n">
        <f aca="false">SUM(L36:$L$257)</f>
        <v>108668095.185793</v>
      </c>
      <c r="O36" s="308" t="n">
        <f aca="false">HLOOKUP(C36,'Debt Amortization'!$H$5:$AB$9,5)</f>
        <v>115750253.872263</v>
      </c>
    </row>
    <row r="37" customFormat="false" ht="16.5" hidden="false" customHeight="false" outlineLevel="0" collapsed="false">
      <c r="A37" s="308" t="n">
        <f aca="false">A36+1</f>
        <v>27</v>
      </c>
      <c r="B37" s="308" t="n">
        <v>31</v>
      </c>
      <c r="C37" s="324" t="n">
        <v>37499</v>
      </c>
      <c r="D37" s="315" t="n">
        <f aca="false">D41</f>
        <v>1</v>
      </c>
      <c r="E37" s="308" t="e">
        <f aca="false">SUM('Revenues &amp; Expenses'!BJ38:$BJ$258)</f>
        <v>#NAME?</v>
      </c>
      <c r="F37" s="10" t="n">
        <f aca="false">M37</f>
        <v>107775481.012953</v>
      </c>
      <c r="G37" s="308" t="e">
        <f aca="false">IF(AND(D37=1,E37-F37&gt;0),E37-F37,0)</f>
        <v>#NAME?</v>
      </c>
      <c r="H37" s="308" t="e">
        <f aca="false">IF(AND(D37=1,F37-E37&gt;0),F37-E37,0)</f>
        <v>#NAME?</v>
      </c>
      <c r="I37" s="308"/>
      <c r="J37" s="325"/>
      <c r="K37" s="10" t="n">
        <f aca="false">($K$2*315000)/12</f>
        <v>1059139.94028644</v>
      </c>
      <c r="L37" s="10" t="n">
        <f aca="false">K37*'Revenues &amp; Expenses'!N38</f>
        <v>887095.527162577</v>
      </c>
      <c r="M37" s="10" t="n">
        <f aca="false">SUM(L37:$L$257)</f>
        <v>107775481.012953</v>
      </c>
      <c r="O37" s="308" t="n">
        <f aca="false">HLOOKUP(C37,'Debt Amortization'!$H$5:$AB$9,5)</f>
        <v>115750253.872263</v>
      </c>
    </row>
    <row r="38" customFormat="false" ht="16.5" hidden="false" customHeight="false" outlineLevel="0" collapsed="false">
      <c r="A38" s="308" t="n">
        <f aca="false">A37+1</f>
        <v>28</v>
      </c>
      <c r="B38" s="308" t="n">
        <v>30</v>
      </c>
      <c r="C38" s="324" t="n">
        <v>37529</v>
      </c>
      <c r="D38" s="315" t="n">
        <f aca="false">D41</f>
        <v>1</v>
      </c>
      <c r="E38" s="308" t="e">
        <f aca="false">SUM('Revenues &amp; Expenses'!BJ39:$BJ$258)</f>
        <v>#NAME?</v>
      </c>
      <c r="F38" s="10" t="n">
        <f aca="false">M38</f>
        <v>106888385.48579</v>
      </c>
      <c r="G38" s="308" t="e">
        <f aca="false">IF(AND(D38=1,E38-F38&gt;0),E38-F38,0)</f>
        <v>#NAME?</v>
      </c>
      <c r="H38" s="308" t="e">
        <f aca="false">IF(AND(D38=1,F38-E38&gt;0),F38-E38,0)</f>
        <v>#NAME?</v>
      </c>
      <c r="I38" s="308"/>
      <c r="J38" s="325"/>
      <c r="K38" s="10" t="n">
        <f aca="false">($K$2*315000)/12</f>
        <v>1059139.94028644</v>
      </c>
      <c r="L38" s="10" t="n">
        <f aca="false">K38*'Revenues &amp; Expenses'!N39</f>
        <v>881595.421758423</v>
      </c>
      <c r="M38" s="10" t="n">
        <f aca="false">SUM(L38:$L$257)</f>
        <v>106888385.48579</v>
      </c>
      <c r="O38" s="308" t="n">
        <f aca="false">HLOOKUP(C38,'Debt Amortization'!$H$5:$AB$9,5)</f>
        <v>115750253.872263</v>
      </c>
    </row>
    <row r="39" customFormat="false" ht="16.5" hidden="false" customHeight="false" outlineLevel="0" collapsed="false">
      <c r="A39" s="308" t="n">
        <f aca="false">A38+1</f>
        <v>29</v>
      </c>
      <c r="B39" s="308" t="n">
        <v>31</v>
      </c>
      <c r="C39" s="324" t="n">
        <v>37560</v>
      </c>
      <c r="D39" s="315" t="n">
        <f aca="false">D41</f>
        <v>1</v>
      </c>
      <c r="E39" s="308" t="e">
        <f aca="false">SUM('Revenues &amp; Expenses'!BJ40:$BJ$258)</f>
        <v>#NAME?</v>
      </c>
      <c r="F39" s="10" t="n">
        <f aca="false">M39</f>
        <v>106006790.064032</v>
      </c>
      <c r="G39" s="308" t="e">
        <f aca="false">IF(AND(D39=1,E39-F39&gt;0),E39-F39,0)</f>
        <v>#NAME?</v>
      </c>
      <c r="H39" s="308" t="e">
        <f aca="false">IF(AND(D39=1,F39-E39&gt;0),F39-E39,0)</f>
        <v>#NAME?</v>
      </c>
      <c r="I39" s="308"/>
      <c r="J39" s="325"/>
      <c r="K39" s="10" t="n">
        <f aca="false">($K$2*315000)/12</f>
        <v>1059139.94028644</v>
      </c>
      <c r="L39" s="10" t="n">
        <f aca="false">K39*'Revenues &amp; Expenses'!N40</f>
        <v>876309.461049027</v>
      </c>
      <c r="M39" s="10" t="n">
        <f aca="false">SUM(L39:$L$257)</f>
        <v>106006790.064032</v>
      </c>
      <c r="O39" s="308" t="n">
        <f aca="false">HLOOKUP(C39,'Debt Amortization'!$H$5:$AB$9,5)</f>
        <v>115750253.872263</v>
      </c>
    </row>
    <row r="40" customFormat="false" ht="16.5" hidden="false" customHeight="false" outlineLevel="0" collapsed="false">
      <c r="A40" s="308" t="n">
        <f aca="false">A39+1</f>
        <v>30</v>
      </c>
      <c r="B40" s="308" t="n">
        <v>30</v>
      </c>
      <c r="C40" s="324" t="n">
        <v>37590</v>
      </c>
      <c r="D40" s="315" t="n">
        <f aca="false">D41</f>
        <v>1</v>
      </c>
      <c r="E40" s="308" t="e">
        <f aca="false">SUM('Revenues &amp; Expenses'!BJ41:$BJ$258)</f>
        <v>#NAME?</v>
      </c>
      <c r="F40" s="10" t="n">
        <f aca="false">M40</f>
        <v>105130480.602983</v>
      </c>
      <c r="G40" s="308" t="e">
        <f aca="false">IF(AND(D40=1,E40-F40&gt;0),E40-F40,0)</f>
        <v>#NAME?</v>
      </c>
      <c r="H40" s="308" t="e">
        <f aca="false">IF(AND(D40=1,F40-E40&gt;0),F40-E40,0)</f>
        <v>#NAME?</v>
      </c>
      <c r="I40" s="308"/>
      <c r="J40" s="325"/>
      <c r="K40" s="10" t="n">
        <f aca="false">($K$2*315000)/12</f>
        <v>1059139.94028644</v>
      </c>
      <c r="L40" s="10" t="n">
        <f aca="false">K40*'Revenues &amp; Expenses'!N41</f>
        <v>870894.641766097</v>
      </c>
      <c r="M40" s="10" t="n">
        <f aca="false">SUM(L40:$L$257)</f>
        <v>105130480.602983</v>
      </c>
      <c r="O40" s="308" t="n">
        <f aca="false">HLOOKUP(C40,'Debt Amortization'!$H$5:$AB$9,5)</f>
        <v>115750253.872263</v>
      </c>
    </row>
    <row r="41" customFormat="false" ht="16.5" hidden="false" customHeight="false" outlineLevel="0" collapsed="false">
      <c r="A41" s="308" t="n">
        <f aca="false">A40+1</f>
        <v>31</v>
      </c>
      <c r="B41" s="308" t="n">
        <v>31</v>
      </c>
      <c r="C41" s="324" t="n">
        <v>37621</v>
      </c>
      <c r="D41" s="315" t="n">
        <f aca="false">'Deal Depiction'!J10</f>
        <v>1</v>
      </c>
      <c r="E41" s="308" t="e">
        <f aca="false">SUM('Revenues &amp; Expenses'!BJ42:$BJ$258)</f>
        <v>#NAME?</v>
      </c>
      <c r="F41" s="10" t="n">
        <f aca="false">M41</f>
        <v>104259585.961217</v>
      </c>
      <c r="G41" s="308" t="e">
        <f aca="false">IF(AND(D41=1,E41-F41&gt;0),E41-F41,0)</f>
        <v>#NAME?</v>
      </c>
      <c r="H41" s="308" t="e">
        <f aca="false">IF(AND(D41=1,F41-E41&gt;0),F41-E41,0)</f>
        <v>#NAME?</v>
      </c>
      <c r="I41" s="308"/>
      <c r="J41" s="325"/>
      <c r="K41" s="10" t="n">
        <f aca="false">($K$2*315000)/12</f>
        <v>1059139.94028644</v>
      </c>
      <c r="L41" s="10" t="n">
        <f aca="false">K41*'Revenues &amp; Expenses'!N42</f>
        <v>865674.564728573</v>
      </c>
      <c r="M41" s="10" t="n">
        <f aca="false">SUM(L41:$L$257)</f>
        <v>104259585.961217</v>
      </c>
      <c r="O41" s="308" t="n">
        <f aca="false">HLOOKUP(C41,'Debt Amortization'!$H$5:$AB$9,5)</f>
        <v>115750253.872263</v>
      </c>
    </row>
    <row r="42" customFormat="false" ht="16.5" hidden="false" customHeight="false" outlineLevel="0" collapsed="false">
      <c r="A42" s="308" t="n">
        <f aca="false">A41+1</f>
        <v>32</v>
      </c>
      <c r="B42" s="308" t="n">
        <v>31</v>
      </c>
      <c r="C42" s="324" t="n">
        <v>37652</v>
      </c>
      <c r="D42" s="315" t="n">
        <f aca="false">D53</f>
        <v>1</v>
      </c>
      <c r="E42" s="308" t="e">
        <f aca="false">SUM('Revenues &amp; Expenses'!BJ43:$BJ$258)</f>
        <v>#NAME?</v>
      </c>
      <c r="F42" s="10" t="n">
        <f aca="false">M42</f>
        <v>103393911.396488</v>
      </c>
      <c r="G42" s="308" t="e">
        <f aca="false">IF(AND(D42=1,E42-F42&gt;0),E42-F42,0)</f>
        <v>#NAME?</v>
      </c>
      <c r="H42" s="308" t="e">
        <f aca="false">IF(AND(D42=1,F42-E42&gt;0),F42-E42,0)</f>
        <v>#NAME?</v>
      </c>
      <c r="I42" s="308"/>
      <c r="J42" s="325"/>
      <c r="K42" s="10" t="n">
        <f aca="false">($K$2*315000)/12</f>
        <v>1059139.94028644</v>
      </c>
      <c r="L42" s="10" t="n">
        <f aca="false">K42*'Revenues &amp; Expenses'!N43</f>
        <v>860301.039194532</v>
      </c>
      <c r="M42" s="10" t="n">
        <f aca="false">SUM(L42:$L$257)</f>
        <v>103393911.396488</v>
      </c>
      <c r="O42" s="308" t="n">
        <f aca="false">HLOOKUP(C42,'Debt Amortization'!$H$5:$AB$9,5)</f>
        <v>113167737.649356</v>
      </c>
    </row>
    <row r="43" customFormat="false" ht="16.5" hidden="false" customHeight="false" outlineLevel="0" collapsed="false">
      <c r="A43" s="308" t="n">
        <f aca="false">A42+1</f>
        <v>33</v>
      </c>
      <c r="B43" s="308" t="n">
        <v>28</v>
      </c>
      <c r="C43" s="324" t="n">
        <v>37680</v>
      </c>
      <c r="D43" s="315" t="n">
        <f aca="false">D53</f>
        <v>1</v>
      </c>
      <c r="E43" s="308" t="e">
        <f aca="false">SUM('Revenues &amp; Expenses'!BJ44:$BJ$258)</f>
        <v>#NAME?</v>
      </c>
      <c r="F43" s="10" t="n">
        <f aca="false">M43</f>
        <v>102533610.357294</v>
      </c>
      <c r="G43" s="308" t="e">
        <f aca="false">IF(AND(D43=1,E43-F43&gt;0),E43-F43,0)</f>
        <v>#NAME?</v>
      </c>
      <c r="H43" s="308" t="e">
        <f aca="false">IF(AND(D43=1,F43-E43&gt;0),F43-E43,0)</f>
        <v>#NAME?</v>
      </c>
      <c r="I43" s="308"/>
      <c r="J43" s="325"/>
      <c r="K43" s="10" t="n">
        <f aca="false">($K$2*315000)/12</f>
        <v>1059139.94028644</v>
      </c>
      <c r="L43" s="10" t="n">
        <f aca="false">K43*'Revenues &amp; Expenses'!N44</f>
        <v>854948.371056524</v>
      </c>
      <c r="M43" s="10" t="n">
        <f aca="false">SUM(L43:$L$257)</f>
        <v>102533610.357294</v>
      </c>
      <c r="O43" s="308" t="n">
        <f aca="false">HLOOKUP(C43,'Debt Amortization'!$H$5:$AB$9,5)</f>
        <v>113167737.649356</v>
      </c>
    </row>
    <row r="44" customFormat="false" ht="16.5" hidden="false" customHeight="false" outlineLevel="0" collapsed="false">
      <c r="A44" s="308" t="n">
        <f aca="false">A43+1</f>
        <v>34</v>
      </c>
      <c r="B44" s="308" t="n">
        <v>31</v>
      </c>
      <c r="C44" s="324" t="n">
        <v>37711</v>
      </c>
      <c r="D44" s="315" t="n">
        <f aca="false">D53</f>
        <v>1</v>
      </c>
      <c r="E44" s="308" t="e">
        <f aca="false">SUM('Revenues &amp; Expenses'!BJ45:$BJ$258)</f>
        <v>#NAME?</v>
      </c>
      <c r="F44" s="10" t="n">
        <f aca="false">M44</f>
        <v>101678661.986237</v>
      </c>
      <c r="G44" s="308" t="e">
        <f aca="false">IF(AND(D44=1,E44-F44&gt;0),E44-F44,0)</f>
        <v>#NAME?</v>
      </c>
      <c r="H44" s="308" t="e">
        <f aca="false">IF(AND(D44=1,F44-E44&gt;0),F44-E44,0)</f>
        <v>#NAME?</v>
      </c>
      <c r="I44" s="308"/>
      <c r="J44" s="325"/>
      <c r="K44" s="10" t="n">
        <f aca="false">($K$2*315000)/12</f>
        <v>1059139.94028644</v>
      </c>
      <c r="L44" s="10" t="n">
        <f aca="false">K44*'Revenues &amp; Expenses'!N45</f>
        <v>850131.862292676</v>
      </c>
      <c r="M44" s="10" t="n">
        <f aca="false">SUM(L44:$L$257)</f>
        <v>101678661.986237</v>
      </c>
      <c r="O44" s="308" t="n">
        <f aca="false">HLOOKUP(C44,'Debt Amortization'!$H$5:$AB$9,5)</f>
        <v>113167737.649356</v>
      </c>
    </row>
    <row r="45" customFormat="false" ht="16.5" hidden="false" customHeight="false" outlineLevel="0" collapsed="false">
      <c r="A45" s="308" t="n">
        <f aca="false">A44+1</f>
        <v>35</v>
      </c>
      <c r="B45" s="308" t="n">
        <v>30</v>
      </c>
      <c r="C45" s="324" t="n">
        <v>37741</v>
      </c>
      <c r="D45" s="315" t="n">
        <f aca="false">D53</f>
        <v>1</v>
      </c>
      <c r="E45" s="308" t="e">
        <f aca="false">SUM('Revenues &amp; Expenses'!BJ46:$BJ$258)</f>
        <v>#NAME?</v>
      </c>
      <c r="F45" s="10" t="n">
        <f aca="false">M45</f>
        <v>100828530.123944</v>
      </c>
      <c r="G45" s="308" t="e">
        <f aca="false">IF(AND(D45=1,E45-F45&gt;0),E45-F45,0)</f>
        <v>#NAME?</v>
      </c>
      <c r="H45" s="308" t="e">
        <f aca="false">IF(AND(D45=1,F45-E45&gt;0),F45-E45,0)</f>
        <v>#NAME?</v>
      </c>
      <c r="I45" s="308"/>
      <c r="J45" s="325"/>
      <c r="K45" s="10" t="n">
        <f aca="false">($K$2*315000)/12</f>
        <v>1059139.94028644</v>
      </c>
      <c r="L45" s="10" t="n">
        <f aca="false">K45*'Revenues &amp; Expenses'!N46</f>
        <v>844847.596442704</v>
      </c>
      <c r="M45" s="10" t="n">
        <f aca="false">SUM(L45:$L$257)</f>
        <v>100828530.123944</v>
      </c>
      <c r="O45" s="308" t="n">
        <f aca="false">HLOOKUP(C45,'Debt Amortization'!$H$5:$AB$9,5)</f>
        <v>113167737.649356</v>
      </c>
    </row>
    <row r="46" customFormat="false" ht="16.5" hidden="false" customHeight="false" outlineLevel="0" collapsed="false">
      <c r="A46" s="308" t="n">
        <f aca="false">A45+1</f>
        <v>36</v>
      </c>
      <c r="B46" s="308" t="n">
        <v>31</v>
      </c>
      <c r="C46" s="324" t="n">
        <v>37772</v>
      </c>
      <c r="D46" s="315" t="n">
        <f aca="false">D53</f>
        <v>1</v>
      </c>
      <c r="E46" s="308" t="e">
        <f aca="false">SUM('Revenues &amp; Expenses'!BJ47:$BJ$258)</f>
        <v>#NAME?</v>
      </c>
      <c r="F46" s="10" t="n">
        <f aca="false">M46</f>
        <v>99983682.5275018</v>
      </c>
      <c r="G46" s="308" t="e">
        <f aca="false">IF(AND(D46=1,E46-F46&gt;0),E46-F46,0)</f>
        <v>#NAME?</v>
      </c>
      <c r="H46" s="308" t="e">
        <f aca="false">IF(AND(D46=1,F46-E46&gt;0),F46-E46,0)</f>
        <v>#NAME?</v>
      </c>
      <c r="I46" s="308"/>
      <c r="J46" s="325"/>
      <c r="K46" s="10" t="n">
        <f aca="false">($K$2*315000)/12</f>
        <v>1059139.94028644</v>
      </c>
      <c r="L46" s="10" t="n">
        <f aca="false">K46*'Revenues &amp; Expenses'!N47</f>
        <v>839793.226937297</v>
      </c>
      <c r="M46" s="10" t="n">
        <f aca="false">SUM(L46:$L$257)</f>
        <v>99983682.5275018</v>
      </c>
      <c r="O46" s="308" t="n">
        <f aca="false">HLOOKUP(C46,'Debt Amortization'!$H$5:$AB$9,5)</f>
        <v>113167737.649356</v>
      </c>
    </row>
    <row r="47" customFormat="false" ht="16.5" hidden="false" customHeight="false" outlineLevel="0" collapsed="false">
      <c r="A47" s="308" t="n">
        <f aca="false">A46+1</f>
        <v>37</v>
      </c>
      <c r="B47" s="308" t="n">
        <v>30</v>
      </c>
      <c r="C47" s="324" t="n">
        <v>37802</v>
      </c>
      <c r="D47" s="315" t="n">
        <f aca="false">D53</f>
        <v>1</v>
      </c>
      <c r="E47" s="308" t="e">
        <f aca="false">SUM('Revenues &amp; Expenses'!BJ48:$BJ$258)</f>
        <v>#NAME?</v>
      </c>
      <c r="F47" s="10" t="n">
        <f aca="false">M47</f>
        <v>99143889.3005645</v>
      </c>
      <c r="G47" s="308" t="e">
        <f aca="false">IF(AND(D47=1,E47-F47&gt;0),E47-F47,0)</f>
        <v>#NAME?</v>
      </c>
      <c r="H47" s="308" t="e">
        <f aca="false">IF(AND(D47=1,F47-E47&gt;0),F47-E47,0)</f>
        <v>#NAME?</v>
      </c>
      <c r="I47" s="308"/>
      <c r="J47" s="325"/>
      <c r="K47" s="10" t="n">
        <f aca="false">($K$2*315000)/12</f>
        <v>1059139.94028644</v>
      </c>
      <c r="L47" s="10" t="n">
        <f aca="false">K47*'Revenues &amp; Expenses'!N48</f>
        <v>834593.826982072</v>
      </c>
      <c r="M47" s="10" t="n">
        <f aca="false">SUM(L47:$L$257)</f>
        <v>99143889.3005645</v>
      </c>
      <c r="O47" s="308" t="n">
        <f aca="false">HLOOKUP(C47,'Debt Amortization'!$H$5:$AB$9,5)</f>
        <v>113167737.649356</v>
      </c>
    </row>
    <row r="48" customFormat="false" ht="16.5" hidden="false" customHeight="false" outlineLevel="0" collapsed="false">
      <c r="A48" s="308" t="n">
        <f aca="false">A47+1</f>
        <v>38</v>
      </c>
      <c r="B48" s="308" t="n">
        <v>31</v>
      </c>
      <c r="C48" s="324" t="n">
        <v>37833</v>
      </c>
      <c r="D48" s="315" t="n">
        <f aca="false">D53</f>
        <v>1</v>
      </c>
      <c r="E48" s="308" t="e">
        <f aca="false">SUM('Revenues &amp; Expenses'!BJ49:$BJ$258)</f>
        <v>#NAME?</v>
      </c>
      <c r="F48" s="10" t="n">
        <f aca="false">M48</f>
        <v>98309295.4735824</v>
      </c>
      <c r="G48" s="308" t="e">
        <f aca="false">IF(AND(D48=1,E48-F48&gt;0),E48-F48,0)</f>
        <v>#NAME?</v>
      </c>
      <c r="H48" s="308" t="e">
        <f aca="false">IF(AND(D48=1,F48-E48&gt;0),F48-E48,0)</f>
        <v>#NAME?</v>
      </c>
      <c r="I48" s="308"/>
      <c r="J48" s="325"/>
      <c r="K48" s="10" t="n">
        <f aca="false">($K$2*315000)/12</f>
        <v>1059139.94028644</v>
      </c>
      <c r="L48" s="10" t="n">
        <f aca="false">K48*'Revenues &amp; Expenses'!N49</f>
        <v>829592.606049591</v>
      </c>
      <c r="M48" s="10" t="n">
        <f aca="false">SUM(L48:$L$257)</f>
        <v>98309295.4735824</v>
      </c>
      <c r="O48" s="308" t="n">
        <f aca="false">HLOOKUP(C48,'Debt Amortization'!$H$5:$AB$9,5)</f>
        <v>113167737.649356</v>
      </c>
    </row>
    <row r="49" customFormat="false" ht="16.5" hidden="false" customHeight="false" outlineLevel="0" collapsed="false">
      <c r="A49" s="308" t="n">
        <f aca="false">A48+1</f>
        <v>39</v>
      </c>
      <c r="B49" s="308" t="n">
        <v>31</v>
      </c>
      <c r="C49" s="324" t="n">
        <v>37864</v>
      </c>
      <c r="D49" s="315" t="n">
        <f aca="false">D53</f>
        <v>1</v>
      </c>
      <c r="E49" s="308" t="e">
        <f aca="false">SUM('Revenues &amp; Expenses'!BJ50:$BJ$258)</f>
        <v>#NAME?</v>
      </c>
      <c r="F49" s="10" t="n">
        <f aca="false">M49</f>
        <v>97479702.8675328</v>
      </c>
      <c r="G49" s="308" t="e">
        <f aca="false">IF(AND(D49=1,E49-F49&gt;0),E49-F49,0)</f>
        <v>#NAME?</v>
      </c>
      <c r="H49" s="308" t="e">
        <f aca="false">IF(AND(D49=1,F49-E49&gt;0),F49-E49,0)</f>
        <v>#NAME?</v>
      </c>
      <c r="I49" s="308"/>
      <c r="J49" s="325"/>
      <c r="K49" s="10" t="n">
        <f aca="false">($K$2*315000)/12</f>
        <v>1059139.94028644</v>
      </c>
      <c r="L49" s="10" t="n">
        <f aca="false">K49*'Revenues &amp; Expenses'!N50</f>
        <v>824459.765107539</v>
      </c>
      <c r="M49" s="10" t="n">
        <f aca="false">SUM(L49:$L$257)</f>
        <v>97479702.8675328</v>
      </c>
      <c r="O49" s="308" t="n">
        <f aca="false">HLOOKUP(C49,'Debt Amortization'!$H$5:$AB$9,5)</f>
        <v>113167737.649356</v>
      </c>
    </row>
    <row r="50" customFormat="false" ht="16.5" hidden="false" customHeight="false" outlineLevel="0" collapsed="false">
      <c r="A50" s="308" t="n">
        <f aca="false">A49+1</f>
        <v>40</v>
      </c>
      <c r="B50" s="308" t="n">
        <v>30</v>
      </c>
      <c r="C50" s="324" t="n">
        <v>37894</v>
      </c>
      <c r="D50" s="315" t="n">
        <f aca="false">D53</f>
        <v>1</v>
      </c>
      <c r="E50" s="308" t="e">
        <f aca="false">SUM('Revenues &amp; Expenses'!BJ51:$BJ$258)</f>
        <v>#NAME?</v>
      </c>
      <c r="F50" s="10" t="n">
        <f aca="false">M50</f>
        <v>96655243.1024253</v>
      </c>
      <c r="G50" s="308" t="e">
        <f aca="false">IF(AND(D50=1,E50-F50&gt;0),E50-F50,0)</f>
        <v>#NAME?</v>
      </c>
      <c r="H50" s="308" t="e">
        <f aca="false">IF(AND(D50=1,F50-E50&gt;0),F50-E50,0)</f>
        <v>#NAME?</v>
      </c>
      <c r="I50" s="308"/>
      <c r="J50" s="325"/>
      <c r="K50" s="10" t="n">
        <f aca="false">($K$2*315000)/12</f>
        <v>1059139.94028644</v>
      </c>
      <c r="L50" s="10" t="n">
        <f aca="false">K50*'Revenues &amp; Expenses'!N51</f>
        <v>819351.322701742</v>
      </c>
      <c r="M50" s="10" t="n">
        <f aca="false">SUM(L50:$L$257)</f>
        <v>96655243.1024253</v>
      </c>
      <c r="O50" s="308" t="n">
        <f aca="false">HLOOKUP(C50,'Debt Amortization'!$H$5:$AB$9,5)</f>
        <v>113167737.649356</v>
      </c>
    </row>
    <row r="51" customFormat="false" ht="16.5" hidden="false" customHeight="false" outlineLevel="0" collapsed="false">
      <c r="A51" s="308" t="n">
        <f aca="false">A50+1</f>
        <v>41</v>
      </c>
      <c r="B51" s="308" t="n">
        <v>31</v>
      </c>
      <c r="C51" s="324" t="n">
        <v>37925</v>
      </c>
      <c r="D51" s="315" t="n">
        <f aca="false">D53</f>
        <v>1</v>
      </c>
      <c r="E51" s="308" t="e">
        <f aca="false">SUM('Revenues &amp; Expenses'!BJ52:$BJ$258)</f>
        <v>#NAME?</v>
      </c>
      <c r="F51" s="10" t="n">
        <f aca="false">M51</f>
        <v>95835891.7797235</v>
      </c>
      <c r="G51" s="308" t="e">
        <f aca="false">IF(AND(D51=1,E51-F51&gt;0),E51-F51,0)</f>
        <v>#NAME?</v>
      </c>
      <c r="H51" s="308" t="e">
        <f aca="false">IF(AND(D51=1,F51-E51&gt;0),F51-E51,0)</f>
        <v>#NAME?</v>
      </c>
      <c r="I51" s="308"/>
      <c r="J51" s="325"/>
      <c r="K51" s="10" t="n">
        <f aca="false">($K$2*315000)/12</f>
        <v>1059139.94028644</v>
      </c>
      <c r="L51" s="10" t="n">
        <f aca="false">K51*'Revenues &amp; Expenses'!N52</f>
        <v>814438.88508177</v>
      </c>
      <c r="M51" s="10" t="n">
        <f aca="false">SUM(L51:$L$257)</f>
        <v>95835891.7797235</v>
      </c>
      <c r="O51" s="308" t="n">
        <f aca="false">HLOOKUP(C51,'Debt Amortization'!$H$5:$AB$9,5)</f>
        <v>113167737.649356</v>
      </c>
    </row>
    <row r="52" customFormat="false" ht="16.5" hidden="false" customHeight="false" outlineLevel="0" collapsed="false">
      <c r="A52" s="308" t="n">
        <f aca="false">A51+1</f>
        <v>42</v>
      </c>
      <c r="B52" s="308" t="n">
        <v>30</v>
      </c>
      <c r="C52" s="324" t="n">
        <v>37955</v>
      </c>
      <c r="D52" s="315" t="n">
        <f aca="false">D53</f>
        <v>1</v>
      </c>
      <c r="E52" s="308" t="e">
        <f aca="false">SUM('Revenues &amp; Expenses'!BJ53:$BJ$258)</f>
        <v>#NAME?</v>
      </c>
      <c r="F52" s="10" t="n">
        <f aca="false">M52</f>
        <v>95021452.8946418</v>
      </c>
      <c r="G52" s="308" t="e">
        <f aca="false">IF(AND(D52=1,E52-F52&gt;0),E52-F52,0)</f>
        <v>#NAME?</v>
      </c>
      <c r="H52" s="308" t="e">
        <f aca="false">IF(AND(D52=1,F52-E52&gt;0),F52-E52,0)</f>
        <v>#NAME?</v>
      </c>
      <c r="I52" s="308"/>
      <c r="J52" s="325"/>
      <c r="K52" s="10" t="n">
        <f aca="false">($K$2*315000)/12</f>
        <v>1059139.94028644</v>
      </c>
      <c r="L52" s="10" t="n">
        <f aca="false">K52*'Revenues &amp; Expenses'!N53</f>
        <v>809397.136286218</v>
      </c>
      <c r="M52" s="10" t="n">
        <f aca="false">SUM(L52:$L$257)</f>
        <v>95021452.8946418</v>
      </c>
      <c r="O52" s="308" t="n">
        <f aca="false">HLOOKUP(C52,'Debt Amortization'!$H$5:$AB$9,5)</f>
        <v>113167737.649356</v>
      </c>
    </row>
    <row r="53" customFormat="false" ht="16.5" hidden="false" customHeight="false" outlineLevel="0" collapsed="false">
      <c r="A53" s="308" t="n">
        <f aca="false">A52+1</f>
        <v>43</v>
      </c>
      <c r="B53" s="308" t="n">
        <v>31</v>
      </c>
      <c r="C53" s="324" t="n">
        <v>37986</v>
      </c>
      <c r="D53" s="315" t="n">
        <f aca="false">'Deal Depiction'!J11</f>
        <v>1</v>
      </c>
      <c r="E53" s="308" t="e">
        <f aca="false">SUM('Revenues &amp; Expenses'!BJ54:$BJ$258)</f>
        <v>#NAME?</v>
      </c>
      <c r="F53" s="10" t="n">
        <f aca="false">M53</f>
        <v>94212055.7583556</v>
      </c>
      <c r="G53" s="308" t="e">
        <f aca="false">IF(AND(D53=1,E53-F53&gt;0),E53-F53,0)</f>
        <v>#NAME?</v>
      </c>
      <c r="H53" s="308" t="e">
        <f aca="false">IF(AND(D53=1,F53-E53&gt;0),F53-E53,0)</f>
        <v>#NAME?</v>
      </c>
      <c r="I53" s="308"/>
      <c r="J53" s="325"/>
      <c r="K53" s="10" t="n">
        <f aca="false">($K$2*315000)/12</f>
        <v>1059139.94028644</v>
      </c>
      <c r="L53" s="10" t="n">
        <f aca="false">K53*'Revenues &amp; Expenses'!N54</f>
        <v>804541.658416187</v>
      </c>
      <c r="M53" s="10" t="n">
        <f aca="false">SUM(L53:$L$257)</f>
        <v>94212055.7583556</v>
      </c>
      <c r="O53" s="308" t="n">
        <f aca="false">HLOOKUP(C53,'Debt Amortization'!$H$5:$AB$9,5)</f>
        <v>113167737.649356</v>
      </c>
    </row>
    <row r="54" customFormat="false" ht="16.5" hidden="false" customHeight="false" outlineLevel="0" collapsed="false">
      <c r="A54" s="308" t="n">
        <f aca="false">A53+1</f>
        <v>44</v>
      </c>
      <c r="B54" s="308" t="n">
        <v>31</v>
      </c>
      <c r="C54" s="324" t="n">
        <v>38017</v>
      </c>
      <c r="D54" s="315" t="n">
        <f aca="false">D65</f>
        <v>1</v>
      </c>
      <c r="E54" s="308" t="e">
        <f aca="false">SUM('Revenues &amp; Expenses'!BJ55:$BJ$258)</f>
        <v>#NAME?</v>
      </c>
      <c r="F54" s="10" t="n">
        <f aca="false">M54</f>
        <v>93407514.0999394</v>
      </c>
      <c r="G54" s="308" t="e">
        <f aca="false">IF(AND(D54=1,E54-F54&gt;0),E54-F54,0)</f>
        <v>#NAME?</v>
      </c>
      <c r="H54" s="308" t="e">
        <f aca="false">IF(AND(D54=1,F54-E54&gt;0),F54-E54,0)</f>
        <v>#NAME?</v>
      </c>
      <c r="K54" s="10" t="n">
        <f aca="false">($K$2*315000)/12</f>
        <v>1059139.94028644</v>
      </c>
      <c r="L54" s="10" t="n">
        <f aca="false">K54*'Revenues &amp; Expenses'!N55</f>
        <v>799536.040188565</v>
      </c>
      <c r="M54" s="10" t="n">
        <f aca="false">SUM(L54:$L$257)</f>
        <v>93407514.0999394</v>
      </c>
      <c r="O54" s="308" t="n">
        <f aca="false">HLOOKUP(C54,'Debt Amortization'!$H$5:$AB$9,5)</f>
        <v>110359273.214494</v>
      </c>
    </row>
    <row r="55" customFormat="false" ht="16.5" hidden="false" customHeight="false" outlineLevel="0" collapsed="false">
      <c r="A55" s="308" t="n">
        <f aca="false">A54+1</f>
        <v>45</v>
      </c>
      <c r="B55" s="308" t="n">
        <v>29</v>
      </c>
      <c r="C55" s="324" t="n">
        <v>38046</v>
      </c>
      <c r="D55" s="315" t="n">
        <f aca="false">D65</f>
        <v>1</v>
      </c>
      <c r="E55" s="308" t="e">
        <f aca="false">SUM('Revenues &amp; Expenses'!BJ56:$BJ$258)</f>
        <v>#NAME?</v>
      </c>
      <c r="F55" s="10" t="n">
        <f aca="false">M55</f>
        <v>92607978.0597508</v>
      </c>
      <c r="G55" s="308" t="e">
        <f aca="false">IF(AND(D55=1,E55-F55&gt;0),E55-F55,0)</f>
        <v>#NAME?</v>
      </c>
      <c r="H55" s="308" t="e">
        <f aca="false">IF(AND(D55=1,F55-E55&gt;0),F55-E55,0)</f>
        <v>#NAME?</v>
      </c>
      <c r="K55" s="10" t="n">
        <f aca="false">($K$2*315000)/12</f>
        <v>1059139.94028644</v>
      </c>
      <c r="L55" s="10" t="n">
        <f aca="false">K55*'Revenues &amp; Expenses'!N56</f>
        <v>794541.02819714</v>
      </c>
      <c r="M55" s="10" t="n">
        <f aca="false">SUM(L55:$L$257)</f>
        <v>92607978.0597508</v>
      </c>
      <c r="O55" s="308" t="n">
        <f aca="false">HLOOKUP(C55,'Debt Amortization'!$H$5:$AB$9,5)</f>
        <v>110359273.214494</v>
      </c>
    </row>
    <row r="56" customFormat="false" ht="16.5" hidden="false" customHeight="false" outlineLevel="0" collapsed="false">
      <c r="A56" s="308" t="n">
        <f aca="false">A55+1</f>
        <v>46</v>
      </c>
      <c r="B56" s="308" t="n">
        <v>31</v>
      </c>
      <c r="C56" s="324" t="n">
        <v>38077</v>
      </c>
      <c r="D56" s="315" t="n">
        <f aca="false">D65</f>
        <v>1</v>
      </c>
      <c r="E56" s="308" t="e">
        <f aca="false">SUM('Revenues &amp; Expenses'!BJ57:$BJ$258)</f>
        <v>#NAME?</v>
      </c>
      <c r="F56" s="10" t="n">
        <f aca="false">M56</f>
        <v>91813437.0315537</v>
      </c>
      <c r="G56" s="308" t="e">
        <f aca="false">IF(AND(D56=1,E56-F56&gt;0),E56-F56,0)</f>
        <v>#NAME?</v>
      </c>
      <c r="H56" s="308" t="e">
        <f aca="false">IF(AND(D56=1,F56-E56&gt;0),F56-E56,0)</f>
        <v>#NAME?</v>
      </c>
      <c r="K56" s="10" t="n">
        <f aca="false">($K$2*315000)/12</f>
        <v>1059139.94028644</v>
      </c>
      <c r="L56" s="10" t="n">
        <f aca="false">K56*'Revenues &amp; Expenses'!N57</f>
        <v>789889.846671275</v>
      </c>
      <c r="M56" s="10" t="n">
        <f aca="false">SUM(L56:$L$257)</f>
        <v>91813437.0315537</v>
      </c>
      <c r="O56" s="308" t="n">
        <f aca="false">HLOOKUP(C56,'Debt Amortization'!$H$5:$AB$9,5)</f>
        <v>110359273.214494</v>
      </c>
    </row>
    <row r="57" customFormat="false" ht="16.5" hidden="false" customHeight="false" outlineLevel="0" collapsed="false">
      <c r="A57" s="308" t="n">
        <f aca="false">A56+1</f>
        <v>47</v>
      </c>
      <c r="B57" s="308" t="n">
        <v>30</v>
      </c>
      <c r="C57" s="324" t="n">
        <v>38107</v>
      </c>
      <c r="D57" s="315" t="n">
        <f aca="false">D65</f>
        <v>1</v>
      </c>
      <c r="E57" s="308" t="e">
        <f aca="false">SUM('Revenues &amp; Expenses'!BJ58:$BJ$258)</f>
        <v>#NAME?</v>
      </c>
      <c r="F57" s="10" t="n">
        <f aca="false">M57</f>
        <v>91023547.1848824</v>
      </c>
      <c r="G57" s="308" t="e">
        <f aca="false">IF(AND(D57=1,E57-F57&gt;0),E57-F57,0)</f>
        <v>#NAME?</v>
      </c>
      <c r="H57" s="308" t="e">
        <f aca="false">IF(AND(D57=1,F57-E57&gt;0),F57-E57,0)</f>
        <v>#NAME?</v>
      </c>
      <c r="K57" s="10" t="n">
        <f aca="false">($K$2*315000)/12</f>
        <v>1059139.94028644</v>
      </c>
      <c r="L57" s="10" t="n">
        <f aca="false">K57*'Revenues &amp; Expenses'!N58</f>
        <v>784938.209036208</v>
      </c>
      <c r="M57" s="10" t="n">
        <f aca="false">SUM(L57:$L$257)</f>
        <v>91023547.1848824</v>
      </c>
      <c r="O57" s="308" t="n">
        <f aca="false">HLOOKUP(C57,'Debt Amortization'!$H$5:$AB$9,5)</f>
        <v>110359273.214494</v>
      </c>
    </row>
    <row r="58" customFormat="false" ht="16.5" hidden="false" customHeight="false" outlineLevel="0" collapsed="false">
      <c r="A58" s="308" t="n">
        <f aca="false">A57+1</f>
        <v>48</v>
      </c>
      <c r="B58" s="308" t="n">
        <v>31</v>
      </c>
      <c r="C58" s="324" t="n">
        <v>38138</v>
      </c>
      <c r="D58" s="315" t="n">
        <f aca="false">D65</f>
        <v>1</v>
      </c>
      <c r="E58" s="308" t="e">
        <f aca="false">SUM('Revenues &amp; Expenses'!BJ59:$BJ$258)</f>
        <v>#NAME?</v>
      </c>
      <c r="F58" s="10" t="n">
        <f aca="false">M58</f>
        <v>90238608.9758462</v>
      </c>
      <c r="G58" s="308" t="e">
        <f aca="false">IF(AND(D58=1,E58-F58&gt;0),E58-F58,0)</f>
        <v>#NAME?</v>
      </c>
      <c r="H58" s="308" t="e">
        <f aca="false">IF(AND(D58=1,F58-E58&gt;0),F58-E58,0)</f>
        <v>#NAME?</v>
      </c>
      <c r="K58" s="10" t="n">
        <f aca="false">($K$2*315000)/12</f>
        <v>1059139.94028644</v>
      </c>
      <c r="L58" s="10" t="n">
        <f aca="false">K58*'Revenues &amp; Expenses'!N59</f>
        <v>780165.999031988</v>
      </c>
      <c r="M58" s="10" t="n">
        <f aca="false">SUM(L58:$L$257)</f>
        <v>90238608.9758462</v>
      </c>
      <c r="O58" s="308" t="n">
        <f aca="false">HLOOKUP(C58,'Debt Amortization'!$H$5:$AB$9,5)</f>
        <v>110359273.214494</v>
      </c>
    </row>
    <row r="59" customFormat="false" ht="16.5" hidden="false" customHeight="false" outlineLevel="0" collapsed="false">
      <c r="A59" s="308" t="n">
        <f aca="false">A58+1</f>
        <v>49</v>
      </c>
      <c r="B59" s="308" t="n">
        <v>30</v>
      </c>
      <c r="C59" s="324" t="n">
        <v>38168</v>
      </c>
      <c r="D59" s="315" t="n">
        <f aca="false">D65</f>
        <v>1</v>
      </c>
      <c r="E59" s="308" t="e">
        <f aca="false">SUM('Revenues &amp; Expenses'!BJ60:$BJ$258)</f>
        <v>#NAME?</v>
      </c>
      <c r="F59" s="10" t="n">
        <f aca="false">M59</f>
        <v>89458442.9768142</v>
      </c>
      <c r="G59" s="308" t="e">
        <f aca="false">IF(AND(D59=1,E59-F59&gt;0),E59-F59,0)</f>
        <v>#NAME?</v>
      </c>
      <c r="H59" s="308" t="e">
        <f aca="false">IF(AND(D59=1,F59-E59&gt;0),F59-E59,0)</f>
        <v>#NAME?</v>
      </c>
      <c r="K59" s="10" t="n">
        <f aca="false">($K$2*315000)/12</f>
        <v>1059139.94028644</v>
      </c>
      <c r="L59" s="10" t="n">
        <f aca="false">K59*'Revenues &amp; Expenses'!N60</f>
        <v>775257.848039381</v>
      </c>
      <c r="M59" s="10" t="n">
        <f aca="false">SUM(L59:$L$257)</f>
        <v>89458442.9768142</v>
      </c>
      <c r="O59" s="308" t="n">
        <f aca="false">HLOOKUP(C59,'Debt Amortization'!$H$5:$AB$9,5)</f>
        <v>110359273.214494</v>
      </c>
    </row>
    <row r="60" customFormat="false" ht="16.5" hidden="false" customHeight="false" outlineLevel="0" collapsed="false">
      <c r="A60" s="308" t="n">
        <f aca="false">A59+1</f>
        <v>50</v>
      </c>
      <c r="B60" s="308" t="n">
        <v>31</v>
      </c>
      <c r="C60" s="324" t="n">
        <v>38199</v>
      </c>
      <c r="D60" s="315" t="n">
        <f aca="false">D65</f>
        <v>1</v>
      </c>
      <c r="E60" s="308" t="e">
        <f aca="false">SUM('Revenues &amp; Expenses'!BJ61:$BJ$258)</f>
        <v>#NAME?</v>
      </c>
      <c r="F60" s="10" t="n">
        <f aca="false">M60</f>
        <v>88683185.1287748</v>
      </c>
      <c r="G60" s="308" t="e">
        <f aca="false">IF(AND(D60=1,E60-F60&gt;0),E60-F60,0)</f>
        <v>#NAME?</v>
      </c>
      <c r="H60" s="308" t="e">
        <f aca="false">IF(AND(D60=1,F60-E60&gt;0),F60-E60,0)</f>
        <v>#NAME?</v>
      </c>
      <c r="K60" s="10" t="n">
        <f aca="false">($K$2*315000)/12</f>
        <v>1059139.94028644</v>
      </c>
      <c r="L60" s="10" t="n">
        <f aca="false">K60*'Revenues &amp; Expenses'!N61</f>
        <v>770530.361242079</v>
      </c>
      <c r="M60" s="10" t="n">
        <f aca="false">SUM(L60:$L$257)</f>
        <v>88683185.1287748</v>
      </c>
      <c r="O60" s="308" t="n">
        <f aca="false">HLOOKUP(C60,'Debt Amortization'!$H$5:$AB$9,5)</f>
        <v>110359273.214494</v>
      </c>
    </row>
    <row r="61" customFormat="false" ht="16.5" hidden="false" customHeight="false" outlineLevel="0" collapsed="false">
      <c r="A61" s="308" t="n">
        <f aca="false">A60+1</f>
        <v>51</v>
      </c>
      <c r="B61" s="308" t="n">
        <v>31</v>
      </c>
      <c r="C61" s="324" t="n">
        <v>38230</v>
      </c>
      <c r="D61" s="315" t="n">
        <f aca="false">D65</f>
        <v>1</v>
      </c>
      <c r="E61" s="308" t="e">
        <f aca="false">SUM('Revenues &amp; Expenses'!BJ62:$BJ$258)</f>
        <v>#NAME?</v>
      </c>
      <c r="F61" s="10" t="n">
        <f aca="false">M61</f>
        <v>87912654.7675327</v>
      </c>
      <c r="G61" s="308" t="e">
        <f aca="false">IF(AND(D61=1,E61-F61&gt;0),E61-F61,0)</f>
        <v>#NAME?</v>
      </c>
      <c r="H61" s="308" t="e">
        <f aca="false">IF(AND(D61=1,F61-E61&gt;0),F61-E61,0)</f>
        <v>#NAME?</v>
      </c>
      <c r="K61" s="10" t="n">
        <f aca="false">($K$2*315000)/12</f>
        <v>1059139.94028644</v>
      </c>
      <c r="L61" s="10" t="n">
        <f aca="false">K61*'Revenues &amp; Expenses'!N62</f>
        <v>765668.320581659</v>
      </c>
      <c r="M61" s="10" t="n">
        <f aca="false">SUM(L61:$L$257)</f>
        <v>87912654.7675327</v>
      </c>
      <c r="O61" s="308" t="n">
        <f aca="false">HLOOKUP(C61,'Debt Amortization'!$H$5:$AB$9,5)</f>
        <v>110359273.214494</v>
      </c>
    </row>
    <row r="62" customFormat="false" ht="16.5" hidden="false" customHeight="false" outlineLevel="0" collapsed="false">
      <c r="A62" s="308" t="n">
        <f aca="false">A61+1</f>
        <v>52</v>
      </c>
      <c r="B62" s="308" t="n">
        <v>30</v>
      </c>
      <c r="C62" s="324" t="n">
        <v>38260</v>
      </c>
      <c r="D62" s="315" t="n">
        <f aca="false">D65</f>
        <v>1</v>
      </c>
      <c r="E62" s="308" t="e">
        <f aca="false">SUM('Revenues &amp; Expenses'!BJ63:$BJ$258)</f>
        <v>#NAME?</v>
      </c>
      <c r="F62" s="10" t="n">
        <f aca="false">M62</f>
        <v>87146986.4469511</v>
      </c>
      <c r="G62" s="308" t="e">
        <f aca="false">IF(AND(D62=1,E62-F62&gt;0),E62-F62,0)</f>
        <v>#NAME?</v>
      </c>
      <c r="H62" s="308" t="e">
        <f aca="false">IF(AND(D62=1,F62-E62&gt;0),F62-E62,0)</f>
        <v>#NAME?</v>
      </c>
      <c r="K62" s="10" t="n">
        <f aca="false">($K$2*315000)/12</f>
        <v>1059139.94028644</v>
      </c>
      <c r="L62" s="10" t="n">
        <f aca="false">K62*'Revenues &amp; Expenses'!N63</f>
        <v>760829.633012572</v>
      </c>
      <c r="M62" s="10" t="n">
        <f aca="false">SUM(L62:$L$257)</f>
        <v>87146986.4469511</v>
      </c>
      <c r="O62" s="308" t="n">
        <f aca="false">HLOOKUP(C62,'Debt Amortization'!$H$5:$AB$9,5)</f>
        <v>110359273.214494</v>
      </c>
    </row>
    <row r="63" customFormat="false" ht="16.5" hidden="false" customHeight="false" outlineLevel="0" collapsed="false">
      <c r="A63" s="308" t="n">
        <f aca="false">A62+1</f>
        <v>53</v>
      </c>
      <c r="B63" s="308" t="n">
        <v>31</v>
      </c>
      <c r="C63" s="324" t="n">
        <v>38291</v>
      </c>
      <c r="D63" s="315" t="n">
        <f aca="false">D65</f>
        <v>1</v>
      </c>
      <c r="E63" s="308" t="e">
        <f aca="false">SUM('Revenues &amp; Expenses'!BJ64:$BJ$258)</f>
        <v>#NAME?</v>
      </c>
      <c r="F63" s="10" t="n">
        <f aca="false">M63</f>
        <v>86386156.8139385</v>
      </c>
      <c r="G63" s="308" t="e">
        <f aca="false">IF(AND(D63=1,E63-F63&gt;0),E63-F63,0)</f>
        <v>#NAME?</v>
      </c>
      <c r="H63" s="308" t="e">
        <f aca="false">IF(AND(D63=1,F63-E63&gt;0),F63-E63,0)</f>
        <v>#NAME?</v>
      </c>
      <c r="K63" s="10" t="n">
        <f aca="false">($K$2*315000)/12</f>
        <v>1059139.94028644</v>
      </c>
      <c r="L63" s="10" t="n">
        <f aca="false">K63*'Revenues &amp; Expenses'!N64</f>
        <v>756169.216175494</v>
      </c>
      <c r="M63" s="10" t="n">
        <f aca="false">SUM(L63:$L$257)</f>
        <v>86386156.8139385</v>
      </c>
      <c r="O63" s="308" t="n">
        <f aca="false">HLOOKUP(C63,'Debt Amortization'!$H$5:$AB$9,5)</f>
        <v>110359273.214494</v>
      </c>
    </row>
    <row r="64" customFormat="false" ht="16.5" hidden="false" customHeight="false" outlineLevel="0" collapsed="false">
      <c r="A64" s="308" t="n">
        <f aca="false">A63+1</f>
        <v>54</v>
      </c>
      <c r="B64" s="308" t="n">
        <v>30</v>
      </c>
      <c r="C64" s="324" t="n">
        <v>38321</v>
      </c>
      <c r="D64" s="315" t="n">
        <f aca="false">D65</f>
        <v>1</v>
      </c>
      <c r="E64" s="308" t="e">
        <f aca="false">SUM('Revenues &amp; Expenses'!BJ65:$BJ$258)</f>
        <v>#NAME?</v>
      </c>
      <c r="F64" s="10" t="n">
        <f aca="false">M64</f>
        <v>85629987.597763</v>
      </c>
      <c r="G64" s="308" t="e">
        <f aca="false">IF(AND(D64=1,E64-F64&gt;0),E64-F64,0)</f>
        <v>#NAME?</v>
      </c>
      <c r="H64" s="308" t="e">
        <f aca="false">IF(AND(D64=1,F64-E64&gt;0),F64-E64,0)</f>
        <v>#NAME?</v>
      </c>
      <c r="K64" s="10" t="n">
        <f aca="false">($K$2*315000)/12</f>
        <v>1059139.94028644</v>
      </c>
      <c r="L64" s="10" t="n">
        <f aca="false">K64*'Revenues &amp; Expenses'!N65</f>
        <v>751376.322368706</v>
      </c>
      <c r="M64" s="10" t="n">
        <f aca="false">SUM(L64:$L$257)</f>
        <v>85629987.597763</v>
      </c>
      <c r="O64" s="308" t="n">
        <f aca="false">HLOOKUP(C64,'Debt Amortization'!$H$5:$AB$9,5)</f>
        <v>110359273.214494</v>
      </c>
    </row>
    <row r="65" customFormat="false" ht="16.5" hidden="false" customHeight="false" outlineLevel="0" collapsed="false">
      <c r="A65" s="308" t="n">
        <f aca="false">A64+1</f>
        <v>55</v>
      </c>
      <c r="B65" s="308" t="n">
        <v>31</v>
      </c>
      <c r="C65" s="324" t="n">
        <v>38352</v>
      </c>
      <c r="D65" s="315" t="n">
        <f aca="false">'Deal Depiction'!J12</f>
        <v>1</v>
      </c>
      <c r="E65" s="308" t="e">
        <f aca="false">SUM('Revenues &amp; Expenses'!BJ66:$BJ$258)</f>
        <v>#NAME?</v>
      </c>
      <c r="F65" s="10" t="n">
        <f aca="false">M65</f>
        <v>84878611.2753943</v>
      </c>
      <c r="G65" s="308" t="e">
        <f aca="false">IF(AND(D65=1,E65-F65&gt;0),E65-F65,0)</f>
        <v>#NAME?</v>
      </c>
      <c r="H65" s="308" t="e">
        <f aca="false">IF(AND(D65=1,F65-E65&gt;0),F65-E65,0)</f>
        <v>#NAME?</v>
      </c>
      <c r="K65" s="10" t="n">
        <f aca="false">($K$2*315000)/12</f>
        <v>1059139.94028644</v>
      </c>
      <c r="L65" s="10" t="n">
        <f aca="false">K65*'Revenues &amp; Expenses'!N66</f>
        <v>746760.119277914</v>
      </c>
      <c r="M65" s="10" t="n">
        <f aca="false">SUM(L65:$L$257)</f>
        <v>84878611.2753943</v>
      </c>
      <c r="O65" s="308" t="n">
        <f aca="false">HLOOKUP(C65,'Debt Amortization'!$H$5:$AB$9,5)</f>
        <v>107305092.020229</v>
      </c>
    </row>
    <row r="66" customFormat="false" ht="16.5" hidden="false" customHeight="false" outlineLevel="0" collapsed="false">
      <c r="A66" s="308" t="n">
        <f aca="false">A65+1</f>
        <v>56</v>
      </c>
      <c r="B66" s="308" t="n">
        <v>31</v>
      </c>
      <c r="C66" s="324" t="n">
        <v>38383</v>
      </c>
      <c r="D66" s="315" t="n">
        <f aca="false">D77</f>
        <v>1</v>
      </c>
      <c r="E66" s="308" t="e">
        <f aca="false">SUM('Revenues &amp; Expenses'!BJ67:$BJ$258)</f>
        <v>#NAME?</v>
      </c>
      <c r="F66" s="10" t="n">
        <f aca="false">M66</f>
        <v>84131851.1561164</v>
      </c>
      <c r="G66" s="308" t="e">
        <f aca="false">IF(AND(D66=1,E66-F66&gt;0),E66-F66,0)</f>
        <v>#NAME?</v>
      </c>
      <c r="H66" s="308" t="e">
        <f aca="false">IF(AND(D66=1,F66-E66&gt;0),F66-E66,0)</f>
        <v>#NAME?</v>
      </c>
      <c r="K66" s="10" t="n">
        <f aca="false">($K$2*315000)/12</f>
        <v>1059139.94028644</v>
      </c>
      <c r="L66" s="10" t="n">
        <f aca="false">K66*'Revenues &amp; Expenses'!N67</f>
        <v>742012.806158864</v>
      </c>
      <c r="M66" s="10" t="n">
        <f aca="false">SUM(L66:$L$257)</f>
        <v>84131851.1561164</v>
      </c>
      <c r="O66" s="308" t="n">
        <f aca="false">HLOOKUP(C66,'Debt Amortization'!$H$5:$AB$9,5)</f>
        <v>107305092.020229</v>
      </c>
    </row>
    <row r="67" customFormat="false" ht="16.5" hidden="false" customHeight="false" outlineLevel="0" collapsed="false">
      <c r="A67" s="308" t="n">
        <f aca="false">A66+1</f>
        <v>57</v>
      </c>
      <c r="B67" s="308" t="n">
        <v>28</v>
      </c>
      <c r="C67" s="324" t="n">
        <v>38411</v>
      </c>
      <c r="D67" s="315" t="n">
        <f aca="false">D77</f>
        <v>1</v>
      </c>
      <c r="E67" s="308" t="e">
        <f aca="false">SUM('Revenues &amp; Expenses'!BJ68:$BJ$258)</f>
        <v>#NAME?</v>
      </c>
      <c r="F67" s="10" t="n">
        <f aca="false">M67</f>
        <v>83389838.3499575</v>
      </c>
      <c r="G67" s="308" t="e">
        <f aca="false">IF(AND(D67=1,E67-F67&gt;0),E67-F67,0)</f>
        <v>#NAME?</v>
      </c>
      <c r="H67" s="308" t="e">
        <f aca="false">IF(AND(D67=1,F67-E67&gt;0),F67-E67,0)</f>
        <v>#NAME?</v>
      </c>
      <c r="K67" s="10" t="n">
        <f aca="false">($K$2*315000)/12</f>
        <v>1059139.94028644</v>
      </c>
      <c r="L67" s="10" t="n">
        <f aca="false">K67*'Revenues &amp; Expenses'!N68</f>
        <v>737288.574549456</v>
      </c>
      <c r="M67" s="10" t="n">
        <f aca="false">SUM(L67:$L$257)</f>
        <v>83389838.3499575</v>
      </c>
      <c r="O67" s="308" t="n">
        <f aca="false">HLOOKUP(C67,'Debt Amortization'!$H$5:$AB$9,5)</f>
        <v>107305092.020229</v>
      </c>
    </row>
    <row r="68" customFormat="false" ht="16.5" hidden="false" customHeight="false" outlineLevel="0" collapsed="false">
      <c r="A68" s="308" t="n">
        <f aca="false">A67+1</f>
        <v>58</v>
      </c>
      <c r="B68" s="308" t="n">
        <v>31</v>
      </c>
      <c r="C68" s="324" t="n">
        <v>38442</v>
      </c>
      <c r="D68" s="315" t="n">
        <f aca="false">D77</f>
        <v>1</v>
      </c>
      <c r="E68" s="308" t="e">
        <f aca="false">SUM('Revenues &amp; Expenses'!BJ69:$BJ$258)</f>
        <v>#NAME?</v>
      </c>
      <c r="F68" s="10" t="n">
        <f aca="false">M68</f>
        <v>82652549.7754081</v>
      </c>
      <c r="G68" s="308" t="e">
        <f aca="false">IF(AND(D68=1,E68-F68&gt;0),E68-F68,0)</f>
        <v>#NAME?</v>
      </c>
      <c r="H68" s="308" t="e">
        <f aca="false">IF(AND(D68=1,F68-E68&gt;0),F68-E68,0)</f>
        <v>#NAME?</v>
      </c>
      <c r="K68" s="10" t="n">
        <f aca="false">($K$2*315000)/12</f>
        <v>1059139.94028644</v>
      </c>
      <c r="L68" s="10" t="n">
        <f aca="false">K68*'Revenues &amp; Expenses'!N69</f>
        <v>733041.319135582</v>
      </c>
      <c r="M68" s="10" t="n">
        <f aca="false">SUM(L68:$L$257)</f>
        <v>82652549.7754081</v>
      </c>
      <c r="O68" s="308" t="n">
        <f aca="false">HLOOKUP(C68,'Debt Amortization'!$H$5:$AB$9,5)</f>
        <v>107305092.020229</v>
      </c>
    </row>
    <row r="69" customFormat="false" ht="16.5" hidden="false" customHeight="false" outlineLevel="0" collapsed="false">
      <c r="A69" s="308" t="n">
        <f aca="false">A68+1</f>
        <v>59</v>
      </c>
      <c r="B69" s="308" t="n">
        <v>30</v>
      </c>
      <c r="C69" s="324" t="n">
        <v>38472</v>
      </c>
      <c r="D69" s="315" t="n">
        <f aca="false">D77</f>
        <v>1</v>
      </c>
      <c r="E69" s="308" t="e">
        <f aca="false">SUM('Revenues &amp; Expenses'!BJ70:$BJ$258)</f>
        <v>#NAME?</v>
      </c>
      <c r="F69" s="10" t="n">
        <f aca="false">M69</f>
        <v>81919508.4562725</v>
      </c>
      <c r="G69" s="308" t="e">
        <f aca="false">IF(AND(D69=1,E69-F69&gt;0),E69-F69,0)</f>
        <v>#NAME?</v>
      </c>
      <c r="H69" s="308" t="e">
        <f aca="false">IF(AND(D69=1,F69-E69&gt;0),F69-E69,0)</f>
        <v>#NAME?</v>
      </c>
      <c r="K69" s="10" t="n">
        <f aca="false">($K$2*315000)/12</f>
        <v>1059139.94028644</v>
      </c>
      <c r="L69" s="10" t="n">
        <f aca="false">K69*'Revenues &amp; Expenses'!N70</f>
        <v>728462.731111961</v>
      </c>
      <c r="M69" s="10" t="n">
        <f aca="false">SUM(L69:$L$257)</f>
        <v>81919508.4562725</v>
      </c>
      <c r="O69" s="308" t="n">
        <f aca="false">HLOOKUP(C69,'Debt Amortization'!$H$5:$AB$9,5)</f>
        <v>107305092.020229</v>
      </c>
    </row>
    <row r="70" customFormat="false" ht="16.5" hidden="false" customHeight="false" outlineLevel="0" collapsed="false">
      <c r="A70" s="308" t="n">
        <f aca="false">A69+1</f>
        <v>60</v>
      </c>
      <c r="B70" s="308" t="n">
        <v>31</v>
      </c>
      <c r="C70" s="324" t="n">
        <v>38503</v>
      </c>
      <c r="D70" s="315" t="n">
        <f aca="false">D77</f>
        <v>1</v>
      </c>
      <c r="E70" s="308" t="e">
        <f aca="false">SUM('Revenues &amp; Expenses'!BJ71:$BJ$258)</f>
        <v>#NAME?</v>
      </c>
      <c r="F70" s="10" t="n">
        <f aca="false">M70</f>
        <v>81191045.7251605</v>
      </c>
      <c r="G70" s="308" t="e">
        <f aca="false">IF(AND(D70=1,E70-F70&gt;0),E70-F70,0)</f>
        <v>#NAME?</v>
      </c>
      <c r="H70" s="308" t="e">
        <f aca="false">IF(AND(D70=1,F70-E70&gt;0),F70-E70,0)</f>
        <v>#NAME?</v>
      </c>
      <c r="K70" s="10" t="n">
        <f aca="false">($K$2*315000)/12</f>
        <v>1059139.94028644</v>
      </c>
      <c r="L70" s="10" t="n">
        <f aca="false">K70*'Revenues &amp; Expenses'!N71</f>
        <v>724079.469698138</v>
      </c>
      <c r="M70" s="10" t="n">
        <f aca="false">SUM(L70:$L$257)</f>
        <v>81191045.7251605</v>
      </c>
      <c r="O70" s="308" t="n">
        <f aca="false">HLOOKUP(C70,'Debt Amortization'!$H$5:$AB$9,5)</f>
        <v>107305092.020229</v>
      </c>
    </row>
    <row r="71" customFormat="false" ht="16.5" hidden="false" customHeight="false" outlineLevel="0" collapsed="false">
      <c r="A71" s="308" t="n">
        <f aca="false">A70+1</f>
        <v>61</v>
      </c>
      <c r="B71" s="308" t="n">
        <v>30</v>
      </c>
      <c r="C71" s="324" t="n">
        <v>38533</v>
      </c>
      <c r="D71" s="315" t="n">
        <f aca="false">D77</f>
        <v>1</v>
      </c>
      <c r="E71" s="308" t="e">
        <f aca="false">SUM('Revenues &amp; Expenses'!BJ72:$BJ$258)</f>
        <v>#NAME?</v>
      </c>
      <c r="F71" s="10" t="n">
        <f aca="false">M71</f>
        <v>80466966.2554624</v>
      </c>
      <c r="G71" s="308" t="e">
        <f aca="false">IF(AND(D71=1,E71-F71&gt;0),E71-F71,0)</f>
        <v>#NAME?</v>
      </c>
      <c r="H71" s="308" t="e">
        <f aca="false">IF(AND(D71=1,F71-E71&gt;0),F71-E71,0)</f>
        <v>#NAME?</v>
      </c>
      <c r="K71" s="10" t="n">
        <f aca="false">($K$2*315000)/12</f>
        <v>1059139.94028644</v>
      </c>
      <c r="L71" s="10" t="n">
        <f aca="false">K71*'Revenues &amp; Expenses'!N72</f>
        <v>719574.996320008</v>
      </c>
      <c r="M71" s="10" t="n">
        <f aca="false">SUM(L71:$L$257)</f>
        <v>80466966.2554624</v>
      </c>
      <c r="O71" s="308" t="n">
        <f aca="false">HLOOKUP(C71,'Debt Amortization'!$H$5:$AB$9,5)</f>
        <v>107305092.020229</v>
      </c>
    </row>
    <row r="72" customFormat="false" ht="16.5" hidden="false" customHeight="false" outlineLevel="0" collapsed="false">
      <c r="A72" s="308" t="n">
        <f aca="false">A71+1</f>
        <v>62</v>
      </c>
      <c r="B72" s="308" t="n">
        <v>31</v>
      </c>
      <c r="C72" s="324" t="n">
        <v>38564</v>
      </c>
      <c r="D72" s="315" t="n">
        <f aca="false">D77</f>
        <v>1</v>
      </c>
      <c r="E72" s="308" t="e">
        <f aca="false">SUM('Revenues &amp; Expenses'!BJ73:$BJ$258)</f>
        <v>#NAME?</v>
      </c>
      <c r="F72" s="10" t="n">
        <f aca="false">M72</f>
        <v>79747391.2591424</v>
      </c>
      <c r="G72" s="308" t="e">
        <f aca="false">IF(AND(D72=1,E72-F72&gt;0),E72-F72,0)</f>
        <v>#NAME?</v>
      </c>
      <c r="H72" s="308" t="e">
        <f aca="false">IF(AND(D72=1,F72-E72&gt;0),F72-E72,0)</f>
        <v>#NAME?</v>
      </c>
      <c r="K72" s="10" t="n">
        <f aca="false">($K$2*315000)/12</f>
        <v>1059139.94028644</v>
      </c>
      <c r="L72" s="10" t="n">
        <f aca="false">K72*'Revenues &amp; Expenses'!N73</f>
        <v>715239.80874341</v>
      </c>
      <c r="M72" s="10" t="n">
        <f aca="false">SUM(L72:$L$257)</f>
        <v>79747391.2591424</v>
      </c>
      <c r="O72" s="308" t="n">
        <f aca="false">HLOOKUP(C72,'Debt Amortization'!$H$5:$AB$9,5)</f>
        <v>107305092.020229</v>
      </c>
    </row>
    <row r="73" customFormat="false" ht="16.5" hidden="false" customHeight="false" outlineLevel="0" collapsed="false">
      <c r="A73" s="308" t="n">
        <f aca="false">A72+1</f>
        <v>63</v>
      </c>
      <c r="B73" s="308" t="n">
        <v>31</v>
      </c>
      <c r="C73" s="324" t="n">
        <v>38595</v>
      </c>
      <c r="D73" s="315" t="n">
        <f aca="false">D77</f>
        <v>1</v>
      </c>
      <c r="E73" s="308" t="e">
        <f aca="false">SUM('Revenues &amp; Expenses'!BJ74:$BJ$258)</f>
        <v>#NAME?</v>
      </c>
      <c r="F73" s="10" t="n">
        <f aca="false">M73</f>
        <v>79032151.450399</v>
      </c>
      <c r="G73" s="308" t="e">
        <f aca="false">IF(AND(D73=1,E73-F73&gt;0),E73-F73,0)</f>
        <v>#NAME?</v>
      </c>
      <c r="H73" s="308" t="e">
        <f aca="false">IF(AND(D73=1,F73-E73&gt;0),F73-E73,0)</f>
        <v>#NAME?</v>
      </c>
      <c r="K73" s="10" t="n">
        <f aca="false">($K$2*315000)/12</f>
        <v>1059139.94028644</v>
      </c>
      <c r="L73" s="10" t="n">
        <f aca="false">K73*'Revenues &amp; Expenses'!N74</f>
        <v>710784.776413168</v>
      </c>
      <c r="M73" s="10" t="n">
        <f aca="false">SUM(L73:$L$257)</f>
        <v>79032151.450399</v>
      </c>
      <c r="O73" s="308" t="n">
        <f aca="false">HLOOKUP(C73,'Debt Amortization'!$H$5:$AB$9,5)</f>
        <v>107305092.020229</v>
      </c>
    </row>
    <row r="74" customFormat="false" ht="16.5" hidden="false" customHeight="false" outlineLevel="0" collapsed="false">
      <c r="A74" s="308" t="n">
        <f aca="false">A73+1</f>
        <v>64</v>
      </c>
      <c r="B74" s="308" t="n">
        <v>30</v>
      </c>
      <c r="C74" s="324" t="n">
        <v>38625</v>
      </c>
      <c r="D74" s="315" t="n">
        <f aca="false">D77</f>
        <v>1</v>
      </c>
      <c r="E74" s="308" t="e">
        <f aca="false">SUM('Revenues &amp; Expenses'!BJ75:$BJ$258)</f>
        <v>#NAME?</v>
      </c>
      <c r="F74" s="10" t="n">
        <f aca="false">M74</f>
        <v>78321366.6739858</v>
      </c>
      <c r="G74" s="308" t="e">
        <f aca="false">IF(AND(D74=1,E74-F74&gt;0),E74-F74,0)</f>
        <v>#NAME?</v>
      </c>
      <c r="H74" s="308" t="e">
        <f aca="false">IF(AND(D74=1,F74-E74&gt;0),F74-E74,0)</f>
        <v>#NAME?</v>
      </c>
      <c r="K74" s="10" t="n">
        <f aca="false">($K$2*315000)/12</f>
        <v>1059139.94028644</v>
      </c>
      <c r="L74" s="10" t="n">
        <f aca="false">K74*'Revenues &amp; Expenses'!N75</f>
        <v>706354.690331676</v>
      </c>
      <c r="M74" s="10" t="n">
        <f aca="false">SUM(L74:$L$257)</f>
        <v>78321366.6739858</v>
      </c>
      <c r="O74" s="308" t="n">
        <f aca="false">HLOOKUP(C74,'Debt Amortization'!$H$5:$AB$9,5)</f>
        <v>107305092.020229</v>
      </c>
    </row>
    <row r="75" customFormat="false" ht="16.5" hidden="false" customHeight="false" outlineLevel="0" collapsed="false">
      <c r="A75" s="308" t="n">
        <f aca="false">A74+1</f>
        <v>65</v>
      </c>
      <c r="B75" s="308" t="n">
        <v>31</v>
      </c>
      <c r="C75" s="324" t="n">
        <v>38656</v>
      </c>
      <c r="D75" s="315" t="n">
        <f aca="false">D77</f>
        <v>1</v>
      </c>
      <c r="E75" s="308" t="e">
        <f aca="false">SUM('Revenues &amp; Expenses'!BJ76:$BJ$258)</f>
        <v>#NAME?</v>
      </c>
      <c r="F75" s="10" t="n">
        <f aca="false">M75</f>
        <v>77615011.9836541</v>
      </c>
      <c r="G75" s="308" t="e">
        <f aca="false">IF(AND(D75=1,E75-F75&gt;0),E75-F75,0)</f>
        <v>#NAME?</v>
      </c>
      <c r="H75" s="308" t="e">
        <f aca="false">IF(AND(D75=1,F75-E75&gt;0),F75-E75,0)</f>
        <v>#NAME?</v>
      </c>
      <c r="K75" s="10" t="n">
        <f aca="false">($K$2*315000)/12</f>
        <v>1059139.94028644</v>
      </c>
      <c r="L75" s="10" t="n">
        <f aca="false">K75*'Revenues &amp; Expenses'!N76</f>
        <v>702091.149011699</v>
      </c>
      <c r="M75" s="10" t="n">
        <f aca="false">SUM(L75:$L$257)</f>
        <v>77615011.9836541</v>
      </c>
      <c r="O75" s="308" t="n">
        <f aca="false">HLOOKUP(C75,'Debt Amortization'!$H$5:$AB$9,5)</f>
        <v>107305092.020229</v>
      </c>
    </row>
    <row r="76" customFormat="false" ht="16.5" hidden="false" customHeight="false" outlineLevel="0" collapsed="false">
      <c r="A76" s="308" t="n">
        <f aca="false">A75+1</f>
        <v>66</v>
      </c>
      <c r="B76" s="308" t="n">
        <v>30</v>
      </c>
      <c r="C76" s="324" t="n">
        <v>38686</v>
      </c>
      <c r="D76" s="315" t="n">
        <f aca="false">D77</f>
        <v>1</v>
      </c>
      <c r="E76" s="308" t="e">
        <f aca="false">SUM('Revenues &amp; Expenses'!BJ77:$BJ$258)</f>
        <v>#NAME?</v>
      </c>
      <c r="F76" s="10" t="n">
        <f aca="false">M76</f>
        <v>76912920.8346424</v>
      </c>
      <c r="G76" s="308" t="e">
        <f aca="false">IF(AND(D76=1,E76-F76&gt;0),E76-F76,0)</f>
        <v>#NAME?</v>
      </c>
      <c r="H76" s="308" t="e">
        <f aca="false">IF(AND(D76=1,F76-E76&gt;0),F76-E76,0)</f>
        <v>#NAME?</v>
      </c>
      <c r="K76" s="10" t="n">
        <f aca="false">($K$2*315000)/12</f>
        <v>1059139.94028644</v>
      </c>
      <c r="L76" s="10" t="n">
        <f aca="false">K76*'Revenues &amp; Expenses'!N77</f>
        <v>697709.799632154</v>
      </c>
      <c r="M76" s="10" t="n">
        <f aca="false">SUM(L76:$L$257)</f>
        <v>76912920.8346424</v>
      </c>
      <c r="O76" s="308" t="n">
        <f aca="false">HLOOKUP(C76,'Debt Amortization'!$H$5:$AB$9,5)</f>
        <v>107305092.020229</v>
      </c>
    </row>
    <row r="77" customFormat="false" ht="16.5" hidden="false" customHeight="false" outlineLevel="0" collapsed="false">
      <c r="A77" s="308" t="n">
        <f aca="false">A76+1</f>
        <v>67</v>
      </c>
      <c r="B77" s="308" t="n">
        <v>31</v>
      </c>
      <c r="C77" s="324" t="n">
        <v>38717</v>
      </c>
      <c r="D77" s="315" t="n">
        <f aca="false">'Deal Depiction'!J13</f>
        <v>1</v>
      </c>
      <c r="E77" s="308" t="e">
        <f aca="false">SUM('Revenues &amp; Expenses'!BJ78:$BJ$258)</f>
        <v>#NAME?</v>
      </c>
      <c r="F77" s="10" t="n">
        <f aca="false">M77</f>
        <v>76215211.0350103</v>
      </c>
      <c r="G77" s="308" t="e">
        <f aca="false">IF(AND(D77=1,E77-F77&gt;0),E77-F77,0)</f>
        <v>#NAME?</v>
      </c>
      <c r="H77" s="308" t="e">
        <f aca="false">IF(AND(D77=1,F77-E77&gt;0),F77-E77,0)</f>
        <v>#NAME?</v>
      </c>
      <c r="K77" s="10" t="n">
        <f aca="false">($K$2*315000)/12</f>
        <v>1059139.94028644</v>
      </c>
      <c r="L77" s="10" t="n">
        <f aca="false">K77*'Revenues &amp; Expenses'!N78</f>
        <v>693493.198571608</v>
      </c>
      <c r="M77" s="10" t="n">
        <f aca="false">SUM(L77:$L$257)</f>
        <v>76215211.0350103</v>
      </c>
      <c r="O77" s="308" t="n">
        <f aca="false">HLOOKUP(C77,'Debt Amortization'!$H$5:$AB$9,5)</f>
        <v>107305092.020229</v>
      </c>
    </row>
    <row r="78" customFormat="false" ht="16.5" hidden="false" customHeight="false" outlineLevel="0" collapsed="false">
      <c r="A78" s="308" t="n">
        <f aca="false">A77+1</f>
        <v>68</v>
      </c>
      <c r="B78" s="308" t="n">
        <v>31</v>
      </c>
      <c r="C78" s="324" t="n">
        <v>38748</v>
      </c>
      <c r="D78" s="315" t="n">
        <f aca="false">D89</f>
        <v>1</v>
      </c>
      <c r="E78" s="308" t="e">
        <f aca="false">SUM('Revenues &amp; Expenses'!BJ79:$BJ$258)</f>
        <v>#NAME?</v>
      </c>
      <c r="F78" s="10" t="n">
        <f aca="false">M78</f>
        <v>75521717.8364387</v>
      </c>
      <c r="G78" s="308" t="e">
        <f aca="false">IF(AND(D78=1,E78-F78&gt;0),E78-F78,0)</f>
        <v>#NAME?</v>
      </c>
      <c r="H78" s="308" t="e">
        <f aca="false">IF(AND(D78=1,F78-E78&gt;0),F78-E78,0)</f>
        <v>#NAME?</v>
      </c>
      <c r="K78" s="10" t="n">
        <f aca="false">($K$2*315000)/12</f>
        <v>1059139.94028644</v>
      </c>
      <c r="L78" s="10" t="n">
        <f aca="false">K78*'Revenues &amp; Expenses'!N79</f>
        <v>689160.123228444</v>
      </c>
      <c r="M78" s="10" t="n">
        <f aca="false">SUM(L78:$L$257)</f>
        <v>75521717.8364387</v>
      </c>
      <c r="O78" s="308" t="n">
        <f aca="false">HLOOKUP(C78,'Debt Amortization'!$H$5:$AB$9,5)</f>
        <v>103983695.939291</v>
      </c>
    </row>
    <row r="79" customFormat="false" ht="16.5" hidden="false" customHeight="false" outlineLevel="0" collapsed="false">
      <c r="A79" s="308" t="n">
        <f aca="false">A78+1</f>
        <v>69</v>
      </c>
      <c r="B79" s="308" t="n">
        <v>28</v>
      </c>
      <c r="C79" s="324" t="n">
        <v>38776</v>
      </c>
      <c r="D79" s="315" t="n">
        <f aca="false">D89</f>
        <v>1</v>
      </c>
      <c r="E79" s="308" t="e">
        <f aca="false">SUM('Revenues &amp; Expenses'!BJ80:$BJ$258)</f>
        <v>#NAME?</v>
      </c>
      <c r="F79" s="10" t="n">
        <f aca="false">M79</f>
        <v>74832557.7132102</v>
      </c>
      <c r="G79" s="308" t="e">
        <f aca="false">IF(AND(D79=1,E79-F79&gt;0),E79-F79,0)</f>
        <v>#NAME?</v>
      </c>
      <c r="H79" s="308" t="e">
        <f aca="false">IF(AND(D79=1,F79-E79&gt;0),F79-E79,0)</f>
        <v>#NAME?</v>
      </c>
      <c r="K79" s="10" t="n">
        <f aca="false">($K$2*315000)/12</f>
        <v>1059139.94028644</v>
      </c>
      <c r="L79" s="10" t="n">
        <f aca="false">K79*'Revenues &amp; Expenses'!N80</f>
        <v>684851.40439056</v>
      </c>
      <c r="M79" s="10" t="n">
        <f aca="false">SUM(L79:$L$257)</f>
        <v>74832557.7132102</v>
      </c>
      <c r="O79" s="308" t="n">
        <f aca="false">HLOOKUP(C79,'Debt Amortization'!$H$5:$AB$9,5)</f>
        <v>103983695.939291</v>
      </c>
    </row>
    <row r="80" customFormat="false" ht="16.5" hidden="false" customHeight="false" outlineLevel="0" collapsed="false">
      <c r="A80" s="308" t="n">
        <f aca="false">A79+1</f>
        <v>70</v>
      </c>
      <c r="B80" s="308" t="n">
        <v>31</v>
      </c>
      <c r="C80" s="324" t="n">
        <v>38807</v>
      </c>
      <c r="D80" s="315" t="n">
        <f aca="false">D89</f>
        <v>1</v>
      </c>
      <c r="E80" s="308" t="e">
        <f aca="false">SUM('Revenues &amp; Expenses'!BJ81:$BJ$258)</f>
        <v>#NAME?</v>
      </c>
      <c r="F80" s="10" t="n">
        <f aca="false">M80</f>
        <v>74147706.3088197</v>
      </c>
      <c r="G80" s="308" t="e">
        <f aca="false">IF(AND(D80=1,E80-F80&gt;0),E80-F80,0)</f>
        <v>#NAME?</v>
      </c>
      <c r="H80" s="308" t="e">
        <f aca="false">IF(AND(D80=1,F80-E80&gt;0),F80-E80,0)</f>
        <v>#NAME?</v>
      </c>
      <c r="K80" s="10" t="n">
        <f aca="false">($K$2*315000)/12</f>
        <v>1059139.94028644</v>
      </c>
      <c r="L80" s="10" t="n">
        <f aca="false">K80*'Revenues &amp; Expenses'!N81</f>
        <v>680980.494995943</v>
      </c>
      <c r="M80" s="10" t="n">
        <f aca="false">SUM(L80:$L$257)</f>
        <v>74147706.3088197</v>
      </c>
      <c r="O80" s="308" t="n">
        <f aca="false">HLOOKUP(C80,'Debt Amortization'!$H$5:$AB$9,5)</f>
        <v>103983695.939291</v>
      </c>
    </row>
    <row r="81" customFormat="false" ht="16.5" hidden="false" customHeight="false" outlineLevel="0" collapsed="false">
      <c r="A81" s="308" t="n">
        <f aca="false">A80+1</f>
        <v>71</v>
      </c>
      <c r="B81" s="308" t="n">
        <v>30</v>
      </c>
      <c r="C81" s="324" t="n">
        <v>38837</v>
      </c>
      <c r="D81" s="315" t="n">
        <f aca="false">D89</f>
        <v>1</v>
      </c>
      <c r="E81" s="308" t="e">
        <f aca="false">SUM('Revenues &amp; Expenses'!BJ82:$BJ$258)</f>
        <v>#NAME?</v>
      </c>
      <c r="F81" s="10" t="n">
        <f aca="false">M81</f>
        <v>73466725.8138237</v>
      </c>
      <c r="G81" s="308" t="e">
        <f aca="false">IF(AND(D81=1,E81-F81&gt;0),E81-F81,0)</f>
        <v>#NAME?</v>
      </c>
      <c r="H81" s="308" t="e">
        <f aca="false">IF(AND(D81=1,F81-E81&gt;0),F81-E81,0)</f>
        <v>#NAME?</v>
      </c>
      <c r="K81" s="10" t="n">
        <f aca="false">($K$2*315000)/12</f>
        <v>1059139.94028644</v>
      </c>
      <c r="L81" s="10" t="n">
        <f aca="false">K81*'Revenues &amp; Expenses'!N82</f>
        <v>676717.806050875</v>
      </c>
      <c r="M81" s="10" t="n">
        <f aca="false">SUM(L81:$L$257)</f>
        <v>73466725.8138237</v>
      </c>
      <c r="O81" s="308" t="n">
        <f aca="false">HLOOKUP(C81,'Debt Amortization'!$H$5:$AB$9,5)</f>
        <v>103983695.939291</v>
      </c>
    </row>
    <row r="82" customFormat="false" ht="16.5" hidden="false" customHeight="false" outlineLevel="0" collapsed="false">
      <c r="A82" s="308" t="n">
        <f aca="false">A81+1</f>
        <v>72</v>
      </c>
      <c r="B82" s="308" t="n">
        <v>31</v>
      </c>
      <c r="C82" s="324" t="n">
        <v>38868</v>
      </c>
      <c r="D82" s="315" t="n">
        <f aca="false">D89</f>
        <v>1</v>
      </c>
      <c r="E82" s="308" t="e">
        <f aca="false">SUM('Revenues &amp; Expenses'!BJ83:$BJ$258)</f>
        <v>#NAME?</v>
      </c>
      <c r="F82" s="10" t="n">
        <f aca="false">M82</f>
        <v>72790008.0077728</v>
      </c>
      <c r="G82" s="308" t="e">
        <f aca="false">IF(AND(D82=1,E82-F82&gt;0),E82-F82,0)</f>
        <v>#NAME?</v>
      </c>
      <c r="H82" s="308" t="e">
        <f aca="false">IF(AND(D82=1,F82-E82&gt;0),F82-E82,0)</f>
        <v>#NAME?</v>
      </c>
      <c r="K82" s="10" t="n">
        <f aca="false">($K$2*315000)/12</f>
        <v>1059139.94028644</v>
      </c>
      <c r="L82" s="10" t="n">
        <f aca="false">K82*'Revenues &amp; Expenses'!N83</f>
        <v>672615.48962966</v>
      </c>
      <c r="M82" s="10" t="n">
        <f aca="false">SUM(L82:$L$257)</f>
        <v>72790008.0077728</v>
      </c>
      <c r="O82" s="308" t="n">
        <f aca="false">HLOOKUP(C82,'Debt Amortization'!$H$5:$AB$9,5)</f>
        <v>103983695.939291</v>
      </c>
    </row>
    <row r="83" customFormat="false" ht="16.5" hidden="false" customHeight="false" outlineLevel="0" collapsed="false">
      <c r="A83" s="308" t="n">
        <f aca="false">A82+1</f>
        <v>73</v>
      </c>
      <c r="B83" s="308" t="n">
        <v>30</v>
      </c>
      <c r="C83" s="324" t="n">
        <v>38898</v>
      </c>
      <c r="D83" s="315" t="n">
        <f aca="false">D89</f>
        <v>1</v>
      </c>
      <c r="E83" s="308" t="e">
        <f aca="false">SUM('Revenues &amp; Expenses'!BJ84:$BJ$258)</f>
        <v>#NAME?</v>
      </c>
      <c r="F83" s="10" t="n">
        <f aca="false">M83</f>
        <v>72117392.5181432</v>
      </c>
      <c r="G83" s="308" t="e">
        <f aca="false">IF(AND(D83=1,E83-F83&gt;0),E83-F83,0)</f>
        <v>#NAME?</v>
      </c>
      <c r="H83" s="308" t="e">
        <f aca="false">IF(AND(D83=1,F83-E83&gt;0),F83-E83,0)</f>
        <v>#NAME?</v>
      </c>
      <c r="K83" s="10" t="n">
        <f aca="false">($K$2*315000)/12</f>
        <v>1059139.94028644</v>
      </c>
      <c r="L83" s="10" t="n">
        <f aca="false">K83*'Revenues &amp; Expenses'!N84</f>
        <v>668399.944242117</v>
      </c>
      <c r="M83" s="10" t="n">
        <f aca="false">SUM(L83:$L$257)</f>
        <v>72117392.5181432</v>
      </c>
      <c r="O83" s="308" t="n">
        <f aca="false">HLOOKUP(C83,'Debt Amortization'!$H$5:$AB$9,5)</f>
        <v>103983695.939291</v>
      </c>
    </row>
    <row r="84" customFormat="false" ht="16.5" hidden="false" customHeight="false" outlineLevel="0" collapsed="false">
      <c r="A84" s="308" t="n">
        <f aca="false">A83+1</f>
        <v>74</v>
      </c>
      <c r="B84" s="308" t="n">
        <v>31</v>
      </c>
      <c r="C84" s="324" t="n">
        <v>38929</v>
      </c>
      <c r="D84" s="315" t="n">
        <f aca="false">D89</f>
        <v>1</v>
      </c>
      <c r="E84" s="308" t="e">
        <f aca="false">SUM('Revenues &amp; Expenses'!BJ85:$BJ$258)</f>
        <v>#NAME?</v>
      </c>
      <c r="F84" s="10" t="n">
        <f aca="false">M84</f>
        <v>71448992.5739011</v>
      </c>
      <c r="G84" s="308" t="e">
        <f aca="false">IF(AND(D84=1,E84-F84&gt;0),E84-F84,0)</f>
        <v>#NAME?</v>
      </c>
      <c r="H84" s="308" t="e">
        <f aca="false">IF(AND(D84=1,F84-E84&gt;0),F84-E84,0)</f>
        <v>#NAME?</v>
      </c>
      <c r="K84" s="10" t="n">
        <f aca="false">($K$2*315000)/12</f>
        <v>1059139.94028644</v>
      </c>
      <c r="L84" s="10" t="n">
        <f aca="false">K84*'Revenues &amp; Expenses'!N85</f>
        <v>664343.032104979</v>
      </c>
      <c r="M84" s="10" t="n">
        <f aca="false">SUM(L84:$L$257)</f>
        <v>71448992.5739011</v>
      </c>
      <c r="O84" s="308" t="n">
        <f aca="false">HLOOKUP(C84,'Debt Amortization'!$H$5:$AB$9,5)</f>
        <v>103983695.939291</v>
      </c>
    </row>
    <row r="85" customFormat="false" ht="16.5" hidden="false" customHeight="false" outlineLevel="0" collapsed="false">
      <c r="A85" s="308" t="n">
        <f aca="false">A84+1</f>
        <v>75</v>
      </c>
      <c r="B85" s="308" t="n">
        <v>31</v>
      </c>
      <c r="C85" s="324" t="n">
        <v>38960</v>
      </c>
      <c r="D85" s="315" t="n">
        <f aca="false">D89</f>
        <v>1</v>
      </c>
      <c r="E85" s="308" t="e">
        <f aca="false">SUM('Revenues &amp; Expenses'!BJ86:$BJ$258)</f>
        <v>#NAME?</v>
      </c>
      <c r="F85" s="10" t="n">
        <f aca="false">M85</f>
        <v>70784649.5417961</v>
      </c>
      <c r="G85" s="308" t="e">
        <f aca="false">IF(AND(D85=1,E85-F85&gt;0),E85-F85,0)</f>
        <v>#NAME?</v>
      </c>
      <c r="H85" s="308" t="e">
        <f aca="false">IF(AND(D85=1,F85-E85&gt;0),F85-E85,0)</f>
        <v>#NAME?</v>
      </c>
      <c r="K85" s="10" t="n">
        <f aca="false">($K$2*315000)/12</f>
        <v>1059139.94028644</v>
      </c>
      <c r="L85" s="10" t="n">
        <f aca="false">K85*'Revenues &amp; Expenses'!N86</f>
        <v>660174.179536817</v>
      </c>
      <c r="M85" s="10" t="n">
        <f aca="false">SUM(L85:$L$257)</f>
        <v>70784649.5417961</v>
      </c>
      <c r="O85" s="308" t="n">
        <f aca="false">HLOOKUP(C85,'Debt Amortization'!$H$5:$AB$9,5)</f>
        <v>103983695.939291</v>
      </c>
    </row>
    <row r="86" customFormat="false" ht="16.5" hidden="false" customHeight="false" outlineLevel="0" collapsed="false">
      <c r="A86" s="308" t="n">
        <f aca="false">A85+1</f>
        <v>76</v>
      </c>
      <c r="B86" s="308" t="n">
        <v>30</v>
      </c>
      <c r="C86" s="324" t="n">
        <v>38990</v>
      </c>
      <c r="D86" s="315" t="n">
        <f aca="false">D89</f>
        <v>1</v>
      </c>
      <c r="E86" s="308" t="e">
        <f aca="false">SUM('Revenues &amp; Expenses'!BJ87:$BJ$258)</f>
        <v>#NAME?</v>
      </c>
      <c r="F86" s="10" t="n">
        <f aca="false">M86</f>
        <v>70124475.3622593</v>
      </c>
      <c r="G86" s="308" t="e">
        <f aca="false">IF(AND(D86=1,E86-F86&gt;0),E86-F86,0)</f>
        <v>#NAME?</v>
      </c>
      <c r="H86" s="308" t="e">
        <f aca="false">IF(AND(D86=1,F86-E86&gt;0),F86-E86,0)</f>
        <v>#NAME?</v>
      </c>
      <c r="K86" s="10" t="n">
        <f aca="false">($K$2*315000)/12</f>
        <v>1059139.94028644</v>
      </c>
      <c r="L86" s="10" t="n">
        <f aca="false">K86*'Revenues &amp; Expenses'!N87</f>
        <v>656028.884459826</v>
      </c>
      <c r="M86" s="10" t="n">
        <f aca="false">SUM(L86:$L$257)</f>
        <v>70124475.3622593</v>
      </c>
      <c r="O86" s="308" t="n">
        <f aca="false">HLOOKUP(C86,'Debt Amortization'!$H$5:$AB$9,5)</f>
        <v>103983695.939291</v>
      </c>
    </row>
    <row r="87" customFormat="false" ht="16.5" hidden="false" customHeight="false" outlineLevel="0" collapsed="false">
      <c r="A87" s="308" t="n">
        <f aca="false">A86+1</f>
        <v>77</v>
      </c>
      <c r="B87" s="308" t="n">
        <v>31</v>
      </c>
      <c r="C87" s="324" t="n">
        <v>39021</v>
      </c>
      <c r="D87" s="315" t="n">
        <f aca="false">D89</f>
        <v>1</v>
      </c>
      <c r="E87" s="308" t="e">
        <f aca="false">SUM('Revenues &amp; Expenses'!BJ88:$BJ$258)</f>
        <v>#NAME?</v>
      </c>
      <c r="F87" s="10" t="n">
        <f aca="false">M87</f>
        <v>69468446.4777995</v>
      </c>
      <c r="G87" s="308" t="e">
        <f aca="false">IF(AND(D87=1,E87-F87&gt;0),E87-F87,0)</f>
        <v>#NAME?</v>
      </c>
      <c r="H87" s="308" t="e">
        <f aca="false">IF(AND(D87=1,F87-E87&gt;0),F87-E87,0)</f>
        <v>#NAME?</v>
      </c>
      <c r="K87" s="10" t="n">
        <f aca="false">($K$2*315000)/12</f>
        <v>1059139.94028644</v>
      </c>
      <c r="L87" s="10" t="n">
        <f aca="false">K87*'Revenues &amp; Expenses'!N88</f>
        <v>652039.630045679</v>
      </c>
      <c r="M87" s="10" t="n">
        <f aca="false">SUM(L87:$L$257)</f>
        <v>69468446.4777995</v>
      </c>
      <c r="O87" s="308" t="n">
        <f aca="false">HLOOKUP(C87,'Debt Amortization'!$H$5:$AB$9,5)</f>
        <v>103983695.939291</v>
      </c>
    </row>
    <row r="88" customFormat="false" ht="16.5" hidden="false" customHeight="false" outlineLevel="0" collapsed="false">
      <c r="A88" s="308" t="n">
        <f aca="false">A87+1</f>
        <v>78</v>
      </c>
      <c r="B88" s="308" t="n">
        <v>30</v>
      </c>
      <c r="C88" s="324" t="n">
        <v>39051</v>
      </c>
      <c r="D88" s="315" t="n">
        <f aca="false">D89</f>
        <v>1</v>
      </c>
      <c r="E88" s="308" t="e">
        <f aca="false">SUM('Revenues &amp; Expenses'!BJ89:$BJ$258)</f>
        <v>#NAME?</v>
      </c>
      <c r="F88" s="10" t="n">
        <f aca="false">M88</f>
        <v>68816406.8477538</v>
      </c>
      <c r="G88" s="308" t="e">
        <f aca="false">IF(AND(D88=1,E88-F88&gt;0),E88-F88,0)</f>
        <v>#NAME?</v>
      </c>
      <c r="H88" s="308" t="e">
        <f aca="false">IF(AND(D88=1,F88-E88&gt;0),F88-E88,0)</f>
        <v>#NAME?</v>
      </c>
      <c r="K88" s="10" t="n">
        <f aca="false">($K$2*315000)/12</f>
        <v>1059139.94028644</v>
      </c>
      <c r="L88" s="10" t="n">
        <f aca="false">K88*'Revenues &amp; Expenses'!N89</f>
        <v>647940.354412705</v>
      </c>
      <c r="M88" s="10" t="n">
        <f aca="false">SUM(L88:$L$257)</f>
        <v>68816406.8477538</v>
      </c>
      <c r="O88" s="308" t="n">
        <f aca="false">HLOOKUP(C88,'Debt Amortization'!$H$5:$AB$9,5)</f>
        <v>103983695.939291</v>
      </c>
    </row>
    <row r="89" customFormat="false" ht="16.5" hidden="false" customHeight="false" outlineLevel="0" collapsed="false">
      <c r="A89" s="308" t="n">
        <f aca="false">A88+1</f>
        <v>79</v>
      </c>
      <c r="B89" s="308" t="n">
        <v>31</v>
      </c>
      <c r="C89" s="324" t="n">
        <v>39082</v>
      </c>
      <c r="D89" s="315" t="n">
        <f aca="false">'Deal Depiction'!J14</f>
        <v>1</v>
      </c>
      <c r="E89" s="308" t="e">
        <f aca="false">SUM('Revenues &amp; Expenses'!BJ90:$BJ$258)</f>
        <v>#NAME?</v>
      </c>
      <c r="F89" s="10" t="n">
        <f aca="false">M89</f>
        <v>68168466.4933411</v>
      </c>
      <c r="G89" s="308" t="e">
        <f aca="false">IF(AND(D89=1,E89-F89&gt;0),E89-F89,0)</f>
        <v>#NAME?</v>
      </c>
      <c r="H89" s="308" t="e">
        <f aca="false">IF(AND(D89=1,F89-E89&gt;0),F89-E89,0)</f>
        <v>#NAME?</v>
      </c>
      <c r="K89" s="10" t="n">
        <f aca="false">($K$2*315000)/12</f>
        <v>1059139.94028644</v>
      </c>
      <c r="L89" s="10" t="n">
        <f aca="false">K89*'Revenues &amp; Expenses'!N90</f>
        <v>643995.42054858</v>
      </c>
      <c r="M89" s="10" t="n">
        <f aca="false">SUM(L89:$L$257)</f>
        <v>68168466.4933411</v>
      </c>
      <c r="O89" s="308" t="n">
        <f aca="false">HLOOKUP(C89,'Debt Amortization'!$H$5:$AB$9,5)</f>
        <v>103983695.939291</v>
      </c>
    </row>
    <row r="90" customFormat="false" ht="16.5" hidden="false" customHeight="false" outlineLevel="0" collapsed="false">
      <c r="A90" s="308" t="n">
        <f aca="false">A89+1</f>
        <v>80</v>
      </c>
      <c r="B90" s="308" t="n">
        <v>31</v>
      </c>
      <c r="C90" s="324" t="n">
        <v>39113</v>
      </c>
      <c r="D90" s="315" t="n">
        <f aca="false">D101</f>
        <v>1</v>
      </c>
      <c r="E90" s="308" t="e">
        <f aca="false">SUM('Revenues &amp; Expenses'!BJ91:$BJ$258)</f>
        <v>#NAME?</v>
      </c>
      <c r="F90" s="10" t="n">
        <f aca="false">M90</f>
        <v>67524471.0727925</v>
      </c>
      <c r="G90" s="308" t="e">
        <f aca="false">IF(AND(D90=1,E90-F90&gt;0),E90-F90,0)</f>
        <v>#NAME?</v>
      </c>
      <c r="H90" s="308" t="e">
        <f aca="false">IF(AND(D90=1,F90-E90&gt;0),F90-E90,0)</f>
        <v>#NAME?</v>
      </c>
      <c r="K90" s="10" t="n">
        <f aca="false">($K$2*315000)/12</f>
        <v>1059139.94028644</v>
      </c>
      <c r="L90" s="10" t="n">
        <f aca="false">K90*'Revenues &amp; Expenses'!N91</f>
        <v>639941.722122347</v>
      </c>
      <c r="M90" s="10" t="n">
        <f aca="false">SUM(L90:$L$257)</f>
        <v>67524471.0727925</v>
      </c>
      <c r="O90" s="308" t="n">
        <f aca="false">HLOOKUP(C90,'Debt Amortization'!$H$5:$AB$9,5)</f>
        <v>100371705.941062</v>
      </c>
    </row>
    <row r="91" customFormat="false" ht="16.5" hidden="false" customHeight="false" outlineLevel="0" collapsed="false">
      <c r="A91" s="308" t="n">
        <f aca="false">A90+1</f>
        <v>81</v>
      </c>
      <c r="B91" s="308" t="n">
        <v>28</v>
      </c>
      <c r="C91" s="324" t="n">
        <v>39141</v>
      </c>
      <c r="D91" s="315" t="n">
        <f aca="false">D101</f>
        <v>1</v>
      </c>
      <c r="E91" s="308" t="e">
        <f aca="false">SUM('Revenues &amp; Expenses'!BJ92:$BJ$258)</f>
        <v>#NAME?</v>
      </c>
      <c r="F91" s="10" t="n">
        <f aca="false">M91</f>
        <v>66884529.3506701</v>
      </c>
      <c r="G91" s="308" t="e">
        <f aca="false">IF(AND(D91=1,E91-F91&gt;0),E91-F91,0)</f>
        <v>#NAME?</v>
      </c>
      <c r="H91" s="308" t="e">
        <f aca="false">IF(AND(D91=1,F91-E91&gt;0),F91-E91,0)</f>
        <v>#NAME?</v>
      </c>
      <c r="K91" s="10" t="n">
        <f aca="false">($K$2*315000)/12</f>
        <v>1059139.94028644</v>
      </c>
      <c r="L91" s="10" t="n">
        <f aca="false">K91*'Revenues &amp; Expenses'!N92</f>
        <v>635911.017482792</v>
      </c>
      <c r="M91" s="10" t="n">
        <f aca="false">SUM(L91:$L$257)</f>
        <v>66884529.3506701</v>
      </c>
      <c r="O91" s="308" t="n">
        <f aca="false">HLOOKUP(C91,'Debt Amortization'!$H$5:$AB$9,5)</f>
        <v>100371705.941062</v>
      </c>
    </row>
    <row r="92" customFormat="false" ht="16.5" hidden="false" customHeight="false" outlineLevel="0" collapsed="false">
      <c r="A92" s="308" t="n">
        <f aca="false">A91+1</f>
        <v>82</v>
      </c>
      <c r="B92" s="308" t="n">
        <v>31</v>
      </c>
      <c r="C92" s="324" t="n">
        <v>39172</v>
      </c>
      <c r="D92" s="315" t="n">
        <f aca="false">D101</f>
        <v>1</v>
      </c>
      <c r="E92" s="308" t="e">
        <f aca="false">SUM('Revenues &amp; Expenses'!BJ93:$BJ$258)</f>
        <v>#NAME?</v>
      </c>
      <c r="F92" s="10" t="n">
        <f aca="false">M92</f>
        <v>66248618.3331873</v>
      </c>
      <c r="G92" s="308" t="e">
        <f aca="false">IF(AND(D92=1,E92-F92&gt;0),E92-F92,0)</f>
        <v>#NAME?</v>
      </c>
      <c r="H92" s="308" t="e">
        <f aca="false">IF(AND(D92=1,F92-E92&gt;0),F92-E92,0)</f>
        <v>#NAME?</v>
      </c>
      <c r="K92" s="10" t="n">
        <f aca="false">($K$2*315000)/12</f>
        <v>1059139.94028644</v>
      </c>
      <c r="L92" s="10" t="n">
        <f aca="false">K92*'Revenues &amp; Expenses'!N93</f>
        <v>632290.050761771</v>
      </c>
      <c r="M92" s="10" t="n">
        <f aca="false">SUM(L92:$L$257)</f>
        <v>66248618.3331873</v>
      </c>
      <c r="O92" s="308" t="n">
        <f aca="false">HLOOKUP(C92,'Debt Amortization'!$H$5:$AB$9,5)</f>
        <v>100371705.941062</v>
      </c>
    </row>
    <row r="93" customFormat="false" ht="16.5" hidden="false" customHeight="false" outlineLevel="0" collapsed="false">
      <c r="A93" s="308" t="n">
        <f aca="false">A92+1</f>
        <v>83</v>
      </c>
      <c r="B93" s="308" t="n">
        <v>30</v>
      </c>
      <c r="C93" s="324" t="n">
        <v>39202</v>
      </c>
      <c r="D93" s="315" t="n">
        <f aca="false">D101</f>
        <v>1</v>
      </c>
      <c r="E93" s="308" t="e">
        <f aca="false">SUM('Revenues &amp; Expenses'!BJ94:$BJ$258)</f>
        <v>#NAME?</v>
      </c>
      <c r="F93" s="10" t="n">
        <f aca="false">M93</f>
        <v>65616328.2824256</v>
      </c>
      <c r="G93" s="308" t="e">
        <f aca="false">IF(AND(D93=1,E93-F93&gt;0),E93-F93,0)</f>
        <v>#NAME?</v>
      </c>
      <c r="H93" s="308" t="e">
        <f aca="false">IF(AND(D93=1,F93-E93&gt;0),F93-E93,0)</f>
        <v>#NAME?</v>
      </c>
      <c r="K93" s="10" t="n">
        <f aca="false">($K$2*315000)/12</f>
        <v>1059139.94028644</v>
      </c>
      <c r="L93" s="10" t="n">
        <f aca="false">K93*'Revenues &amp; Expenses'!N94</f>
        <v>628336.663220244</v>
      </c>
      <c r="M93" s="10" t="n">
        <f aca="false">SUM(L93:$L$257)</f>
        <v>65616328.2824256</v>
      </c>
      <c r="O93" s="308" t="n">
        <f aca="false">HLOOKUP(C93,'Debt Amortization'!$H$5:$AB$9,5)</f>
        <v>100371705.941062</v>
      </c>
    </row>
    <row r="94" customFormat="false" ht="16.5" hidden="false" customHeight="false" outlineLevel="0" collapsed="false">
      <c r="A94" s="308" t="n">
        <f aca="false">A93+1</f>
        <v>84</v>
      </c>
      <c r="B94" s="308" t="n">
        <v>31</v>
      </c>
      <c r="C94" s="324" t="n">
        <v>39233</v>
      </c>
      <c r="D94" s="315" t="n">
        <f aca="false">D101</f>
        <v>1</v>
      </c>
      <c r="E94" s="308" t="e">
        <f aca="false">SUM('Revenues &amp; Expenses'!BJ95:$BJ$258)</f>
        <v>#NAME?</v>
      </c>
      <c r="F94" s="10" t="n">
        <f aca="false">M94</f>
        <v>64987991.6192053</v>
      </c>
      <c r="G94" s="308" t="e">
        <f aca="false">IF(AND(D94=1,E94-F94&gt;0),E94-F94,0)</f>
        <v>#NAME?</v>
      </c>
      <c r="H94" s="308" t="e">
        <f aca="false">IF(AND(D94=1,F94-E94&gt;0),F94-E94,0)</f>
        <v>#NAME?</v>
      </c>
      <c r="K94" s="10" t="n">
        <f aca="false">($K$2*315000)/12</f>
        <v>1059139.94028644</v>
      </c>
      <c r="L94" s="10" t="n">
        <f aca="false">K94*'Revenues &amp; Expenses'!N95</f>
        <v>624539.074107619</v>
      </c>
      <c r="M94" s="10" t="n">
        <f aca="false">SUM(L94:$L$257)</f>
        <v>64987991.6192053</v>
      </c>
      <c r="O94" s="308" t="n">
        <f aca="false">HLOOKUP(C94,'Debt Amortization'!$H$5:$AB$9,5)</f>
        <v>100371705.941062</v>
      </c>
    </row>
    <row r="95" customFormat="false" ht="16.5" hidden="false" customHeight="false" outlineLevel="0" collapsed="false">
      <c r="A95" s="308" t="n">
        <f aca="false">A94+1</f>
        <v>85</v>
      </c>
      <c r="B95" s="308" t="n">
        <v>30</v>
      </c>
      <c r="C95" s="324" t="n">
        <v>39263</v>
      </c>
      <c r="D95" s="315" t="n">
        <f aca="false">D101</f>
        <v>1</v>
      </c>
      <c r="E95" s="308" t="e">
        <f aca="false">SUM('Revenues &amp; Expenses'!BJ96:$BJ$258)</f>
        <v>#NAME?</v>
      </c>
      <c r="F95" s="10" t="n">
        <f aca="false">M95</f>
        <v>64363452.5450977</v>
      </c>
      <c r="G95" s="308" t="e">
        <f aca="false">IF(AND(D95=1,E95-F95&gt;0),E95-F95,0)</f>
        <v>#NAME?</v>
      </c>
      <c r="H95" s="308" t="e">
        <f aca="false">IF(AND(D95=1,F95-E95&gt;0),F95-E95,0)</f>
        <v>#NAME?</v>
      </c>
      <c r="K95" s="10" t="n">
        <f aca="false">($K$2*315000)/12</f>
        <v>1059139.94028644</v>
      </c>
      <c r="L95" s="10" t="n">
        <f aca="false">K95*'Revenues &amp; Expenses'!N96</f>
        <v>620637.512428807</v>
      </c>
      <c r="M95" s="10" t="n">
        <f aca="false">SUM(L95:$L$257)</f>
        <v>64363452.5450977</v>
      </c>
      <c r="O95" s="308" t="n">
        <f aca="false">HLOOKUP(C95,'Debt Amortization'!$H$5:$AB$9,5)</f>
        <v>100371705.941062</v>
      </c>
    </row>
    <row r="96" customFormat="false" ht="16.5" hidden="false" customHeight="false" outlineLevel="0" collapsed="false">
      <c r="A96" s="308" t="n">
        <f aca="false">A95+1</f>
        <v>86</v>
      </c>
      <c r="B96" s="308" t="n">
        <v>31</v>
      </c>
      <c r="C96" s="324" t="n">
        <v>39294</v>
      </c>
      <c r="D96" s="315" t="n">
        <f aca="false">D101</f>
        <v>1</v>
      </c>
      <c r="E96" s="308" t="e">
        <f aca="false">SUM('Revenues &amp; Expenses'!BJ97:$BJ$258)</f>
        <v>#NAME?</v>
      </c>
      <c r="F96" s="10" t="n">
        <f aca="false">M96</f>
        <v>63742815.0326689</v>
      </c>
      <c r="G96" s="308" t="e">
        <f aca="false">IF(AND(D96=1,E96-F96&gt;0),E96-F96,0)</f>
        <v>#NAME?</v>
      </c>
      <c r="H96" s="308" t="e">
        <f aca="false">IF(AND(D96=1,F96-E96&gt;0),F96-E96,0)</f>
        <v>#NAME?</v>
      </c>
      <c r="K96" s="10" t="n">
        <f aca="false">($K$2*315000)/12</f>
        <v>1059139.94028644</v>
      </c>
      <c r="L96" s="10" t="n">
        <f aca="false">K96*'Revenues &amp; Expenses'!N97</f>
        <v>616883.575843466</v>
      </c>
      <c r="M96" s="10" t="n">
        <f aca="false">SUM(L96:$L$257)</f>
        <v>63742815.0326689</v>
      </c>
      <c r="O96" s="308" t="n">
        <f aca="false">HLOOKUP(C96,'Debt Amortization'!$H$5:$AB$9,5)</f>
        <v>100371705.941062</v>
      </c>
    </row>
    <row r="97" customFormat="false" ht="16.5" hidden="false" customHeight="false" outlineLevel="0" collapsed="false">
      <c r="A97" s="308" t="n">
        <f aca="false">A96+1</f>
        <v>87</v>
      </c>
      <c r="B97" s="308" t="n">
        <v>31</v>
      </c>
      <c r="C97" s="324" t="n">
        <v>39325</v>
      </c>
      <c r="D97" s="315" t="n">
        <f aca="false">D101</f>
        <v>1</v>
      </c>
      <c r="E97" s="308" t="e">
        <f aca="false">SUM('Revenues &amp; Expenses'!BJ98:$BJ$258)</f>
        <v>#NAME?</v>
      </c>
      <c r="F97" s="10" t="n">
        <f aca="false">M97</f>
        <v>63125931.4568254</v>
      </c>
      <c r="G97" s="308" t="e">
        <f aca="false">IF(AND(D97=1,E97-F97&gt;0),E97-F97,0)</f>
        <v>#NAME?</v>
      </c>
      <c r="H97" s="308" t="e">
        <f aca="false">IF(AND(D97=1,F97-E97&gt;0),F97-E97,0)</f>
        <v>#NAME?</v>
      </c>
      <c r="K97" s="10" t="n">
        <f aca="false">($K$2*315000)/12</f>
        <v>1059139.94028644</v>
      </c>
      <c r="L97" s="10" t="n">
        <f aca="false">K97*'Revenues &amp; Expenses'!N98</f>
        <v>613026.881315942</v>
      </c>
      <c r="M97" s="10" t="n">
        <f aca="false">SUM(L97:$L$257)</f>
        <v>63125931.4568254</v>
      </c>
      <c r="O97" s="308" t="n">
        <f aca="false">HLOOKUP(C97,'Debt Amortization'!$H$5:$AB$9,5)</f>
        <v>100371705.941062</v>
      </c>
    </row>
    <row r="98" customFormat="false" ht="16.5" hidden="false" customHeight="false" outlineLevel="0" collapsed="false">
      <c r="A98" s="308" t="n">
        <f aca="false">A97+1</f>
        <v>88</v>
      </c>
      <c r="B98" s="308" t="n">
        <v>30</v>
      </c>
      <c r="C98" s="324" t="n">
        <v>39355</v>
      </c>
      <c r="D98" s="315" t="n">
        <f aca="false">D101</f>
        <v>1</v>
      </c>
      <c r="E98" s="308" t="e">
        <f aca="false">SUM('Revenues &amp; Expenses'!BJ99:$BJ$258)</f>
        <v>#NAME?</v>
      </c>
      <c r="F98" s="10" t="n">
        <f aca="false">M98</f>
        <v>62512904.5755095</v>
      </c>
      <c r="G98" s="308" t="e">
        <f aca="false">IF(AND(D98=1,E98-F98&gt;0),E98-F98,0)</f>
        <v>#NAME?</v>
      </c>
      <c r="H98" s="308" t="e">
        <f aca="false">IF(AND(D98=1,F98-E98&gt;0),F98-E98,0)</f>
        <v>#NAME?</v>
      </c>
      <c r="K98" s="10" t="n">
        <f aca="false">($K$2*315000)/12</f>
        <v>1059139.94028644</v>
      </c>
      <c r="L98" s="10" t="n">
        <f aca="false">K98*'Revenues &amp; Expenses'!N99</f>
        <v>609192.804863257</v>
      </c>
      <c r="M98" s="10" t="n">
        <f aca="false">SUM(L98:$L$257)</f>
        <v>62512904.5755095</v>
      </c>
      <c r="O98" s="308" t="n">
        <f aca="false">HLOOKUP(C98,'Debt Amortization'!$H$5:$AB$9,5)</f>
        <v>100371705.941062</v>
      </c>
    </row>
    <row r="99" customFormat="false" ht="16.5" hidden="false" customHeight="false" outlineLevel="0" collapsed="false">
      <c r="A99" s="308" t="n">
        <f aca="false">A98+1</f>
        <v>89</v>
      </c>
      <c r="B99" s="308" t="n">
        <v>31</v>
      </c>
      <c r="C99" s="324" t="n">
        <v>39386</v>
      </c>
      <c r="D99" s="315" t="n">
        <f aca="false">D101</f>
        <v>1</v>
      </c>
      <c r="E99" s="308" t="e">
        <f aca="false">SUM('Revenues &amp; Expenses'!BJ100:$BJ$258)</f>
        <v>#NAME?</v>
      </c>
      <c r="F99" s="10" t="n">
        <f aca="false">M99</f>
        <v>61903711.7706462</v>
      </c>
      <c r="G99" s="308" t="e">
        <f aca="false">IF(AND(D99=1,E99-F99&gt;0),E99-F99,0)</f>
        <v>#NAME?</v>
      </c>
      <c r="H99" s="308" t="e">
        <f aca="false">IF(AND(D99=1,F99-E99&gt;0),F99-E99,0)</f>
        <v>#NAME?</v>
      </c>
      <c r="K99" s="10" t="n">
        <f aca="false">($K$2*315000)/12</f>
        <v>1059139.94028644</v>
      </c>
      <c r="L99" s="10" t="n">
        <f aca="false">K99*'Revenues &amp; Expenses'!N100</f>
        <v>605503.828137715</v>
      </c>
      <c r="M99" s="10" t="n">
        <f aca="false">SUM(L99:$L$257)</f>
        <v>61903711.7706462</v>
      </c>
      <c r="O99" s="308" t="n">
        <f aca="false">HLOOKUP(C99,'Debt Amortization'!$H$5:$AB$9,5)</f>
        <v>100371705.941062</v>
      </c>
    </row>
    <row r="100" customFormat="false" ht="16.5" hidden="false" customHeight="false" outlineLevel="0" collapsed="false">
      <c r="A100" s="308" t="n">
        <f aca="false">A99+1</f>
        <v>90</v>
      </c>
      <c r="B100" s="308" t="n">
        <v>30</v>
      </c>
      <c r="C100" s="324" t="n">
        <v>39416</v>
      </c>
      <c r="D100" s="315" t="n">
        <f aca="false">D101</f>
        <v>1</v>
      </c>
      <c r="E100" s="308" t="e">
        <f aca="false">SUM('Revenues &amp; Expenses'!BJ101:$BJ$258)</f>
        <v>#NAME?</v>
      </c>
      <c r="F100" s="10" t="n">
        <f aca="false">M100</f>
        <v>61298207.9425085</v>
      </c>
      <c r="G100" s="308" t="e">
        <f aca="false">IF(AND(D100=1,E100-F100&gt;0),E100-F100,0)</f>
        <v>#NAME?</v>
      </c>
      <c r="H100" s="308" t="e">
        <f aca="false">IF(AND(D100=1,F100-E100&gt;0),F100-E100,0)</f>
        <v>#NAME?</v>
      </c>
      <c r="K100" s="10" t="n">
        <f aca="false">($K$2*315000)/12</f>
        <v>1059139.94028644</v>
      </c>
      <c r="L100" s="10" t="n">
        <f aca="false">K100*'Revenues &amp; Expenses'!N101</f>
        <v>601713.900508275</v>
      </c>
      <c r="M100" s="10" t="n">
        <f aca="false">SUM(L100:$L$257)</f>
        <v>61298207.9425085</v>
      </c>
      <c r="O100" s="308" t="n">
        <f aca="false">HLOOKUP(C100,'Debt Amortization'!$H$5:$AB$9,5)</f>
        <v>100371705.941062</v>
      </c>
    </row>
    <row r="101" customFormat="false" ht="16.5" hidden="false" customHeight="false" outlineLevel="0" collapsed="false">
      <c r="A101" s="308" t="n">
        <f aca="false">A100+1</f>
        <v>91</v>
      </c>
      <c r="B101" s="308" t="n">
        <v>31</v>
      </c>
      <c r="C101" s="324" t="n">
        <v>39447</v>
      </c>
      <c r="D101" s="315" t="n">
        <f aca="false">'Deal Depiction'!J15</f>
        <v>1</v>
      </c>
      <c r="E101" s="308" t="e">
        <f aca="false">SUM('Revenues &amp; Expenses'!BJ102:$BJ$258)</f>
        <v>#NAME?</v>
      </c>
      <c r="F101" s="10" t="n">
        <f aca="false">M101</f>
        <v>60696494.0420002</v>
      </c>
      <c r="G101" s="308" t="e">
        <f aca="false">IF(AND(D101=1,E101-F101&gt;0),E101-F101,0)</f>
        <v>#NAME?</v>
      </c>
      <c r="H101" s="308" t="e">
        <f aca="false">IF(AND(D101=1,F101-E101&gt;0),F101-E101,0)</f>
        <v>#NAME?</v>
      </c>
      <c r="K101" s="10" t="n">
        <f aca="false">($K$2*315000)/12</f>
        <v>1059139.94028644</v>
      </c>
      <c r="L101" s="10" t="n">
        <f aca="false">K101*'Revenues &amp; Expenses'!N102</f>
        <v>598067.420219403</v>
      </c>
      <c r="M101" s="10" t="n">
        <f aca="false">SUM(L101:$L$257)</f>
        <v>60696494.0420002</v>
      </c>
      <c r="O101" s="308" t="n">
        <f aca="false">HLOOKUP(C101,'Debt Amortization'!$H$5:$AB$9,5)</f>
        <v>100371705.941062</v>
      </c>
    </row>
    <row r="102" customFormat="false" ht="16.5" hidden="false" customHeight="false" outlineLevel="0" collapsed="false">
      <c r="A102" s="308" t="n">
        <f aca="false">A101+1</f>
        <v>92</v>
      </c>
      <c r="B102" s="308" t="n">
        <v>31</v>
      </c>
      <c r="C102" s="324" t="n">
        <v>39478</v>
      </c>
      <c r="D102" s="315" t="n">
        <f aca="false">D113</f>
        <v>1</v>
      </c>
      <c r="E102" s="308" t="e">
        <f aca="false">SUM('Revenues &amp; Expenses'!BJ103:$BJ$258)</f>
        <v>#NAME?</v>
      </c>
      <c r="F102" s="10" t="n">
        <f aca="false">M102</f>
        <v>60098426.6217808</v>
      </c>
      <c r="G102" s="308" t="e">
        <f aca="false">IF(AND(D102=1,E102-F102&gt;0),E102-F102,0)</f>
        <v>#NAME?</v>
      </c>
      <c r="H102" s="308" t="e">
        <f aca="false">IF(AND(D102=1,F102-E102&gt;0),F102-E102,0)</f>
        <v>#NAME?</v>
      </c>
      <c r="K102" s="10" t="n">
        <f aca="false">($K$2*315000)/12</f>
        <v>1059139.94028644</v>
      </c>
      <c r="L102" s="10" t="n">
        <f aca="false">K102*'Revenues &amp; Expenses'!N103</f>
        <v>594321.170882204</v>
      </c>
      <c r="M102" s="10" t="n">
        <f aca="false">SUM(L102:$L$257)</f>
        <v>60098426.6217808</v>
      </c>
      <c r="O102" s="308" t="n">
        <f aca="false">HLOOKUP(C102,'Debt Amortization'!$H$5:$AB$9,5)</f>
        <v>96443697.5285201</v>
      </c>
    </row>
    <row r="103" customFormat="false" ht="16.5" hidden="false" customHeight="false" outlineLevel="0" collapsed="false">
      <c r="A103" s="308" t="n">
        <f aca="false">A102+1</f>
        <v>93</v>
      </c>
      <c r="B103" s="308" t="n">
        <v>29</v>
      </c>
      <c r="C103" s="324" t="n">
        <v>39507</v>
      </c>
      <c r="D103" s="315" t="n">
        <f aca="false">D113</f>
        <v>1</v>
      </c>
      <c r="E103" s="308" t="e">
        <f aca="false">SUM('Revenues &amp; Expenses'!BJ104:$BJ$258)</f>
        <v>#NAME?</v>
      </c>
      <c r="F103" s="10" t="n">
        <f aca="false">M103</f>
        <v>59504105.4508986</v>
      </c>
      <c r="G103" s="308" t="e">
        <f aca="false">IF(AND(D103=1,E103-F103&gt;0),E103-F103,0)</f>
        <v>#NAME?</v>
      </c>
      <c r="H103" s="308" t="e">
        <f aca="false">IF(AND(D103=1,F103-E103&gt;0),F103-E103,0)</f>
        <v>#NAME?</v>
      </c>
      <c r="K103" s="10" t="n">
        <f aca="false">($K$2*315000)/12</f>
        <v>1059139.94028644</v>
      </c>
      <c r="L103" s="10" t="n">
        <f aca="false">K103*'Revenues &amp; Expenses'!N104</f>
        <v>590596.939844743</v>
      </c>
      <c r="M103" s="10" t="n">
        <f aca="false">SUM(L103:$L$257)</f>
        <v>59504105.4508986</v>
      </c>
      <c r="O103" s="308" t="n">
        <f aca="false">HLOOKUP(C103,'Debt Amortization'!$H$5:$AB$9,5)</f>
        <v>96443697.5285201</v>
      </c>
    </row>
    <row r="104" customFormat="false" ht="16.5" hidden="false" customHeight="false" outlineLevel="0" collapsed="false">
      <c r="A104" s="308" t="n">
        <f aca="false">A103+1</f>
        <v>94</v>
      </c>
      <c r="B104" s="308" t="n">
        <v>31</v>
      </c>
      <c r="C104" s="324" t="n">
        <v>39538</v>
      </c>
      <c r="D104" s="315" t="n">
        <f aca="false">D113</f>
        <v>1</v>
      </c>
      <c r="E104" s="308" t="e">
        <f aca="false">SUM('Revenues &amp; Expenses'!BJ105:$BJ$258)</f>
        <v>#NAME?</v>
      </c>
      <c r="F104" s="10" t="n">
        <f aca="false">M104</f>
        <v>58913508.5110539</v>
      </c>
      <c r="G104" s="308" t="e">
        <f aca="false">IF(AND(D104=1,E104-F104&gt;0),E104-F104,0)</f>
        <v>#NAME?</v>
      </c>
      <c r="H104" s="308" t="e">
        <f aca="false">IF(AND(D104=1,F104-E104&gt;0),F104-E104,0)</f>
        <v>#NAME?</v>
      </c>
      <c r="K104" s="10" t="n">
        <f aca="false">($K$2*315000)/12</f>
        <v>1059139.94028644</v>
      </c>
      <c r="L104" s="10" t="n">
        <f aca="false">K104*'Revenues &amp; Expenses'!N105</f>
        <v>587132.809005366</v>
      </c>
      <c r="M104" s="10" t="n">
        <f aca="false">SUM(L104:$L$257)</f>
        <v>58913508.5110539</v>
      </c>
      <c r="O104" s="308" t="n">
        <f aca="false">HLOOKUP(C104,'Debt Amortization'!$H$5:$AB$9,5)</f>
        <v>96443697.5285201</v>
      </c>
    </row>
    <row r="105" customFormat="false" ht="16.5" hidden="false" customHeight="false" outlineLevel="0" collapsed="false">
      <c r="A105" s="308" t="n">
        <f aca="false">A104+1</f>
        <v>95</v>
      </c>
      <c r="B105" s="308" t="n">
        <v>30</v>
      </c>
      <c r="C105" s="324" t="n">
        <v>39568</v>
      </c>
      <c r="D105" s="315" t="n">
        <f aca="false">D113</f>
        <v>1</v>
      </c>
      <c r="E105" s="308" t="e">
        <f aca="false">SUM('Revenues &amp; Expenses'!BJ106:$BJ$258)</f>
        <v>#NAME?</v>
      </c>
      <c r="F105" s="10" t="n">
        <f aca="false">M105</f>
        <v>58326375.7020485</v>
      </c>
      <c r="G105" s="308" t="e">
        <f aca="false">IF(AND(D105=1,E105-F105&gt;0),E105-F105,0)</f>
        <v>#NAME?</v>
      </c>
      <c r="H105" s="308" t="e">
        <f aca="false">IF(AND(D105=1,F105-E105&gt;0),F105-E105,0)</f>
        <v>#NAME?</v>
      </c>
      <c r="K105" s="10" t="n">
        <f aca="false">($K$2*315000)/12</f>
        <v>1059139.94028644</v>
      </c>
      <c r="L105" s="10" t="n">
        <f aca="false">K105*'Revenues &amp; Expenses'!N106</f>
        <v>583450.854354224</v>
      </c>
      <c r="M105" s="10" t="n">
        <f aca="false">SUM(L105:$L$257)</f>
        <v>58326375.7020485</v>
      </c>
      <c r="O105" s="308" t="n">
        <f aca="false">HLOOKUP(C105,'Debt Amortization'!$H$5:$AB$9,5)</f>
        <v>96443697.5285201</v>
      </c>
    </row>
    <row r="106" customFormat="false" ht="16.5" hidden="false" customHeight="false" outlineLevel="0" collapsed="false">
      <c r="A106" s="308" t="n">
        <f aca="false">A105+1</f>
        <v>96</v>
      </c>
      <c r="B106" s="308" t="n">
        <v>31</v>
      </c>
      <c r="C106" s="324" t="n">
        <v>39599</v>
      </c>
      <c r="D106" s="315" t="n">
        <f aca="false">D113</f>
        <v>1</v>
      </c>
      <c r="E106" s="308" t="e">
        <f aca="false">SUM('Revenues &amp; Expenses'!BJ107:$BJ$258)</f>
        <v>#NAME?</v>
      </c>
      <c r="F106" s="10" t="n">
        <f aca="false">M106</f>
        <v>57742924.8476943</v>
      </c>
      <c r="G106" s="308" t="e">
        <f aca="false">IF(AND(D106=1,E106-F106&gt;0),E106-F106,0)</f>
        <v>#NAME?</v>
      </c>
      <c r="H106" s="308" t="e">
        <f aca="false">IF(AND(D106=1,F106-E106&gt;0),F106-E106,0)</f>
        <v>#NAME?</v>
      </c>
      <c r="K106" s="10" t="n">
        <f aca="false">($K$2*315000)/12</f>
        <v>1059139.94028644</v>
      </c>
      <c r="L106" s="10" t="n">
        <f aca="false">K106*'Revenues &amp; Expenses'!N107</f>
        <v>579908.304877713</v>
      </c>
      <c r="M106" s="10" t="n">
        <f aca="false">SUM(L106:$L$257)</f>
        <v>57742924.8476943</v>
      </c>
      <c r="O106" s="308" t="n">
        <f aca="false">HLOOKUP(C106,'Debt Amortization'!$H$5:$AB$9,5)</f>
        <v>96443697.5285201</v>
      </c>
    </row>
    <row r="107" customFormat="false" ht="16.5" hidden="false" customHeight="false" outlineLevel="0" collapsed="false">
      <c r="A107" s="308" t="n">
        <f aca="false">A106+1</f>
        <v>97</v>
      </c>
      <c r="B107" s="308" t="n">
        <v>30</v>
      </c>
      <c r="C107" s="324" t="n">
        <v>39629</v>
      </c>
      <c r="D107" s="315" t="n">
        <f aca="false">D113</f>
        <v>1</v>
      </c>
      <c r="E107" s="308" t="e">
        <f aca="false">SUM('Revenues &amp; Expenses'!BJ108:$BJ$258)</f>
        <v>#NAME?</v>
      </c>
      <c r="F107" s="10" t="n">
        <f aca="false">M107</f>
        <v>57163016.5428166</v>
      </c>
      <c r="G107" s="308" t="e">
        <f aca="false">IF(AND(D107=1,E107-F107&gt;0),E107-F107,0)</f>
        <v>#NAME?</v>
      </c>
      <c r="H107" s="308" t="e">
        <f aca="false">IF(AND(D107=1,F107-E107&gt;0),F107-E107,0)</f>
        <v>#NAME?</v>
      </c>
      <c r="K107" s="10" t="n">
        <f aca="false">($K$2*315000)/12</f>
        <v>1059139.94028644</v>
      </c>
      <c r="L107" s="10" t="n">
        <f aca="false">K107*'Revenues &amp; Expenses'!N108</f>
        <v>576268.875722522</v>
      </c>
      <c r="M107" s="10" t="n">
        <f aca="false">SUM(L107:$L$257)</f>
        <v>57163016.5428166</v>
      </c>
      <c r="O107" s="308" t="n">
        <f aca="false">HLOOKUP(C107,'Debt Amortization'!$H$5:$AB$9,5)</f>
        <v>96443697.5285201</v>
      </c>
    </row>
    <row r="108" customFormat="false" ht="16.5" hidden="false" customHeight="false" outlineLevel="0" collapsed="false">
      <c r="A108" s="308" t="n">
        <f aca="false">A107+1</f>
        <v>98</v>
      </c>
      <c r="B108" s="308" t="n">
        <v>31</v>
      </c>
      <c r="C108" s="324" t="n">
        <v>39660</v>
      </c>
      <c r="D108" s="315" t="n">
        <f aca="false">D113</f>
        <v>1</v>
      </c>
      <c r="E108" s="308" t="e">
        <f aca="false">SUM('Revenues &amp; Expenses'!BJ109:$BJ$258)</f>
        <v>#NAME?</v>
      </c>
      <c r="F108" s="10" t="n">
        <f aca="false">M108</f>
        <v>56586747.6670941</v>
      </c>
      <c r="G108" s="308" t="e">
        <f aca="false">IF(AND(D108=1,E108-F108&gt;0),E108-F108,0)</f>
        <v>#NAME?</v>
      </c>
      <c r="H108" s="308" t="e">
        <f aca="false">IF(AND(D108=1,F108-E108&gt;0),F108-E108,0)</f>
        <v>#NAME?</v>
      </c>
      <c r="K108" s="10" t="n">
        <f aca="false">($K$2*315000)/12</f>
        <v>1059139.94028644</v>
      </c>
      <c r="L108" s="10" t="n">
        <f aca="false">K108*'Revenues &amp; Expenses'!N109</f>
        <v>572767.259329839</v>
      </c>
      <c r="M108" s="10" t="n">
        <f aca="false">SUM(L108:$L$257)</f>
        <v>56586747.6670941</v>
      </c>
      <c r="O108" s="308" t="n">
        <f aca="false">HLOOKUP(C108,'Debt Amortization'!$H$5:$AB$9,5)</f>
        <v>96443697.5285201</v>
      </c>
    </row>
    <row r="109" customFormat="false" ht="16.5" hidden="false" customHeight="false" outlineLevel="0" collapsed="false">
      <c r="A109" s="308" t="n">
        <f aca="false">A108+1</f>
        <v>99</v>
      </c>
      <c r="B109" s="308" t="n">
        <v>31</v>
      </c>
      <c r="C109" s="324" t="n">
        <v>39691</v>
      </c>
      <c r="D109" s="315" t="n">
        <f aca="false">D113</f>
        <v>1</v>
      </c>
      <c r="E109" s="308" t="e">
        <f aca="false">SUM('Revenues &amp; Expenses'!BJ110:$BJ$258)</f>
        <v>#NAME?</v>
      </c>
      <c r="F109" s="10" t="n">
        <f aca="false">M109</f>
        <v>56013980.4077642</v>
      </c>
      <c r="G109" s="308" t="e">
        <f aca="false">IF(AND(D109=1,E109-F109&gt;0),E109-F109,0)</f>
        <v>#NAME?</v>
      </c>
      <c r="H109" s="308" t="e">
        <f aca="false">IF(AND(D109=1,F109-E109&gt;0),F109-E109,0)</f>
        <v>#NAME?</v>
      </c>
      <c r="K109" s="10" t="n">
        <f aca="false">($K$2*315000)/12</f>
        <v>1059139.94028644</v>
      </c>
      <c r="L109" s="10" t="n">
        <f aca="false">K109*'Revenues &amp; Expenses'!N110</f>
        <v>569169.900831624</v>
      </c>
      <c r="M109" s="10" t="n">
        <f aca="false">SUM(L109:$L$257)</f>
        <v>56013980.4077642</v>
      </c>
      <c r="O109" s="308" t="n">
        <f aca="false">HLOOKUP(C109,'Debt Amortization'!$H$5:$AB$9,5)</f>
        <v>96443697.5285201</v>
      </c>
    </row>
    <row r="110" customFormat="false" ht="16.5" hidden="false" customHeight="false" outlineLevel="0" collapsed="false">
      <c r="A110" s="308" t="n">
        <f aca="false">A109+1</f>
        <v>100</v>
      </c>
      <c r="B110" s="308" t="n">
        <v>30</v>
      </c>
      <c r="C110" s="324" t="n">
        <v>39721</v>
      </c>
      <c r="D110" s="315" t="n">
        <f aca="false">D113</f>
        <v>1</v>
      </c>
      <c r="E110" s="308" t="e">
        <f aca="false">SUM('Revenues &amp; Expenses'!BJ111:$BJ$258)</f>
        <v>#NAME?</v>
      </c>
      <c r="F110" s="10" t="n">
        <f aca="false">M110</f>
        <v>55444810.5069326</v>
      </c>
      <c r="G110" s="308" t="e">
        <f aca="false">IF(AND(D110=1,E110-F110&gt;0),E110-F110,0)</f>
        <v>#NAME?</v>
      </c>
      <c r="H110" s="308" t="e">
        <f aca="false">IF(AND(D110=1,F110-E110&gt;0),F110-E110,0)</f>
        <v>#NAME?</v>
      </c>
      <c r="K110" s="10" t="n">
        <f aca="false">($K$2*315000)/12</f>
        <v>1059139.94028644</v>
      </c>
      <c r="L110" s="10" t="n">
        <f aca="false">K110*'Revenues &amp; Expenses'!N111</f>
        <v>565593.749609471</v>
      </c>
      <c r="M110" s="10" t="n">
        <f aca="false">SUM(L110:$L$257)</f>
        <v>55444810.5069326</v>
      </c>
      <c r="O110" s="308" t="n">
        <f aca="false">HLOOKUP(C110,'Debt Amortization'!$H$5:$AB$9,5)</f>
        <v>96443697.5285201</v>
      </c>
    </row>
    <row r="111" customFormat="false" ht="16.5" hidden="false" customHeight="false" outlineLevel="0" collapsed="false">
      <c r="A111" s="308" t="n">
        <f aca="false">A110+1</f>
        <v>101</v>
      </c>
      <c r="B111" s="308" t="n">
        <v>31</v>
      </c>
      <c r="C111" s="324" t="n">
        <v>39752</v>
      </c>
      <c r="D111" s="315" t="n">
        <f aca="false">D113</f>
        <v>1</v>
      </c>
      <c r="E111" s="308" t="e">
        <f aca="false">SUM('Revenues &amp; Expenses'!BJ112:$BJ$258)</f>
        <v>#NAME?</v>
      </c>
      <c r="F111" s="10" t="n">
        <f aca="false">M111</f>
        <v>54879216.7573231</v>
      </c>
      <c r="G111" s="308" t="e">
        <f aca="false">IF(AND(D111=1,E111-F111&gt;0),E111-F111,0)</f>
        <v>#NAME?</v>
      </c>
      <c r="H111" s="308" t="e">
        <f aca="false">IF(AND(D111=1,F111-E111&gt;0),F111-E111,0)</f>
        <v>#NAME?</v>
      </c>
      <c r="K111" s="10" t="n">
        <f aca="false">($K$2*315000)/12</f>
        <v>1059139.94028644</v>
      </c>
      <c r="L111" s="10" t="n">
        <f aca="false">K111*'Revenues &amp; Expenses'!N112</f>
        <v>562153.04122303</v>
      </c>
      <c r="M111" s="10" t="n">
        <f aca="false">SUM(L111:$L$257)</f>
        <v>54879216.7573231</v>
      </c>
      <c r="O111" s="308" t="n">
        <f aca="false">HLOOKUP(C111,'Debt Amortization'!$H$5:$AB$9,5)</f>
        <v>96443697.5285201</v>
      </c>
    </row>
    <row r="112" customFormat="false" ht="16.5" hidden="false" customHeight="false" outlineLevel="0" collapsed="false">
      <c r="A112" s="308" t="n">
        <f aca="false">A111+1</f>
        <v>102</v>
      </c>
      <c r="B112" s="308" t="n">
        <v>30</v>
      </c>
      <c r="C112" s="324" t="n">
        <v>39782</v>
      </c>
      <c r="D112" s="315" t="n">
        <f aca="false">D113</f>
        <v>1</v>
      </c>
      <c r="E112" s="308" t="e">
        <f aca="false">SUM('Revenues &amp; Expenses'!BJ113:$BJ$258)</f>
        <v>#NAME?</v>
      </c>
      <c r="F112" s="10" t="n">
        <f aca="false">M112</f>
        <v>54317063.7161001</v>
      </c>
      <c r="G112" s="308" t="e">
        <f aca="false">IF(AND(D112=1,E112-F112&gt;0),E112-F112,0)</f>
        <v>#NAME?</v>
      </c>
      <c r="H112" s="308" t="e">
        <f aca="false">IF(AND(D112=1,F112-E112&gt;0),F112-E112,0)</f>
        <v>#NAME?</v>
      </c>
      <c r="K112" s="10" t="n">
        <f aca="false">($K$2*315000)/12</f>
        <v>1059139.94028644</v>
      </c>
      <c r="L112" s="10" t="n">
        <f aca="false">K112*'Revenues &amp; Expenses'!N113</f>
        <v>558618.282998928</v>
      </c>
      <c r="M112" s="10" t="n">
        <f aca="false">SUM(L112:$L$257)</f>
        <v>54317063.7161001</v>
      </c>
      <c r="O112" s="308" t="n">
        <f aca="false">HLOOKUP(C112,'Debt Amortization'!$H$5:$AB$9,5)</f>
        <v>96443697.5285201</v>
      </c>
    </row>
    <row r="113" customFormat="false" ht="16.5" hidden="false" customHeight="false" outlineLevel="0" collapsed="false">
      <c r="A113" s="308" t="n">
        <f aca="false">A112+1</f>
        <v>103</v>
      </c>
      <c r="B113" s="308" t="n">
        <v>31</v>
      </c>
      <c r="C113" s="324" t="n">
        <v>39813</v>
      </c>
      <c r="D113" s="315" t="n">
        <f aca="false">'Deal Depiction'!J16</f>
        <v>1</v>
      </c>
      <c r="E113" s="308" t="e">
        <f aca="false">SUM('Revenues &amp; Expenses'!BJ114:$BJ$258)</f>
        <v>#NAME?</v>
      </c>
      <c r="F113" s="10" t="n">
        <f aca="false">M113</f>
        <v>53758445.4331012</v>
      </c>
      <c r="G113" s="308" t="e">
        <f aca="false">IF(AND(D113=1,E113-F113&gt;0),E113-F113,0)</f>
        <v>#NAME?</v>
      </c>
      <c r="H113" s="308" t="e">
        <f aca="false">IF(AND(D113=1,F113-E113&gt;0),F113-E113,0)</f>
        <v>#NAME?</v>
      </c>
      <c r="K113" s="10" t="n">
        <f aca="false">($K$2*315000)/12</f>
        <v>1059139.94028644</v>
      </c>
      <c r="L113" s="10" t="n">
        <f aca="false">K113*'Revenues &amp; Expenses'!N114</f>
        <v>555217.417059063</v>
      </c>
      <c r="M113" s="10" t="n">
        <f aca="false">SUM(L113:$L$257)</f>
        <v>53758445.4331012</v>
      </c>
      <c r="O113" s="308" t="n">
        <f aca="false">HLOOKUP(C113,'Debt Amortization'!$H$5:$AB$9,5)</f>
        <v>92172021.7773226</v>
      </c>
    </row>
    <row r="114" customFormat="false" ht="16.5" hidden="false" customHeight="false" outlineLevel="0" collapsed="false">
      <c r="A114" s="308" t="n">
        <f aca="false">A113+1</f>
        <v>104</v>
      </c>
      <c r="B114" s="308" t="n">
        <v>31</v>
      </c>
      <c r="C114" s="324" t="n">
        <v>39844</v>
      </c>
      <c r="D114" s="315" t="n">
        <f aca="false">D125</f>
        <v>1</v>
      </c>
      <c r="E114" s="308" t="e">
        <f aca="false">SUM('Revenues &amp; Expenses'!BJ115:$BJ$258)</f>
        <v>#NAME?</v>
      </c>
      <c r="F114" s="10" t="n">
        <f aca="false">M114</f>
        <v>53203228.0160421</v>
      </c>
      <c r="G114" s="308" t="e">
        <f aca="false">IF(AND(D114=1,E114-F114&gt;0),E114-F114,0)</f>
        <v>#NAME?</v>
      </c>
      <c r="H114" s="308" t="e">
        <f aca="false">IF(AND(D114=1,F114-E114&gt;0),F114-E114,0)</f>
        <v>#NAME?</v>
      </c>
      <c r="K114" s="10" t="n">
        <f aca="false">($K$2*315000)/12</f>
        <v>1059139.94028644</v>
      </c>
      <c r="L114" s="10" t="n">
        <f aca="false">K114*'Revenues &amp; Expenses'!N115</f>
        <v>551723.607982732</v>
      </c>
      <c r="M114" s="10" t="n">
        <f aca="false">SUM(L114:$L$257)</f>
        <v>53203228.0160421</v>
      </c>
      <c r="O114" s="308" t="n">
        <f aca="false">HLOOKUP(C114,'Debt Amortization'!$H$5:$AB$9,5)</f>
        <v>92172021.7773226</v>
      </c>
    </row>
    <row r="115" customFormat="false" ht="16.5" hidden="false" customHeight="false" outlineLevel="0" collapsed="false">
      <c r="A115" s="308" t="n">
        <f aca="false">A114+1</f>
        <v>105</v>
      </c>
      <c r="B115" s="308" t="n">
        <v>28</v>
      </c>
      <c r="C115" s="324" t="n">
        <v>39872</v>
      </c>
      <c r="D115" s="315" t="n">
        <f aca="false">D125</f>
        <v>1</v>
      </c>
      <c r="E115" s="308" t="e">
        <f aca="false">SUM('Revenues &amp; Expenses'!BJ116:$BJ$258)</f>
        <v>#NAME?</v>
      </c>
      <c r="F115" s="10" t="n">
        <f aca="false">M115</f>
        <v>52651504.4080594</v>
      </c>
      <c r="G115" s="308" t="e">
        <f aca="false">IF(AND(D115=1,E115-F115&gt;0),E115-F115,0)</f>
        <v>#NAME?</v>
      </c>
      <c r="H115" s="308" t="e">
        <f aca="false">IF(AND(D115=1,F115-E115&gt;0),F115-E115,0)</f>
        <v>#NAME?</v>
      </c>
      <c r="K115" s="10" t="n">
        <f aca="false">($K$2*315000)/12</f>
        <v>1059139.94028644</v>
      </c>
      <c r="L115" s="10" t="n">
        <f aca="false">K115*'Revenues &amp; Expenses'!N116</f>
        <v>548250.440416525</v>
      </c>
      <c r="M115" s="10" t="n">
        <f aca="false">SUM(L115:$L$257)</f>
        <v>52651504.4080594</v>
      </c>
      <c r="O115" s="308" t="n">
        <f aca="false">HLOOKUP(C115,'Debt Amortization'!$H$5:$AB$9,5)</f>
        <v>92172021.7773226</v>
      </c>
    </row>
    <row r="116" customFormat="false" ht="16.5" hidden="false" customHeight="false" outlineLevel="0" collapsed="false">
      <c r="A116" s="308" t="n">
        <f aca="false">A115+1</f>
        <v>106</v>
      </c>
      <c r="B116" s="308" t="n">
        <v>31</v>
      </c>
      <c r="C116" s="324" t="n">
        <v>39903</v>
      </c>
      <c r="D116" s="315" t="n">
        <f aca="false">D125</f>
        <v>1</v>
      </c>
      <c r="E116" s="308" t="e">
        <f aca="false">SUM('Revenues &amp; Expenses'!BJ117:$BJ$258)</f>
        <v>#NAME?</v>
      </c>
      <c r="F116" s="10" t="n">
        <f aca="false">M116</f>
        <v>52103253.9676429</v>
      </c>
      <c r="G116" s="308" t="e">
        <f aca="false">IF(AND(D116=1,E116-F116&gt;0),E116-F116,0)</f>
        <v>#NAME?</v>
      </c>
      <c r="H116" s="308" t="e">
        <f aca="false">IF(AND(D116=1,F116-E116&gt;0),F116-E116,0)</f>
        <v>#NAME?</v>
      </c>
      <c r="K116" s="10" t="n">
        <f aca="false">($K$2*315000)/12</f>
        <v>1059139.94028644</v>
      </c>
      <c r="L116" s="10" t="n">
        <f aca="false">K116*'Revenues &amp; Expenses'!N117</f>
        <v>545131.033694412</v>
      </c>
      <c r="M116" s="10" t="n">
        <f aca="false">SUM(L116:$L$257)</f>
        <v>52103253.9676429</v>
      </c>
      <c r="O116" s="308" t="n">
        <f aca="false">HLOOKUP(C116,'Debt Amortization'!$H$5:$AB$9,5)</f>
        <v>92172021.7773226</v>
      </c>
    </row>
    <row r="117" customFormat="false" ht="16.5" hidden="false" customHeight="false" outlineLevel="0" collapsed="false">
      <c r="A117" s="308" t="n">
        <f aca="false">A116+1</f>
        <v>107</v>
      </c>
      <c r="B117" s="308" t="n">
        <v>30</v>
      </c>
      <c r="C117" s="324" t="n">
        <v>39933</v>
      </c>
      <c r="D117" s="315" t="n">
        <f aca="false">D125</f>
        <v>1</v>
      </c>
      <c r="E117" s="308" t="e">
        <f aca="false">SUM('Revenues &amp; Expenses'!BJ118:$BJ$258)</f>
        <v>#NAME?</v>
      </c>
      <c r="F117" s="10" t="n">
        <f aca="false">M117</f>
        <v>51558122.9339484</v>
      </c>
      <c r="G117" s="308" t="e">
        <f aca="false">IF(AND(D117=1,E117-F117&gt;0),E117-F117,0)</f>
        <v>#NAME?</v>
      </c>
      <c r="H117" s="308" t="e">
        <f aca="false">IF(AND(D117=1,F117-E117&gt;0),F117-E117,0)</f>
        <v>#NAME?</v>
      </c>
      <c r="K117" s="10" t="n">
        <f aca="false">($K$2*315000)/12</f>
        <v>1059139.94028644</v>
      </c>
      <c r="L117" s="10" t="n">
        <f aca="false">K117*'Revenues &amp; Expenses'!N118</f>
        <v>541696.83999039</v>
      </c>
      <c r="M117" s="10" t="n">
        <f aca="false">SUM(L117:$L$257)</f>
        <v>51558122.9339484</v>
      </c>
      <c r="O117" s="308" t="n">
        <f aca="false">HLOOKUP(C117,'Debt Amortization'!$H$5:$AB$9,5)</f>
        <v>92172021.7773226</v>
      </c>
    </row>
    <row r="118" customFormat="false" ht="16.5" hidden="false" customHeight="false" outlineLevel="0" collapsed="false">
      <c r="A118" s="308" t="n">
        <f aca="false">A117+1</f>
        <v>108</v>
      </c>
      <c r="B118" s="308" t="n">
        <v>31</v>
      </c>
      <c r="C118" s="324" t="n">
        <v>39964</v>
      </c>
      <c r="D118" s="315" t="n">
        <f aca="false">D125</f>
        <v>1</v>
      </c>
      <c r="E118" s="308" t="e">
        <f aca="false">SUM('Revenues &amp; Expenses'!BJ119:$BJ$258)</f>
        <v>#NAME?</v>
      </c>
      <c r="F118" s="10" t="n">
        <f aca="false">M118</f>
        <v>51016426.0939581</v>
      </c>
      <c r="G118" s="308" t="e">
        <f aca="false">IF(AND(D118=1,E118-F118&gt;0),E118-F118,0)</f>
        <v>#NAME?</v>
      </c>
      <c r="H118" s="308" t="e">
        <f aca="false">IF(AND(D118=1,F118-E118&gt;0),F118-E118,0)</f>
        <v>#NAME?</v>
      </c>
      <c r="K118" s="10" t="n">
        <f aca="false">($K$2*315000)/12</f>
        <v>1059139.94028644</v>
      </c>
      <c r="L118" s="10" t="n">
        <f aca="false">K118*'Revenues &amp; Expenses'!N119</f>
        <v>538392.77057956</v>
      </c>
      <c r="M118" s="10" t="n">
        <f aca="false">SUM(L118:$L$257)</f>
        <v>51016426.0939581</v>
      </c>
      <c r="O118" s="308" t="n">
        <f aca="false">HLOOKUP(C118,'Debt Amortization'!$H$5:$AB$9,5)</f>
        <v>92172021.7773226</v>
      </c>
    </row>
    <row r="119" customFormat="false" ht="16.5" hidden="false" customHeight="false" outlineLevel="0" collapsed="false">
      <c r="A119" s="308" t="n">
        <f aca="false">A118+1</f>
        <v>109</v>
      </c>
      <c r="B119" s="308" t="n">
        <v>30</v>
      </c>
      <c r="C119" s="324" t="n">
        <v>39994</v>
      </c>
      <c r="D119" s="315" t="n">
        <f aca="false">D125</f>
        <v>1</v>
      </c>
      <c r="E119" s="308" t="e">
        <f aca="false">SUM('Revenues &amp; Expenses'!BJ120:$BJ$258)</f>
        <v>#NAME?</v>
      </c>
      <c r="F119" s="10" t="n">
        <f aca="false">M119</f>
        <v>50478033.3233785</v>
      </c>
      <c r="G119" s="308" t="e">
        <f aca="false">IF(AND(D119=1,E119-F119&gt;0),E119-F119,0)</f>
        <v>#NAME?</v>
      </c>
      <c r="H119" s="308" t="e">
        <f aca="false">IF(AND(D119=1,F119-E119&gt;0),F119-E119,0)</f>
        <v>#NAME?</v>
      </c>
      <c r="K119" s="10" t="n">
        <f aca="false">($K$2*315000)/12</f>
        <v>1059139.94028644</v>
      </c>
      <c r="L119" s="10" t="n">
        <f aca="false">K119*'Revenues &amp; Expenses'!N120</f>
        <v>534998.445800638</v>
      </c>
      <c r="M119" s="10" t="n">
        <f aca="false">SUM(L119:$L$257)</f>
        <v>50478033.3233785</v>
      </c>
      <c r="O119" s="308" t="n">
        <f aca="false">HLOOKUP(C119,'Debt Amortization'!$H$5:$AB$9,5)</f>
        <v>92172021.7773226</v>
      </c>
    </row>
    <row r="120" customFormat="false" ht="16.5" hidden="false" customHeight="false" outlineLevel="0" collapsed="false">
      <c r="A120" s="308" t="n">
        <f aca="false">A119+1</f>
        <v>110</v>
      </c>
      <c r="B120" s="308" t="n">
        <v>31</v>
      </c>
      <c r="C120" s="324" t="n">
        <v>40025</v>
      </c>
      <c r="D120" s="315" t="n">
        <f aca="false">D125</f>
        <v>1</v>
      </c>
      <c r="E120" s="308" t="e">
        <f aca="false">SUM('Revenues &amp; Expenses'!BJ121:$BJ$258)</f>
        <v>#NAME?</v>
      </c>
      <c r="F120" s="10" t="n">
        <f aca="false">M120</f>
        <v>49943034.8775779</v>
      </c>
      <c r="G120" s="308" t="e">
        <f aca="false">IF(AND(D120=1,E120-F120&gt;0),E120-F120,0)</f>
        <v>#NAME?</v>
      </c>
      <c r="H120" s="308" t="e">
        <f aca="false">IF(AND(D120=1,F120-E120&gt;0),F120-E120,0)</f>
        <v>#NAME?</v>
      </c>
      <c r="K120" s="10" t="n">
        <f aca="false">($K$2*315000)/12</f>
        <v>1059139.94028644</v>
      </c>
      <c r="L120" s="10" t="n">
        <f aca="false">K120*'Revenues &amp; Expenses'!N121</f>
        <v>531732.751124755</v>
      </c>
      <c r="M120" s="10" t="n">
        <f aca="false">SUM(L120:$L$257)</f>
        <v>49943034.8775779</v>
      </c>
      <c r="O120" s="308" t="n">
        <f aca="false">HLOOKUP(C120,'Debt Amortization'!$H$5:$AB$9,5)</f>
        <v>92172021.7773226</v>
      </c>
    </row>
    <row r="121" customFormat="false" ht="16.5" hidden="false" customHeight="false" outlineLevel="0" collapsed="false">
      <c r="A121" s="308" t="n">
        <f aca="false">A120+1</f>
        <v>111</v>
      </c>
      <c r="B121" s="308" t="n">
        <v>31</v>
      </c>
      <c r="C121" s="324" t="n">
        <v>40056</v>
      </c>
      <c r="D121" s="315" t="n">
        <f aca="false">D125</f>
        <v>1</v>
      </c>
      <c r="E121" s="308" t="e">
        <f aca="false">SUM('Revenues &amp; Expenses'!BJ122:$BJ$258)</f>
        <v>#NAME?</v>
      </c>
      <c r="F121" s="10" t="n">
        <f aca="false">M121</f>
        <v>49411302.1264531</v>
      </c>
      <c r="G121" s="308" t="e">
        <f aca="false">IF(AND(D121=1,E121-F121&gt;0),E121-F121,0)</f>
        <v>#NAME?</v>
      </c>
      <c r="H121" s="308" t="e">
        <f aca="false">IF(AND(D121=1,F121-E121&gt;0),F121-E121,0)</f>
        <v>#NAME?</v>
      </c>
      <c r="K121" s="10" t="n">
        <f aca="false">($K$2*315000)/12</f>
        <v>1059139.94028644</v>
      </c>
      <c r="L121" s="10" t="n">
        <f aca="false">K121*'Revenues &amp; Expenses'!N122</f>
        <v>528377.866263993</v>
      </c>
      <c r="M121" s="10" t="n">
        <f aca="false">SUM(L121:$L$257)</f>
        <v>49411302.1264531</v>
      </c>
      <c r="O121" s="308" t="n">
        <f aca="false">HLOOKUP(C121,'Debt Amortization'!$H$5:$AB$9,5)</f>
        <v>92172021.7773226</v>
      </c>
    </row>
    <row r="122" customFormat="false" ht="16.5" hidden="false" customHeight="false" outlineLevel="0" collapsed="false">
      <c r="A122" s="308" t="n">
        <f aca="false">A121+1</f>
        <v>112</v>
      </c>
      <c r="B122" s="308" t="n">
        <v>30</v>
      </c>
      <c r="C122" s="324" t="n">
        <v>40086</v>
      </c>
      <c r="D122" s="315" t="n">
        <f aca="false">D125</f>
        <v>1</v>
      </c>
      <c r="E122" s="308" t="e">
        <f aca="false">SUM('Revenues &amp; Expenses'!BJ123:$BJ$258)</f>
        <v>#NAME?</v>
      </c>
      <c r="F122" s="10" t="n">
        <f aca="false">M122</f>
        <v>48882924.2601891</v>
      </c>
      <c r="G122" s="308" t="e">
        <f aca="false">IF(AND(D122=1,E122-F122&gt;0),E122-F122,0)</f>
        <v>#NAME?</v>
      </c>
      <c r="H122" s="308" t="e">
        <f aca="false">IF(AND(D122=1,F122-E122&gt;0),F122-E122,0)</f>
        <v>#NAME?</v>
      </c>
      <c r="K122" s="10" t="n">
        <f aca="false">($K$2*315000)/12</f>
        <v>1059139.94028644</v>
      </c>
      <c r="L122" s="10" t="n">
        <f aca="false">K122*'Revenues &amp; Expenses'!N123</f>
        <v>525042.861575737</v>
      </c>
      <c r="M122" s="10" t="n">
        <f aca="false">SUM(L122:$L$257)</f>
        <v>48882924.2601891</v>
      </c>
      <c r="O122" s="308" t="n">
        <f aca="false">HLOOKUP(C122,'Debt Amortization'!$H$5:$AB$9,5)</f>
        <v>92172021.7773226</v>
      </c>
    </row>
    <row r="123" customFormat="false" ht="16.5" hidden="false" customHeight="false" outlineLevel="0" collapsed="false">
      <c r="A123" s="308" t="n">
        <f aca="false">A122+1</f>
        <v>113</v>
      </c>
      <c r="B123" s="308" t="n">
        <v>31</v>
      </c>
      <c r="C123" s="324" t="n">
        <v>40117</v>
      </c>
      <c r="D123" s="315" t="n">
        <f aca="false">D125</f>
        <v>1</v>
      </c>
      <c r="E123" s="308" t="e">
        <f aca="false">SUM('Revenues &amp; Expenses'!BJ124:$BJ$258)</f>
        <v>#NAME?</v>
      </c>
      <c r="F123" s="10" t="n">
        <f aca="false">M123</f>
        <v>48357881.3986134</v>
      </c>
      <c r="G123" s="308" t="e">
        <f aca="false">IF(AND(D123=1,E123-F123&gt;0),E123-F123,0)</f>
        <v>#NAME?</v>
      </c>
      <c r="H123" s="308" t="e">
        <f aca="false">IF(AND(D123=1,F123-E123&gt;0),F123-E123,0)</f>
        <v>#NAME?</v>
      </c>
      <c r="K123" s="10" t="n">
        <f aca="false">($K$2*315000)/12</f>
        <v>1059139.94028644</v>
      </c>
      <c r="L123" s="10" t="n">
        <f aca="false">K123*'Revenues &amp; Expenses'!N124</f>
        <v>521834.263427109</v>
      </c>
      <c r="M123" s="10" t="n">
        <f aca="false">SUM(L123:$L$257)</f>
        <v>48357881.3986134</v>
      </c>
      <c r="O123" s="308" t="n">
        <f aca="false">HLOOKUP(C123,'Debt Amortization'!$H$5:$AB$9,5)</f>
        <v>92172021.7773226</v>
      </c>
    </row>
    <row r="124" customFormat="false" ht="16.5" hidden="false" customHeight="false" outlineLevel="0" collapsed="false">
      <c r="A124" s="308" t="n">
        <f aca="false">A123+1</f>
        <v>114</v>
      </c>
      <c r="B124" s="308" t="n">
        <v>30</v>
      </c>
      <c r="C124" s="324" t="n">
        <v>40147</v>
      </c>
      <c r="D124" s="315" t="n">
        <f aca="false">D125</f>
        <v>1</v>
      </c>
      <c r="E124" s="308" t="e">
        <f aca="false">SUM('Revenues &amp; Expenses'!BJ125:$BJ$258)</f>
        <v>#NAME?</v>
      </c>
      <c r="F124" s="10" t="n">
        <f aca="false">M124</f>
        <v>47836047.1351863</v>
      </c>
      <c r="G124" s="308" t="e">
        <f aca="false">IF(AND(D124=1,E124-F124&gt;0),E124-F124,0)</f>
        <v>#NAME?</v>
      </c>
      <c r="H124" s="308" t="e">
        <f aca="false">IF(AND(D124=1,F124-E124&gt;0),F124-E124,0)</f>
        <v>#NAME?</v>
      </c>
      <c r="K124" s="10" t="n">
        <f aca="false">($K$2*315000)/12</f>
        <v>1059139.94028644</v>
      </c>
      <c r="L124" s="10" t="n">
        <f aca="false">K124*'Revenues &amp; Expenses'!N125</f>
        <v>518538.059543516</v>
      </c>
      <c r="M124" s="10" t="n">
        <f aca="false">SUM(L124:$L$257)</f>
        <v>47836047.1351863</v>
      </c>
      <c r="O124" s="308" t="n">
        <f aca="false">HLOOKUP(C124,'Debt Amortization'!$H$5:$AB$9,5)</f>
        <v>92172021.7773226</v>
      </c>
    </row>
    <row r="125" customFormat="false" ht="16.5" hidden="false" customHeight="false" outlineLevel="0" collapsed="false">
      <c r="A125" s="308" t="n">
        <f aca="false">A124+1</f>
        <v>115</v>
      </c>
      <c r="B125" s="308" t="n">
        <v>31</v>
      </c>
      <c r="C125" s="324" t="n">
        <v>40178</v>
      </c>
      <c r="D125" s="315" t="n">
        <f aca="false">'Deal Depiction'!J17</f>
        <v>1</v>
      </c>
      <c r="E125" s="308" t="e">
        <f aca="false">SUM('Revenues &amp; Expenses'!BJ126:$BJ$258)</f>
        <v>#NAME?</v>
      </c>
      <c r="F125" s="10" t="n">
        <f aca="false">M125</f>
        <v>47317509.0756427</v>
      </c>
      <c r="G125" s="308" t="e">
        <f aca="false">IF(AND(D125=1,E125-F125&gt;0),E125-F125,0)</f>
        <v>#NAME?</v>
      </c>
      <c r="H125" s="308" t="e">
        <f aca="false">IF(AND(D125=1,F125-E125&gt;0),F125-E125,0)</f>
        <v>#NAME?</v>
      </c>
      <c r="K125" s="10" t="n">
        <f aca="false">($K$2*315000)/12</f>
        <v>1059139.94028644</v>
      </c>
      <c r="L125" s="10" t="n">
        <f aca="false">K125*'Revenues &amp; Expenses'!N126</f>
        <v>515366.807528086</v>
      </c>
      <c r="M125" s="10" t="n">
        <f aca="false">SUM(L125:$L$257)</f>
        <v>47317509.0756427</v>
      </c>
      <c r="O125" s="308" t="n">
        <f aca="false">HLOOKUP(C125,'Debt Amortization'!$H$5:$AB$9,5)</f>
        <v>92172021.7773226</v>
      </c>
    </row>
    <row r="126" customFormat="false" ht="16.5" hidden="false" customHeight="false" outlineLevel="0" collapsed="false">
      <c r="A126" s="308" t="n">
        <f aca="false">A125+1</f>
        <v>116</v>
      </c>
      <c r="B126" s="308" t="n">
        <v>31</v>
      </c>
      <c r="C126" s="324" t="n">
        <v>40209</v>
      </c>
      <c r="D126" s="315" t="n">
        <f aca="false">D137</f>
        <v>1</v>
      </c>
      <c r="E126" s="308" t="e">
        <f aca="false">SUM('Revenues &amp; Expenses'!BJ127:$BJ$258)</f>
        <v>#NAME?</v>
      </c>
      <c r="F126" s="10" t="n">
        <f aca="false">M126</f>
        <v>46802142.2681147</v>
      </c>
      <c r="G126" s="308" t="e">
        <f aca="false">IF(AND(D126=1,E126-F126&gt;0),E126-F126,0)</f>
        <v>#NAME?</v>
      </c>
      <c r="H126" s="308" t="e">
        <f aca="false">IF(AND(D126=1,F126-E126&gt;0),F126-E126,0)</f>
        <v>#NAME?</v>
      </c>
      <c r="K126" s="10" t="n">
        <f aca="false">($K$2*315000)/12</f>
        <v>1059139.94028644</v>
      </c>
      <c r="L126" s="10" t="n">
        <f aca="false">K126*'Revenues &amp; Expenses'!N127</f>
        <v>512108.985883642</v>
      </c>
      <c r="M126" s="10" t="n">
        <f aca="false">SUM(L126:$L$257)</f>
        <v>46802142.2681147</v>
      </c>
      <c r="O126" s="308" t="n">
        <f aca="false">HLOOKUP(C126,'Debt Amortization'!$H$5:$AB$9,5)</f>
        <v>87526610.7173298</v>
      </c>
    </row>
    <row r="127" customFormat="false" ht="16.5" hidden="false" customHeight="false" outlineLevel="0" collapsed="false">
      <c r="A127" s="308" t="n">
        <f aca="false">A126+1</f>
        <v>117</v>
      </c>
      <c r="B127" s="308" t="n">
        <v>28</v>
      </c>
      <c r="C127" s="324" t="n">
        <v>40237</v>
      </c>
      <c r="D127" s="315" t="n">
        <f aca="false">D137</f>
        <v>1</v>
      </c>
      <c r="E127" s="308" t="e">
        <f aca="false">SUM('Revenues &amp; Expenses'!BJ128:$BJ$258)</f>
        <v>#NAME?</v>
      </c>
      <c r="F127" s="10" t="n">
        <f aca="false">M127</f>
        <v>46290033.282231</v>
      </c>
      <c r="G127" s="308" t="e">
        <f aca="false">IF(AND(D127=1,E127-F127&gt;0),E127-F127,0)</f>
        <v>#NAME?</v>
      </c>
      <c r="H127" s="308" t="e">
        <f aca="false">IF(AND(D127=1,F127-E127&gt;0),F127-E127,0)</f>
        <v>#NAME?</v>
      </c>
      <c r="K127" s="10" t="n">
        <f aca="false">($K$2*315000)/12</f>
        <v>1059139.94028644</v>
      </c>
      <c r="L127" s="10" t="n">
        <f aca="false">K127*'Revenues &amp; Expenses'!N128</f>
        <v>508870.510875525</v>
      </c>
      <c r="M127" s="10" t="n">
        <f aca="false">SUM(L127:$L$257)</f>
        <v>46290033.282231</v>
      </c>
      <c r="O127" s="308" t="n">
        <f aca="false">HLOOKUP(C127,'Debt Amortization'!$H$5:$AB$9,5)</f>
        <v>87526610.7173298</v>
      </c>
    </row>
    <row r="128" customFormat="false" ht="16.5" hidden="false" customHeight="false" outlineLevel="0" collapsed="false">
      <c r="A128" s="308" t="n">
        <f aca="false">A127+1</f>
        <v>118</v>
      </c>
      <c r="B128" s="308" t="n">
        <v>31</v>
      </c>
      <c r="C128" s="324" t="n">
        <v>40268</v>
      </c>
      <c r="D128" s="315" t="n">
        <f aca="false">D137</f>
        <v>1</v>
      </c>
      <c r="E128" s="308" t="e">
        <f aca="false">SUM('Revenues &amp; Expenses'!BJ129:$BJ$258)</f>
        <v>#NAME?</v>
      </c>
      <c r="F128" s="10" t="n">
        <f aca="false">M128</f>
        <v>45781162.7713555</v>
      </c>
      <c r="G128" s="308" t="e">
        <f aca="false">IF(AND(D128=1,E128-F128&gt;0),E128-F128,0)</f>
        <v>#NAME?</v>
      </c>
      <c r="H128" s="308" t="e">
        <f aca="false">IF(AND(D128=1,F128-E128&gt;0),F128-E128,0)</f>
        <v>#NAME?</v>
      </c>
      <c r="K128" s="10" t="n">
        <f aca="false">($K$2*315000)/12</f>
        <v>1059139.94028644</v>
      </c>
      <c r="L128" s="10" t="n">
        <f aca="false">K128*'Revenues &amp; Expenses'!N129</f>
        <v>505961.976919362</v>
      </c>
      <c r="M128" s="10" t="n">
        <f aca="false">SUM(L128:$L$257)</f>
        <v>45781162.7713555</v>
      </c>
      <c r="O128" s="308" t="n">
        <f aca="false">HLOOKUP(C128,'Debt Amortization'!$H$5:$AB$9,5)</f>
        <v>87526610.7173298</v>
      </c>
    </row>
    <row r="129" customFormat="false" ht="16.5" hidden="false" customHeight="false" outlineLevel="0" collapsed="false">
      <c r="A129" s="308" t="n">
        <f aca="false">A128+1</f>
        <v>119</v>
      </c>
      <c r="B129" s="308" t="n">
        <v>30</v>
      </c>
      <c r="C129" s="324" t="n">
        <v>40298</v>
      </c>
      <c r="D129" s="315" t="n">
        <f aca="false">D137</f>
        <v>1</v>
      </c>
      <c r="E129" s="308" t="e">
        <f aca="false">SUM('Revenues &amp; Expenses'!BJ130:$BJ$258)</f>
        <v>#NAME?</v>
      </c>
      <c r="F129" s="10" t="n">
        <f aca="false">M129</f>
        <v>45275200.7944361</v>
      </c>
      <c r="G129" s="308" t="e">
        <f aca="false">IF(AND(D129=1,E129-F129&gt;0),E129-F129,0)</f>
        <v>#NAME?</v>
      </c>
      <c r="H129" s="308" t="e">
        <f aca="false">IF(AND(D129=1,F129-E129&gt;0),F129-E129,0)</f>
        <v>#NAME?</v>
      </c>
      <c r="K129" s="10" t="n">
        <f aca="false">($K$2*315000)/12</f>
        <v>1059139.94028644</v>
      </c>
      <c r="L129" s="10" t="n">
        <f aca="false">K129*'Revenues &amp; Expenses'!N130</f>
        <v>502837.154946216</v>
      </c>
      <c r="M129" s="10" t="n">
        <f aca="false">SUM(L129:$L$257)</f>
        <v>45275200.7944361</v>
      </c>
      <c r="O129" s="308" t="n">
        <f aca="false">HLOOKUP(C129,'Debt Amortization'!$H$5:$AB$9,5)</f>
        <v>87526610.7173298</v>
      </c>
    </row>
    <row r="130" customFormat="false" ht="16.5" hidden="false" customHeight="false" outlineLevel="0" collapsed="false">
      <c r="A130" s="308" t="n">
        <f aca="false">A129+1</f>
        <v>120</v>
      </c>
      <c r="B130" s="308" t="n">
        <v>31</v>
      </c>
      <c r="C130" s="324" t="n">
        <v>40329</v>
      </c>
      <c r="D130" s="315" t="n">
        <f aca="false">D137</f>
        <v>1</v>
      </c>
      <c r="E130" s="308" t="e">
        <f aca="false">SUM('Revenues &amp; Expenses'!BJ131:$BJ$258)</f>
        <v>#NAME?</v>
      </c>
      <c r="F130" s="10" t="n">
        <f aca="false">M130</f>
        <v>44772363.6394899</v>
      </c>
      <c r="G130" s="308" t="e">
        <f aca="false">IF(AND(D130=1,E130-F130&gt;0),E130-F130,0)</f>
        <v>#NAME?</v>
      </c>
      <c r="H130" s="308" t="e">
        <f aca="false">IF(AND(D130=1,F130-E130&gt;0),F130-E130,0)</f>
        <v>#NAME?</v>
      </c>
      <c r="K130" s="10" t="n">
        <f aca="false">($K$2*315000)/12</f>
        <v>1059139.94028644</v>
      </c>
      <c r="L130" s="10" t="n">
        <f aca="false">K130*'Revenues &amp; Expenses'!N131</f>
        <v>499853.374333356</v>
      </c>
      <c r="M130" s="10" t="n">
        <f aca="false">SUM(L130:$L$257)</f>
        <v>44772363.6394899</v>
      </c>
      <c r="O130" s="308" t="n">
        <f aca="false">HLOOKUP(C130,'Debt Amortization'!$H$5:$AB$9,5)</f>
        <v>87526610.7173298</v>
      </c>
    </row>
    <row r="131" customFormat="false" ht="16.5" hidden="false" customHeight="false" outlineLevel="0" collapsed="false">
      <c r="A131" s="308" t="n">
        <f aca="false">A130+1</f>
        <v>121</v>
      </c>
      <c r="B131" s="308" t="n">
        <v>30</v>
      </c>
      <c r="C131" s="324" t="n">
        <v>40359</v>
      </c>
      <c r="D131" s="315" t="n">
        <f aca="false">D137</f>
        <v>1</v>
      </c>
      <c r="E131" s="308" t="e">
        <f aca="false">SUM('Revenues &amp; Expenses'!BJ132:$BJ$258)</f>
        <v>#NAME?</v>
      </c>
      <c r="F131" s="10" t="n">
        <f aca="false">M131</f>
        <v>44272510.2651566</v>
      </c>
      <c r="G131" s="308" t="e">
        <f aca="false">IF(AND(D131=1,E131-F131&gt;0),E131-F131,0)</f>
        <v>#NAME?</v>
      </c>
      <c r="H131" s="308" t="e">
        <f aca="false">IF(AND(D131=1,F131-E131&gt;0),F131-E131,0)</f>
        <v>#NAME?</v>
      </c>
      <c r="K131" s="10" t="n">
        <f aca="false">($K$2*315000)/12</f>
        <v>1059139.94028644</v>
      </c>
      <c r="L131" s="10" t="n">
        <f aca="false">K131*'Revenues &amp; Expenses'!N132</f>
        <v>496789.147571005</v>
      </c>
      <c r="M131" s="10" t="n">
        <f aca="false">SUM(L131:$L$257)</f>
        <v>44272510.2651566</v>
      </c>
      <c r="O131" s="308" t="n">
        <f aca="false">HLOOKUP(C131,'Debt Amortization'!$H$5:$AB$9,5)</f>
        <v>87526610.7173298</v>
      </c>
    </row>
    <row r="132" customFormat="false" ht="16.5" hidden="false" customHeight="false" outlineLevel="0" collapsed="false">
      <c r="A132" s="308" t="n">
        <f aca="false">A131+1</f>
        <v>122</v>
      </c>
      <c r="B132" s="308" t="n">
        <v>31</v>
      </c>
      <c r="C132" s="324" t="n">
        <v>40390</v>
      </c>
      <c r="D132" s="315" t="n">
        <f aca="false">D137</f>
        <v>1</v>
      </c>
      <c r="E132" s="308" t="e">
        <f aca="false">SUM('Revenues &amp; Expenses'!BJ133:$BJ$258)</f>
        <v>#NAME?</v>
      </c>
      <c r="F132" s="10" t="n">
        <f aca="false">M132</f>
        <v>43775721.1175856</v>
      </c>
      <c r="G132" s="308" t="e">
        <f aca="false">IF(AND(D132=1,E132-F132&gt;0),E132-F132,0)</f>
        <v>#NAME?</v>
      </c>
      <c r="H132" s="308" t="e">
        <f aca="false">IF(AND(D132=1,F132-E132&gt;0),F132-E132,0)</f>
        <v>#NAME?</v>
      </c>
      <c r="K132" s="10" t="n">
        <f aca="false">($K$2*315000)/12</f>
        <v>1059139.94028644</v>
      </c>
      <c r="L132" s="10" t="n">
        <f aca="false">K132*'Revenues &amp; Expenses'!N133</f>
        <v>493842.051511953</v>
      </c>
      <c r="M132" s="10" t="n">
        <f aca="false">SUM(L132:$L$257)</f>
        <v>43775721.1175856</v>
      </c>
      <c r="O132" s="308" t="n">
        <f aca="false">HLOOKUP(C132,'Debt Amortization'!$H$5:$AB$9,5)</f>
        <v>87526610.7173298</v>
      </c>
    </row>
    <row r="133" customFormat="false" ht="16.5" hidden="false" customHeight="false" outlineLevel="0" collapsed="false">
      <c r="A133" s="308" t="n">
        <f aca="false">A132+1</f>
        <v>123</v>
      </c>
      <c r="B133" s="308" t="n">
        <v>31</v>
      </c>
      <c r="C133" s="324" t="n">
        <v>40421</v>
      </c>
      <c r="D133" s="315" t="n">
        <f aca="false">D137</f>
        <v>1</v>
      </c>
      <c r="E133" s="308" t="e">
        <f aca="false">SUM('Revenues &amp; Expenses'!BJ134:$BJ$258)</f>
        <v>#NAME?</v>
      </c>
      <c r="F133" s="10" t="n">
        <f aca="false">M133</f>
        <v>43281879.0660736</v>
      </c>
      <c r="G133" s="308" t="e">
        <f aca="false">IF(AND(D133=1,E133-F133&gt;0),E133-F133,0)</f>
        <v>#NAME?</v>
      </c>
      <c r="H133" s="308" t="e">
        <f aca="false">IF(AND(D133=1,F133-E133&gt;0),F133-E133,0)</f>
        <v>#NAME?</v>
      </c>
      <c r="K133" s="10" t="n">
        <f aca="false">($K$2*315000)/12</f>
        <v>1059139.94028644</v>
      </c>
      <c r="L133" s="10" t="n">
        <f aca="false">K133*'Revenues &amp; Expenses'!N134</f>
        <v>490815.493513595</v>
      </c>
      <c r="M133" s="10" t="n">
        <f aca="false">SUM(L133:$L$257)</f>
        <v>43281879.0660736</v>
      </c>
      <c r="O133" s="308" t="n">
        <f aca="false">HLOOKUP(C133,'Debt Amortization'!$H$5:$AB$9,5)</f>
        <v>87526610.7173298</v>
      </c>
    </row>
    <row r="134" customFormat="false" ht="16.5" hidden="false" customHeight="false" outlineLevel="0" collapsed="false">
      <c r="A134" s="308" t="n">
        <f aca="false">A133+1</f>
        <v>124</v>
      </c>
      <c r="B134" s="308" t="n">
        <v>30</v>
      </c>
      <c r="C134" s="324" t="n">
        <v>40451</v>
      </c>
      <c r="D134" s="315" t="n">
        <f aca="false">D137</f>
        <v>1</v>
      </c>
      <c r="E134" s="308" t="e">
        <f aca="false">SUM('Revenues &amp; Expenses'!BJ135:$BJ$258)</f>
        <v>#NAME?</v>
      </c>
      <c r="F134" s="10" t="n">
        <f aca="false">M134</f>
        <v>42791063.57256</v>
      </c>
      <c r="G134" s="308" t="e">
        <f aca="false">IF(AND(D134=1,E134-F134&gt;0),E134-F134,0)</f>
        <v>#NAME?</v>
      </c>
      <c r="H134" s="308" t="e">
        <f aca="false">IF(AND(D134=1,F134-E134&gt;0),F134-E134,0)</f>
        <v>#NAME?</v>
      </c>
      <c r="K134" s="10" t="n">
        <f aca="false">($K$2*315000)/12</f>
        <v>1059139.94028644</v>
      </c>
      <c r="L134" s="10" t="n">
        <f aca="false">K134*'Revenues &amp; Expenses'!N135</f>
        <v>487807.897145584</v>
      </c>
      <c r="M134" s="10" t="n">
        <f aca="false">SUM(L134:$L$257)</f>
        <v>42791063.57256</v>
      </c>
      <c r="O134" s="308" t="n">
        <f aca="false">HLOOKUP(C134,'Debt Amortization'!$H$5:$AB$9,5)</f>
        <v>87526610.7173298</v>
      </c>
    </row>
    <row r="135" customFormat="false" ht="16.5" hidden="false" customHeight="false" outlineLevel="0" collapsed="false">
      <c r="A135" s="308" t="n">
        <f aca="false">A134+1</f>
        <v>125</v>
      </c>
      <c r="B135" s="308" t="n">
        <v>31</v>
      </c>
      <c r="C135" s="324" t="n">
        <v>40482</v>
      </c>
      <c r="D135" s="315" t="n">
        <f aca="false">D137</f>
        <v>1</v>
      </c>
      <c r="E135" s="308" t="e">
        <f aca="false">SUM('Revenues &amp; Expenses'!BJ136:$BJ$258)</f>
        <v>#NAME?</v>
      </c>
      <c r="F135" s="10" t="n">
        <f aca="false">M135</f>
        <v>42303255.6754144</v>
      </c>
      <c r="G135" s="308" t="e">
        <f aca="false">IF(AND(D135=1,E135-F135&gt;0),E135-F135,0)</f>
        <v>#NAME?</v>
      </c>
      <c r="H135" s="308" t="e">
        <f aca="false">IF(AND(D135=1,F135-E135&gt;0),F135-E135,0)</f>
        <v>#NAME?</v>
      </c>
      <c r="K135" s="10" t="n">
        <f aca="false">($K$2*315000)/12</f>
        <v>1059139.94028644</v>
      </c>
      <c r="L135" s="10" t="n">
        <f aca="false">K135*'Revenues &amp; Expenses'!N136</f>
        <v>484915.259784403</v>
      </c>
      <c r="M135" s="10" t="n">
        <f aca="false">SUM(L135:$L$257)</f>
        <v>42303255.6754144</v>
      </c>
      <c r="O135" s="308" t="n">
        <f aca="false">HLOOKUP(C135,'Debt Amortization'!$H$5:$AB$9,5)</f>
        <v>87526610.7173298</v>
      </c>
    </row>
    <row r="136" customFormat="false" ht="16.5" hidden="false" customHeight="false" outlineLevel="0" collapsed="false">
      <c r="A136" s="308" t="n">
        <f aca="false">A135+1</f>
        <v>126</v>
      </c>
      <c r="B136" s="308" t="n">
        <v>30</v>
      </c>
      <c r="C136" s="324" t="n">
        <v>40512</v>
      </c>
      <c r="D136" s="315" t="n">
        <f aca="false">D137</f>
        <v>1</v>
      </c>
      <c r="E136" s="308" t="e">
        <f aca="false">SUM('Revenues &amp; Expenses'!BJ137:$BJ$258)</f>
        <v>#NAME?</v>
      </c>
      <c r="F136" s="10" t="n">
        <f aca="false">M136</f>
        <v>41818340.41563</v>
      </c>
      <c r="G136" s="308" t="e">
        <f aca="false">IF(AND(D136=1,E136-F136&gt;0),E136-F136,0)</f>
        <v>#NAME?</v>
      </c>
      <c r="H136" s="308" t="e">
        <f aca="false">IF(AND(D136=1,F136-E136&gt;0),F136-E136,0)</f>
        <v>#NAME?</v>
      </c>
      <c r="K136" s="10" t="n">
        <f aca="false">($K$2*315000)/12</f>
        <v>1059139.94028644</v>
      </c>
      <c r="L136" s="10" t="n">
        <f aca="false">K136*'Revenues &amp; Expenses'!N137</f>
        <v>481944.621666674</v>
      </c>
      <c r="M136" s="10" t="n">
        <f aca="false">SUM(L136:$L$257)</f>
        <v>41818340.41563</v>
      </c>
      <c r="O136" s="308" t="n">
        <f aca="false">HLOOKUP(C136,'Debt Amortization'!$H$5:$AB$9,5)</f>
        <v>87526610.7173298</v>
      </c>
    </row>
    <row r="137" customFormat="false" ht="16.5" hidden="false" customHeight="false" outlineLevel="0" collapsed="false">
      <c r="A137" s="308" t="n">
        <f aca="false">A136+1</f>
        <v>127</v>
      </c>
      <c r="B137" s="308" t="n">
        <v>31</v>
      </c>
      <c r="C137" s="324" t="n">
        <v>40543</v>
      </c>
      <c r="D137" s="315" t="n">
        <f aca="false">'Deal Depiction'!J18</f>
        <v>1</v>
      </c>
      <c r="E137" s="308" t="e">
        <f aca="false">SUM('Revenues &amp; Expenses'!BJ138:$BJ$258)</f>
        <v>#NAME?</v>
      </c>
      <c r="F137" s="10" t="n">
        <f aca="false">M137</f>
        <v>41336395.7939633</v>
      </c>
      <c r="G137" s="308" t="e">
        <f aca="false">IF(AND(D137=1,E137-F137&gt;0),E137-F137,0)</f>
        <v>#NAME?</v>
      </c>
      <c r="H137" s="308" t="e">
        <f aca="false">IF(AND(D137=1,F137-E137&gt;0),F137-E137,0)</f>
        <v>#NAME?</v>
      </c>
      <c r="K137" s="10" t="n">
        <f aca="false">($K$2*315000)/12</f>
        <v>1059139.94028644</v>
      </c>
      <c r="L137" s="10" t="n">
        <f aca="false">K137*'Revenues &amp; Expenses'!N138</f>
        <v>479087.525328543</v>
      </c>
      <c r="M137" s="10" t="n">
        <f aca="false">SUM(L137:$L$257)</f>
        <v>41336395.7939633</v>
      </c>
      <c r="O137" s="308" t="n">
        <f aca="false">HLOOKUP(C137,'Debt Amortization'!$H$5:$AB$9,5)</f>
        <v>87526610.7173298</v>
      </c>
    </row>
    <row r="138" customFormat="false" ht="16.5" hidden="false" customHeight="false" outlineLevel="0" collapsed="false">
      <c r="A138" s="308" t="n">
        <f aca="false">A137+1</f>
        <v>128</v>
      </c>
      <c r="B138" s="308" t="n">
        <v>31</v>
      </c>
      <c r="C138" s="324" t="n">
        <v>40574</v>
      </c>
      <c r="D138" s="315" t="n">
        <f aca="false">D149</f>
        <v>1</v>
      </c>
      <c r="E138" s="308" t="e">
        <f aca="false">SUM('Revenues &amp; Expenses'!BJ139:$BJ$258)</f>
        <v>#NAME?</v>
      </c>
      <c r="F138" s="10" t="n">
        <f aca="false">M138</f>
        <v>40857308.2686348</v>
      </c>
      <c r="G138" s="308" t="e">
        <f aca="false">IF(AND(D138=1,E138-F138&gt;0),E138-F138,0)</f>
        <v>#NAME?</v>
      </c>
      <c r="H138" s="308" t="e">
        <f aca="false">IF(AND(D138=1,F138-E138&gt;0),F138-E138,0)</f>
        <v>#NAME?</v>
      </c>
      <c r="K138" s="10" t="n">
        <f aca="false">($K$2*315000)/12</f>
        <v>1059139.94028644</v>
      </c>
      <c r="L138" s="10" t="n">
        <f aca="false">K138*'Revenues &amp; Expenses'!N139</f>
        <v>476153.38190785</v>
      </c>
      <c r="M138" s="10" t="n">
        <f aca="false">SUM(L138:$L$257)</f>
        <v>40857308.2686348</v>
      </c>
      <c r="O138" s="308" t="n">
        <f aca="false">HLOOKUP(C138,'Debt Amortization'!$H$5:$AB$9,5)</f>
        <v>82474765.6866637</v>
      </c>
    </row>
    <row r="139" customFormat="false" ht="16.5" hidden="false" customHeight="false" outlineLevel="0" collapsed="false">
      <c r="A139" s="308" t="n">
        <f aca="false">A138+1</f>
        <v>129</v>
      </c>
      <c r="B139" s="308" t="n">
        <v>28</v>
      </c>
      <c r="C139" s="324" t="n">
        <v>40602</v>
      </c>
      <c r="D139" s="315" t="n">
        <f aca="false">D149</f>
        <v>1</v>
      </c>
      <c r="E139" s="308" t="e">
        <f aca="false">SUM('Revenues &amp; Expenses'!BJ140:$BJ$258)</f>
        <v>#NAME?</v>
      </c>
      <c r="F139" s="10" t="n">
        <f aca="false">M139</f>
        <v>40381154.8867269</v>
      </c>
      <c r="G139" s="308" t="e">
        <f aca="false">IF(AND(D139=1,E139-F139&gt;0),E139-F139,0)</f>
        <v>#NAME?</v>
      </c>
      <c r="H139" s="308" t="e">
        <f aca="false">IF(AND(D139=1,F139-E139&gt;0),F139-E139,0)</f>
        <v>#NAME?</v>
      </c>
      <c r="K139" s="10" t="n">
        <f aca="false">($K$2*315000)/12</f>
        <v>1059139.94028644</v>
      </c>
      <c r="L139" s="10" t="n">
        <f aca="false">K139*'Revenues &amp; Expenses'!N140</f>
        <v>473237.609227058</v>
      </c>
      <c r="M139" s="10" t="n">
        <f aca="false">SUM(L139:$L$257)</f>
        <v>40381154.8867269</v>
      </c>
      <c r="O139" s="308" t="n">
        <f aca="false">HLOOKUP(C139,'Debt Amortization'!$H$5:$AB$9,5)</f>
        <v>82474765.6866637</v>
      </c>
    </row>
    <row r="140" customFormat="false" ht="16.5" hidden="false" customHeight="false" outlineLevel="0" collapsed="false">
      <c r="A140" s="308" t="n">
        <f aca="false">A139+1</f>
        <v>130</v>
      </c>
      <c r="B140" s="308" t="n">
        <v>31</v>
      </c>
      <c r="C140" s="324" t="n">
        <v>40633</v>
      </c>
      <c r="D140" s="315" t="n">
        <f aca="false">D149</f>
        <v>1</v>
      </c>
      <c r="E140" s="308" t="e">
        <f aca="false">SUM('Revenues &amp; Expenses'!BJ141:$BJ$258)</f>
        <v>#NAME?</v>
      </c>
      <c r="F140" s="10" t="n">
        <f aca="false">M140</f>
        <v>39907917.2774999</v>
      </c>
      <c r="G140" s="308" t="e">
        <f aca="false">IF(AND(D140=1,E140-F140&gt;0),E140-F140,0)</f>
        <v>#NAME?</v>
      </c>
      <c r="H140" s="308" t="e">
        <f aca="false">IF(AND(D140=1,F140-E140&gt;0),F140-E140,0)</f>
        <v>#NAME?</v>
      </c>
      <c r="K140" s="10" t="n">
        <f aca="false">($K$2*315000)/12</f>
        <v>1059139.94028644</v>
      </c>
      <c r="L140" s="10" t="n">
        <f aca="false">K140*'Revenues &amp; Expenses'!N141</f>
        <v>470619.700456768</v>
      </c>
      <c r="M140" s="10" t="n">
        <f aca="false">SUM(L140:$L$257)</f>
        <v>39907917.2774999</v>
      </c>
      <c r="O140" s="308" t="n">
        <f aca="false">HLOOKUP(C140,'Debt Amortization'!$H$5:$AB$9,5)</f>
        <v>82474765.6866637</v>
      </c>
    </row>
    <row r="141" customFormat="false" ht="16.5" hidden="false" customHeight="false" outlineLevel="0" collapsed="false">
      <c r="A141" s="308" t="n">
        <f aca="false">A140+1</f>
        <v>131</v>
      </c>
      <c r="B141" s="308" t="n">
        <v>30</v>
      </c>
      <c r="C141" s="324" t="n">
        <v>40663</v>
      </c>
      <c r="D141" s="315" t="n">
        <f aca="false">D149</f>
        <v>1</v>
      </c>
      <c r="E141" s="308" t="e">
        <f aca="false">SUM('Revenues &amp; Expenses'!BJ142:$BJ$258)</f>
        <v>#NAME?</v>
      </c>
      <c r="F141" s="10" t="n">
        <f aca="false">M141</f>
        <v>39437297.5770431</v>
      </c>
      <c r="G141" s="308" t="e">
        <f aca="false">IF(AND(D141=1,E141-F141&gt;0),E141-F141,0)</f>
        <v>#NAME?</v>
      </c>
      <c r="H141" s="308" t="e">
        <f aca="false">IF(AND(D141=1,F141-E141&gt;0),F141-E141,0)</f>
        <v>#NAME?</v>
      </c>
      <c r="K141" s="10" t="n">
        <f aca="false">($K$2*315000)/12</f>
        <v>1059139.94028644</v>
      </c>
      <c r="L141" s="10" t="n">
        <f aca="false">K141*'Revenues &amp; Expenses'!N142</f>
        <v>467738.567685967</v>
      </c>
      <c r="M141" s="10" t="n">
        <f aca="false">SUM(L141:$L$257)</f>
        <v>39437297.5770431</v>
      </c>
      <c r="O141" s="308" t="n">
        <f aca="false">HLOOKUP(C141,'Debt Amortization'!$H$5:$AB$9,5)</f>
        <v>82474765.6866637</v>
      </c>
    </row>
    <row r="142" customFormat="false" ht="16.5" hidden="false" customHeight="false" outlineLevel="0" collapsed="false">
      <c r="A142" s="308" t="n">
        <f aca="false">A141+1</f>
        <v>132</v>
      </c>
      <c r="B142" s="308" t="n">
        <v>31</v>
      </c>
      <c r="C142" s="324" t="n">
        <v>40694</v>
      </c>
      <c r="D142" s="315" t="n">
        <f aca="false">D149</f>
        <v>1</v>
      </c>
      <c r="E142" s="308" t="e">
        <f aca="false">SUM('Revenues &amp; Expenses'!BJ143:$BJ$258)</f>
        <v>#NAME?</v>
      </c>
      <c r="F142" s="10" t="n">
        <f aca="false">M142</f>
        <v>38969559.0093572</v>
      </c>
      <c r="G142" s="308" t="e">
        <f aca="false">IF(AND(D142=1,E142-F142&gt;0),E142-F142,0)</f>
        <v>#NAME?</v>
      </c>
      <c r="H142" s="308" t="e">
        <f aca="false">IF(AND(D142=1,F142-E142&gt;0),F142-E142,0)</f>
        <v>#NAME?</v>
      </c>
      <c r="K142" s="10" t="n">
        <f aca="false">($K$2*315000)/12</f>
        <v>1059139.94028644</v>
      </c>
      <c r="L142" s="10" t="n">
        <f aca="false">K142*'Revenues &amp; Expenses'!N143</f>
        <v>464967.544693301</v>
      </c>
      <c r="M142" s="10" t="n">
        <f aca="false">SUM(L142:$L$257)</f>
        <v>38969559.0093572</v>
      </c>
      <c r="O142" s="308" t="n">
        <f aca="false">HLOOKUP(C142,'Debt Amortization'!$H$5:$AB$9,5)</f>
        <v>82474765.6866637</v>
      </c>
    </row>
    <row r="143" customFormat="false" ht="16.5" hidden="false" customHeight="false" outlineLevel="0" collapsed="false">
      <c r="A143" s="308" t="n">
        <f aca="false">A142+1</f>
        <v>133</v>
      </c>
      <c r="B143" s="308" t="n">
        <v>30</v>
      </c>
      <c r="C143" s="324" t="n">
        <v>40724</v>
      </c>
      <c r="D143" s="315" t="n">
        <f aca="false">D149</f>
        <v>1</v>
      </c>
      <c r="E143" s="308" t="e">
        <f aca="false">SUM('Revenues &amp; Expenses'!BJ144:$BJ$258)</f>
        <v>#NAME?</v>
      </c>
      <c r="F143" s="10" t="n">
        <f aca="false">M143</f>
        <v>38504591.4646639</v>
      </c>
      <c r="G143" s="308" t="e">
        <f aca="false">IF(AND(D143=1,E143-F143&gt;0),E143-F143,0)</f>
        <v>#NAME?</v>
      </c>
      <c r="H143" s="308" t="e">
        <f aca="false">IF(AND(D143=1,F143-E143&gt;0),F143-E143,0)</f>
        <v>#NAME?</v>
      </c>
      <c r="K143" s="10" t="n">
        <f aca="false">($K$2*315000)/12</f>
        <v>1059139.94028644</v>
      </c>
      <c r="L143" s="10" t="n">
        <f aca="false">K143*'Revenues &amp; Expenses'!N144</f>
        <v>462121.784468491</v>
      </c>
      <c r="M143" s="10" t="n">
        <f aca="false">SUM(L143:$L$257)</f>
        <v>38504591.4646639</v>
      </c>
      <c r="O143" s="308" t="n">
        <f aca="false">HLOOKUP(C143,'Debt Amortization'!$H$5:$AB$9,5)</f>
        <v>82474765.6866637</v>
      </c>
    </row>
    <row r="144" customFormat="false" ht="16.5" hidden="false" customHeight="false" outlineLevel="0" collapsed="false">
      <c r="A144" s="308" t="n">
        <f aca="false">A143+1</f>
        <v>134</v>
      </c>
      <c r="B144" s="308" t="n">
        <v>31</v>
      </c>
      <c r="C144" s="324" t="n">
        <v>40755</v>
      </c>
      <c r="D144" s="315" t="n">
        <f aca="false">D149</f>
        <v>1</v>
      </c>
      <c r="E144" s="308" t="e">
        <f aca="false">SUM('Revenues &amp; Expenses'!BJ145:$BJ$258)</f>
        <v>#NAME?</v>
      </c>
      <c r="F144" s="10" t="n">
        <f aca="false">M144</f>
        <v>38042469.6801954</v>
      </c>
      <c r="G144" s="308" t="e">
        <f aca="false">IF(AND(D144=1,E144-F144&gt;0),E144-F144,0)</f>
        <v>#NAME?</v>
      </c>
      <c r="H144" s="308" t="e">
        <f aca="false">IF(AND(D144=1,F144-E144&gt;0),F144-E144,0)</f>
        <v>#NAME?</v>
      </c>
      <c r="K144" s="10" t="n">
        <f aca="false">($K$2*315000)/12</f>
        <v>1059139.94028644</v>
      </c>
      <c r="L144" s="10" t="n">
        <f aca="false">K144*'Revenues &amp; Expenses'!N145</f>
        <v>459384.777786588</v>
      </c>
      <c r="M144" s="10" t="n">
        <f aca="false">SUM(L144:$L$257)</f>
        <v>38042469.6801954</v>
      </c>
      <c r="O144" s="308" t="n">
        <f aca="false">HLOOKUP(C144,'Debt Amortization'!$H$5:$AB$9,5)</f>
        <v>82474765.6866637</v>
      </c>
    </row>
    <row r="145" customFormat="false" ht="16.5" hidden="false" customHeight="false" outlineLevel="0" collapsed="false">
      <c r="A145" s="308" t="n">
        <f aca="false">A144+1</f>
        <v>135</v>
      </c>
      <c r="B145" s="308" t="n">
        <v>31</v>
      </c>
      <c r="C145" s="324" t="n">
        <v>40786</v>
      </c>
      <c r="D145" s="315" t="n">
        <f aca="false">D149</f>
        <v>1</v>
      </c>
      <c r="E145" s="308" t="e">
        <f aca="false">SUM('Revenues &amp; Expenses'!BJ146:$BJ$258)</f>
        <v>#NAME?</v>
      </c>
      <c r="F145" s="10" t="n">
        <f aca="false">M145</f>
        <v>37583084.9024088</v>
      </c>
      <c r="G145" s="308" t="e">
        <f aca="false">IF(AND(D145=1,E145-F145&gt;0),E145-F145,0)</f>
        <v>#NAME?</v>
      </c>
      <c r="H145" s="308" t="e">
        <f aca="false">IF(AND(D145=1,F145-E145&gt;0),F145-E145,0)</f>
        <v>#NAME?</v>
      </c>
      <c r="K145" s="10" t="n">
        <f aca="false">($K$2*315000)/12</f>
        <v>1059139.94028644</v>
      </c>
      <c r="L145" s="10" t="n">
        <f aca="false">K145*'Revenues &amp; Expenses'!N146</f>
        <v>456573.946824295</v>
      </c>
      <c r="M145" s="10" t="n">
        <f aca="false">SUM(L145:$L$257)</f>
        <v>37583084.9024088</v>
      </c>
      <c r="O145" s="308" t="n">
        <f aca="false">HLOOKUP(C145,'Debt Amortization'!$H$5:$AB$9,5)</f>
        <v>82474765.6866637</v>
      </c>
    </row>
    <row r="146" customFormat="false" ht="16.5" hidden="false" customHeight="false" outlineLevel="0" collapsed="false">
      <c r="A146" s="308" t="n">
        <f aca="false">A145+1</f>
        <v>136</v>
      </c>
      <c r="B146" s="308" t="n">
        <v>30</v>
      </c>
      <c r="C146" s="324" t="n">
        <v>40816</v>
      </c>
      <c r="D146" s="315" t="n">
        <f aca="false">D149</f>
        <v>1</v>
      </c>
      <c r="E146" s="308" t="e">
        <f aca="false">SUM('Revenues &amp; Expenses'!BJ147:$BJ$258)</f>
        <v>#NAME?</v>
      </c>
      <c r="F146" s="10" t="n">
        <f aca="false">M146</f>
        <v>37126510.9555845</v>
      </c>
      <c r="G146" s="308" t="e">
        <f aca="false">IF(AND(D146=1,E146-F146&gt;0),E146-F146,0)</f>
        <v>#NAME?</v>
      </c>
      <c r="H146" s="308" t="e">
        <f aca="false">IF(AND(D146=1,F146-E146&gt;0),F146-E146,0)</f>
        <v>#NAME?</v>
      </c>
      <c r="K146" s="10" t="n">
        <f aca="false">($K$2*315000)/12</f>
        <v>1059139.94028644</v>
      </c>
      <c r="L146" s="10" t="n">
        <f aca="false">K146*'Revenues &amp; Expenses'!N147</f>
        <v>453780.69873652</v>
      </c>
      <c r="M146" s="10" t="n">
        <f aca="false">SUM(L146:$L$257)</f>
        <v>37126510.9555845</v>
      </c>
      <c r="O146" s="308" t="n">
        <f aca="false">HLOOKUP(C146,'Debt Amortization'!$H$5:$AB$9,5)</f>
        <v>82474765.6866637</v>
      </c>
    </row>
    <row r="147" customFormat="false" ht="16.5" hidden="false" customHeight="false" outlineLevel="0" collapsed="false">
      <c r="A147" s="308" t="n">
        <f aca="false">A146+1</f>
        <v>137</v>
      </c>
      <c r="B147" s="308" t="n">
        <v>31</v>
      </c>
      <c r="C147" s="324" t="n">
        <v>40847</v>
      </c>
      <c r="D147" s="315" t="n">
        <f aca="false">D149</f>
        <v>1</v>
      </c>
      <c r="E147" s="308" t="e">
        <f aca="false">SUM('Revenues &amp; Expenses'!BJ148:$BJ$258)</f>
        <v>#NAME?</v>
      </c>
      <c r="F147" s="10" t="n">
        <f aca="false">M147</f>
        <v>36672730.256848</v>
      </c>
      <c r="G147" s="308" t="e">
        <f aca="false">IF(AND(D147=1,E147-F147&gt;0),E147-F147,0)</f>
        <v>#NAME?</v>
      </c>
      <c r="H147" s="308" t="e">
        <f aca="false">IF(AND(D147=1,F147-E147&gt;0),F147-E147,0)</f>
        <v>#NAME?</v>
      </c>
      <c r="K147" s="10" t="n">
        <f aca="false">($K$2*315000)/12</f>
        <v>1059139.94028644</v>
      </c>
      <c r="L147" s="10" t="n">
        <f aca="false">K147*'Revenues &amp; Expenses'!N148</f>
        <v>451094.190898636</v>
      </c>
      <c r="M147" s="10" t="n">
        <f aca="false">SUM(L147:$L$257)</f>
        <v>36672730.256848</v>
      </c>
      <c r="O147" s="308" t="n">
        <f aca="false">HLOOKUP(C147,'Debt Amortization'!$H$5:$AB$9,5)</f>
        <v>82474765.6866637</v>
      </c>
    </row>
    <row r="148" customFormat="false" ht="16.5" hidden="false" customHeight="false" outlineLevel="0" collapsed="false">
      <c r="A148" s="308" t="n">
        <f aca="false">A147+1</f>
        <v>138</v>
      </c>
      <c r="B148" s="308" t="n">
        <v>30</v>
      </c>
      <c r="C148" s="324" t="n">
        <v>40877</v>
      </c>
      <c r="D148" s="315" t="n">
        <f aca="false">D149</f>
        <v>1</v>
      </c>
      <c r="E148" s="308" t="e">
        <f aca="false">SUM('Revenues &amp; Expenses'!BJ149:$BJ$258)</f>
        <v>#NAME?</v>
      </c>
      <c r="F148" s="10" t="n">
        <f aca="false">M148</f>
        <v>36221636.0659493</v>
      </c>
      <c r="G148" s="308" t="e">
        <f aca="false">IF(AND(D148=1,E148-F148&gt;0),E148-F148,0)</f>
        <v>#NAME?</v>
      </c>
      <c r="H148" s="308" t="e">
        <f aca="false">IF(AND(D148=1,F148-E148&gt;0),F148-E148,0)</f>
        <v>#NAME?</v>
      </c>
      <c r="K148" s="10" t="n">
        <f aca="false">($K$2*315000)/12</f>
        <v>1059139.94028644</v>
      </c>
      <c r="L148" s="10" t="n">
        <f aca="false">K148*'Revenues &amp; Expenses'!N149</f>
        <v>448335.214202904</v>
      </c>
      <c r="M148" s="10" t="n">
        <f aca="false">SUM(L148:$L$257)</f>
        <v>36221636.0659493</v>
      </c>
      <c r="O148" s="308" t="n">
        <f aca="false">HLOOKUP(C148,'Debt Amortization'!$H$5:$AB$9,5)</f>
        <v>82474765.6866637</v>
      </c>
    </row>
    <row r="149" customFormat="false" ht="16.5" hidden="false" customHeight="false" outlineLevel="0" collapsed="false">
      <c r="A149" s="308" t="n">
        <f aca="false">A148+1</f>
        <v>139</v>
      </c>
      <c r="B149" s="308" t="n">
        <v>31</v>
      </c>
      <c r="C149" s="324" t="n">
        <v>40908</v>
      </c>
      <c r="D149" s="315" t="n">
        <f aca="false">'Deal Depiction'!J19</f>
        <v>1</v>
      </c>
      <c r="E149" s="308" t="e">
        <f aca="false">SUM('Revenues &amp; Expenses'!BJ150:$BJ$258)</f>
        <v>#NAME?</v>
      </c>
      <c r="F149" s="10" t="n">
        <f aca="false">M149</f>
        <v>35773300.8517464</v>
      </c>
      <c r="G149" s="308" t="e">
        <f aca="false">IF(AND(D149=1,E149-F149&gt;0),E149-F149,0)</f>
        <v>#NAME?</v>
      </c>
      <c r="H149" s="308" t="e">
        <f aca="false">IF(AND(D149=1,F149-E149&gt;0),F149-E149,0)</f>
        <v>#NAME?</v>
      </c>
      <c r="K149" s="10" t="n">
        <f aca="false">($K$2*315000)/12</f>
        <v>1059139.94028644</v>
      </c>
      <c r="L149" s="10" t="n">
        <f aca="false">K149*'Revenues &amp; Expenses'!N150</f>
        <v>445681.663871378</v>
      </c>
      <c r="M149" s="10" t="n">
        <f aca="false">SUM(L149:$L$257)</f>
        <v>35773300.8517464</v>
      </c>
      <c r="O149" s="308" t="n">
        <f aca="false">HLOOKUP(C149,'Debt Amortization'!$H$5:$AB$9,5)</f>
        <v>82474765.6866637</v>
      </c>
    </row>
    <row r="150" customFormat="false" ht="16.5" hidden="false" customHeight="false" outlineLevel="0" collapsed="false">
      <c r="A150" s="308" t="n">
        <f aca="false">A149+1</f>
        <v>140</v>
      </c>
      <c r="B150" s="308" t="n">
        <v>31</v>
      </c>
      <c r="C150" s="324" t="n">
        <v>40939</v>
      </c>
      <c r="D150" s="315" t="n">
        <f aca="false">D161</f>
        <v>1</v>
      </c>
      <c r="E150" s="308" t="e">
        <f aca="false">SUM('Revenues &amp; Expenses'!BJ151:$BJ$258)</f>
        <v>#NAME?</v>
      </c>
      <c r="F150" s="10" t="n">
        <f aca="false">M150</f>
        <v>35327619.187875</v>
      </c>
      <c r="G150" s="308" t="e">
        <f aca="false">IF(AND(D150=1,E150-F150&gt;0),E150-F150,0)</f>
        <v>#NAME?</v>
      </c>
      <c r="H150" s="308" t="e">
        <f aca="false">IF(AND(D150=1,F150-E150&gt;0),F150-E150,0)</f>
        <v>#NAME?</v>
      </c>
      <c r="K150" s="10" t="n">
        <f aca="false">($K$2*315000)/12</f>
        <v>1059139.94028644</v>
      </c>
      <c r="L150" s="10" t="n">
        <f aca="false">K150*'Revenues &amp; Expenses'!N151</f>
        <v>442956.529350014</v>
      </c>
      <c r="M150" s="10" t="n">
        <f aca="false">SUM(L150:$L$257)</f>
        <v>35327619.187875</v>
      </c>
      <c r="O150" s="308" t="n">
        <f aca="false">HLOOKUP(C150,'Debt Amortization'!$H$5:$AB$9,5)</f>
        <v>76980927.1685488</v>
      </c>
    </row>
    <row r="151" customFormat="false" ht="16.5" hidden="false" customHeight="false" outlineLevel="0" collapsed="false">
      <c r="A151" s="308" t="n">
        <f aca="false">A150+1</f>
        <v>141</v>
      </c>
      <c r="B151" s="308" t="n">
        <v>29</v>
      </c>
      <c r="C151" s="324" t="n">
        <v>40968</v>
      </c>
      <c r="D151" s="315" t="n">
        <f aca="false">D161</f>
        <v>1</v>
      </c>
      <c r="E151" s="308" t="e">
        <f aca="false">SUM('Revenues &amp; Expenses'!BJ152:$BJ$258)</f>
        <v>#NAME?</v>
      </c>
      <c r="F151" s="10" t="n">
        <f aca="false">M151</f>
        <v>34884662.658525</v>
      </c>
      <c r="G151" s="308" t="e">
        <f aca="false">IF(AND(D151=1,E151-F151&gt;0),E151-F151,0)</f>
        <v>#NAME?</v>
      </c>
      <c r="H151" s="308" t="e">
        <f aca="false">IF(AND(D151=1,F151-E151&gt;0),F151-E151,0)</f>
        <v>#NAME?</v>
      </c>
      <c r="K151" s="10" t="n">
        <f aca="false">($K$2*315000)/12</f>
        <v>1059139.94028644</v>
      </c>
      <c r="L151" s="10" t="n">
        <f aca="false">K151*'Revenues &amp; Expenses'!N152</f>
        <v>440248.430580259</v>
      </c>
      <c r="M151" s="10" t="n">
        <f aca="false">SUM(L151:$L$257)</f>
        <v>34884662.658525</v>
      </c>
      <c r="O151" s="308" t="n">
        <f aca="false">HLOOKUP(C151,'Debt Amortization'!$H$5:$AB$9,5)</f>
        <v>76980927.1685488</v>
      </c>
    </row>
    <row r="152" customFormat="false" ht="16.5" hidden="false" customHeight="false" outlineLevel="0" collapsed="false">
      <c r="A152" s="308" t="n">
        <f aca="false">A151+1</f>
        <v>142</v>
      </c>
      <c r="B152" s="308" t="n">
        <v>31</v>
      </c>
      <c r="C152" s="324" t="n">
        <v>40999</v>
      </c>
      <c r="D152" s="315" t="n">
        <f aca="false">D161</f>
        <v>1</v>
      </c>
      <c r="E152" s="308" t="e">
        <f aca="false">SUM('Revenues &amp; Expenses'!BJ153:$BJ$258)</f>
        <v>#NAME?</v>
      </c>
      <c r="F152" s="10" t="n">
        <f aca="false">M152</f>
        <v>34444414.2279448</v>
      </c>
      <c r="G152" s="308" t="e">
        <f aca="false">IF(AND(D152=1,E152-F152&gt;0),E152-F152,0)</f>
        <v>#NAME?</v>
      </c>
      <c r="H152" s="308" t="e">
        <f aca="false">IF(AND(D152=1,F152-E152&gt;0),F152-E152,0)</f>
        <v>#NAME?</v>
      </c>
      <c r="K152" s="10" t="n">
        <f aca="false">($K$2*315000)/12</f>
        <v>1059139.94028644</v>
      </c>
      <c r="L152" s="10" t="n">
        <f aca="false">K152*'Revenues &amp; Expenses'!N153</f>
        <v>437730.374124059</v>
      </c>
      <c r="M152" s="10" t="n">
        <f aca="false">SUM(L152:$L$257)</f>
        <v>34444414.2279448</v>
      </c>
      <c r="O152" s="308" t="n">
        <f aca="false">HLOOKUP(C152,'Debt Amortization'!$H$5:$AB$9,5)</f>
        <v>76980927.1685488</v>
      </c>
    </row>
    <row r="153" customFormat="false" ht="16.5" hidden="false" customHeight="false" outlineLevel="0" collapsed="false">
      <c r="A153" s="308" t="n">
        <f aca="false">A152+1</f>
        <v>143</v>
      </c>
      <c r="B153" s="308" t="n">
        <v>30</v>
      </c>
      <c r="C153" s="324" t="n">
        <v>41029</v>
      </c>
      <c r="D153" s="315" t="n">
        <f aca="false">D161</f>
        <v>1</v>
      </c>
      <c r="E153" s="308" t="e">
        <f aca="false">SUM('Revenues &amp; Expenses'!BJ154:$BJ$258)</f>
        <v>#NAME?</v>
      </c>
      <c r="F153" s="10" t="n">
        <f aca="false">M153</f>
        <v>34006683.8538207</v>
      </c>
      <c r="G153" s="308" t="e">
        <f aca="false">IF(AND(D153=1,E153-F153&gt;0),E153-F153,0)</f>
        <v>#NAME?</v>
      </c>
      <c r="H153" s="308" t="e">
        <f aca="false">IF(AND(D153=1,F153-E153&gt;0),F153-E153,0)</f>
        <v>#NAME?</v>
      </c>
      <c r="K153" s="10" t="n">
        <f aca="false">($K$2*315000)/12</f>
        <v>1059139.94028644</v>
      </c>
      <c r="L153" s="10" t="n">
        <f aca="false">K153*'Revenues &amp; Expenses'!N154</f>
        <v>435054.93954515</v>
      </c>
      <c r="M153" s="10" t="n">
        <f aca="false">SUM(L153:$L$257)</f>
        <v>34006683.8538207</v>
      </c>
      <c r="O153" s="308" t="n">
        <f aca="false">HLOOKUP(C153,'Debt Amortization'!$H$5:$AB$9,5)</f>
        <v>76980927.1685488</v>
      </c>
    </row>
    <row r="154" customFormat="false" ht="16.5" hidden="false" customHeight="false" outlineLevel="0" collapsed="false">
      <c r="A154" s="308" t="n">
        <f aca="false">A153+1</f>
        <v>144</v>
      </c>
      <c r="B154" s="308" t="n">
        <v>31</v>
      </c>
      <c r="C154" s="324" t="n">
        <v>41060</v>
      </c>
      <c r="D154" s="315" t="n">
        <f aca="false">D161</f>
        <v>1</v>
      </c>
      <c r="E154" s="308" t="e">
        <f aca="false">SUM('Revenues &amp; Expenses'!BJ155:$BJ$258)</f>
        <v>#NAME?</v>
      </c>
      <c r="F154" s="10" t="n">
        <f aca="false">M154</f>
        <v>33571628.9142756</v>
      </c>
      <c r="G154" s="308" t="e">
        <f aca="false">IF(AND(D154=1,E154-F154&gt;0),E154-F154,0)</f>
        <v>#NAME?</v>
      </c>
      <c r="H154" s="308" t="e">
        <f aca="false">IF(AND(D154=1,F154-E154&gt;0),F154-E154,0)</f>
        <v>#NAME?</v>
      </c>
      <c r="K154" s="10" t="n">
        <f aca="false">($K$2*315000)/12</f>
        <v>1059139.94028644</v>
      </c>
      <c r="L154" s="10" t="n">
        <f aca="false">K154*'Revenues &amp; Expenses'!N155</f>
        <v>432481.728738787</v>
      </c>
      <c r="M154" s="10" t="n">
        <f aca="false">SUM(L154:$L$257)</f>
        <v>33571628.9142756</v>
      </c>
      <c r="O154" s="308" t="n">
        <f aca="false">HLOOKUP(C154,'Debt Amortization'!$H$5:$AB$9,5)</f>
        <v>76980927.1685488</v>
      </c>
    </row>
    <row r="155" customFormat="false" ht="16.5" hidden="false" customHeight="false" outlineLevel="0" collapsed="false">
      <c r="A155" s="308" t="n">
        <f aca="false">A154+1</f>
        <v>145</v>
      </c>
      <c r="B155" s="308" t="n">
        <v>30</v>
      </c>
      <c r="C155" s="324" t="n">
        <v>41090</v>
      </c>
      <c r="D155" s="315" t="n">
        <f aca="false">D161</f>
        <v>1</v>
      </c>
      <c r="E155" s="308" t="e">
        <f aca="false">SUM('Revenues &amp; Expenses'!BJ156:$BJ$258)</f>
        <v>#NAME?</v>
      </c>
      <c r="F155" s="10" t="n">
        <f aca="false">M155</f>
        <v>33139147.1855368</v>
      </c>
      <c r="G155" s="308" t="e">
        <f aca="false">IF(AND(D155=1,E155-F155&gt;0),E155-F155,0)</f>
        <v>#NAME?</v>
      </c>
      <c r="H155" s="308" t="e">
        <f aca="false">IF(AND(D155=1,F155-E155&gt;0),F155-E155,0)</f>
        <v>#NAME?</v>
      </c>
      <c r="K155" s="10" t="n">
        <f aca="false">($K$2*315000)/12</f>
        <v>1059139.94028644</v>
      </c>
      <c r="L155" s="10" t="n">
        <f aca="false">K155*'Revenues &amp; Expenses'!N156</f>
        <v>429839.09049652</v>
      </c>
      <c r="M155" s="10" t="n">
        <f aca="false">SUM(L155:$L$257)</f>
        <v>33139147.1855368</v>
      </c>
      <c r="O155" s="308" t="n">
        <f aca="false">HLOOKUP(C155,'Debt Amortization'!$H$5:$AB$9,5)</f>
        <v>76980927.1685488</v>
      </c>
    </row>
    <row r="156" customFormat="false" ht="16.5" hidden="false" customHeight="false" outlineLevel="0" collapsed="false">
      <c r="A156" s="308" t="n">
        <f aca="false">A155+1</f>
        <v>146</v>
      </c>
      <c r="B156" s="308" t="n">
        <v>31</v>
      </c>
      <c r="C156" s="324" t="n">
        <v>41121</v>
      </c>
      <c r="D156" s="315" t="n">
        <f aca="false">D161</f>
        <v>1</v>
      </c>
      <c r="E156" s="308" t="e">
        <f aca="false">SUM('Revenues &amp; Expenses'!BJ157:$BJ$258)</f>
        <v>#NAME?</v>
      </c>
      <c r="F156" s="10" t="n">
        <f aca="false">M156</f>
        <v>32709308.0950403</v>
      </c>
      <c r="G156" s="308" t="e">
        <f aca="false">IF(AND(D156=1,E156-F156&gt;0),E156-F156,0)</f>
        <v>#NAME?</v>
      </c>
      <c r="H156" s="308" t="e">
        <f aca="false">IF(AND(D156=1,F156-E156&gt;0),F156-E156,0)</f>
        <v>#NAME?</v>
      </c>
      <c r="K156" s="10" t="n">
        <f aca="false">($K$2*315000)/12</f>
        <v>1059139.94028644</v>
      </c>
      <c r="L156" s="10" t="n">
        <f aca="false">K156*'Revenues &amp; Expenses'!N157</f>
        <v>427297.418864061</v>
      </c>
      <c r="M156" s="10" t="n">
        <f aca="false">SUM(L156:$L$257)</f>
        <v>32709308.0950403</v>
      </c>
      <c r="O156" s="308" t="n">
        <f aca="false">HLOOKUP(C156,'Debt Amortization'!$H$5:$AB$9,5)</f>
        <v>76980927.1685488</v>
      </c>
    </row>
    <row r="157" customFormat="false" ht="16.5" hidden="false" customHeight="false" outlineLevel="0" collapsed="false">
      <c r="A157" s="308" t="n">
        <f aca="false">A156+1</f>
        <v>147</v>
      </c>
      <c r="B157" s="308" t="n">
        <v>31</v>
      </c>
      <c r="C157" s="324" t="n">
        <v>41152</v>
      </c>
      <c r="D157" s="315" t="n">
        <f aca="false">D161</f>
        <v>1</v>
      </c>
      <c r="E157" s="308" t="e">
        <f aca="false">SUM('Revenues &amp; Expenses'!BJ158:$BJ$258)</f>
        <v>#NAME?</v>
      </c>
      <c r="F157" s="10" t="n">
        <f aca="false">M157</f>
        <v>32282010.6761762</v>
      </c>
      <c r="G157" s="308" t="e">
        <f aca="false">IF(AND(D157=1,E157-F157&gt;0),E157-F157,0)</f>
        <v>#NAME?</v>
      </c>
      <c r="H157" s="308" t="e">
        <f aca="false">IF(AND(D157=1,F157-E157&gt;0),F157-E157,0)</f>
        <v>#NAME?</v>
      </c>
      <c r="K157" s="10" t="n">
        <f aca="false">($K$2*315000)/12</f>
        <v>1059139.94028644</v>
      </c>
      <c r="L157" s="10" t="n">
        <f aca="false">K157*'Revenues &amp; Expenses'!N158</f>
        <v>424687.166569238</v>
      </c>
      <c r="M157" s="10" t="n">
        <f aca="false">SUM(L157:$L$257)</f>
        <v>32282010.6761762</v>
      </c>
      <c r="O157" s="308" t="n">
        <f aca="false">HLOOKUP(C157,'Debt Amortization'!$H$5:$AB$9,5)</f>
        <v>76980927.1685488</v>
      </c>
    </row>
    <row r="158" customFormat="false" ht="16.5" hidden="false" customHeight="false" outlineLevel="0" collapsed="false">
      <c r="A158" s="308" t="n">
        <f aca="false">A157+1</f>
        <v>148</v>
      </c>
      <c r="B158" s="308" t="n">
        <v>30</v>
      </c>
      <c r="C158" s="324" t="n">
        <v>41182</v>
      </c>
      <c r="D158" s="315" t="n">
        <f aca="false">D161</f>
        <v>1</v>
      </c>
      <c r="E158" s="308" t="e">
        <f aca="false">SUM('Revenues &amp; Expenses'!BJ159:$BJ$258)</f>
        <v>#NAME?</v>
      </c>
      <c r="F158" s="10" t="n">
        <f aca="false">M158</f>
        <v>31857323.509607</v>
      </c>
      <c r="G158" s="308" t="e">
        <f aca="false">IF(AND(D158=1,E158-F158&gt;0),E158-F158,0)</f>
        <v>#NAME?</v>
      </c>
      <c r="H158" s="308" t="e">
        <f aca="false">IF(AND(D158=1,F158-E158&gt;0),F158-E158,0)</f>
        <v>#NAME?</v>
      </c>
      <c r="K158" s="10" t="n">
        <f aca="false">($K$2*315000)/12</f>
        <v>1059139.94028644</v>
      </c>
      <c r="L158" s="10" t="n">
        <f aca="false">K158*'Revenues &amp; Expenses'!N159</f>
        <v>422093.217113372</v>
      </c>
      <c r="M158" s="10" t="n">
        <f aca="false">SUM(L158:$L$257)</f>
        <v>31857323.509607</v>
      </c>
      <c r="O158" s="308" t="n">
        <f aca="false">HLOOKUP(C158,'Debt Amortization'!$H$5:$AB$9,5)</f>
        <v>76980927.1685488</v>
      </c>
    </row>
    <row r="159" customFormat="false" ht="16.5" hidden="false" customHeight="false" outlineLevel="0" collapsed="false">
      <c r="A159" s="308" t="n">
        <f aca="false">A158+1</f>
        <v>149</v>
      </c>
      <c r="B159" s="308" t="n">
        <v>31</v>
      </c>
      <c r="C159" s="324" t="n">
        <v>41213</v>
      </c>
      <c r="D159" s="315" t="n">
        <f aca="false">D161</f>
        <v>1</v>
      </c>
      <c r="E159" s="308" t="e">
        <f aca="false">SUM('Revenues &amp; Expenses'!BJ160:$BJ$258)</f>
        <v>#NAME?</v>
      </c>
      <c r="F159" s="10" t="n">
        <f aca="false">M159</f>
        <v>31435230.2924936</v>
      </c>
      <c r="G159" s="308" t="e">
        <f aca="false">IF(AND(D159=1,E159-F159&gt;0),E159-F159,0)</f>
        <v>#NAME?</v>
      </c>
      <c r="H159" s="308" t="e">
        <f aca="false">IF(AND(D159=1,F159-E159&gt;0),F159-E159,0)</f>
        <v>#NAME?</v>
      </c>
      <c r="K159" s="10" t="n">
        <f aca="false">($K$2*315000)/12</f>
        <v>1059139.94028644</v>
      </c>
      <c r="L159" s="10" t="n">
        <f aca="false">K159*'Revenues &amp; Expenses'!N160</f>
        <v>419598.368000652</v>
      </c>
      <c r="M159" s="10" t="n">
        <f aca="false">SUM(L159:$L$257)</f>
        <v>31435230.2924936</v>
      </c>
      <c r="O159" s="308" t="n">
        <f aca="false">HLOOKUP(C159,'Debt Amortization'!$H$5:$AB$9,5)</f>
        <v>76980927.1685488</v>
      </c>
    </row>
    <row r="160" customFormat="false" ht="16.5" hidden="false" customHeight="false" outlineLevel="0" collapsed="false">
      <c r="A160" s="308" t="n">
        <f aca="false">A159+1</f>
        <v>150</v>
      </c>
      <c r="B160" s="308" t="n">
        <v>30</v>
      </c>
      <c r="C160" s="324" t="n">
        <v>41243</v>
      </c>
      <c r="D160" s="315" t="n">
        <f aca="false">D161</f>
        <v>1</v>
      </c>
      <c r="E160" s="308" t="e">
        <f aca="false">SUM('Revenues &amp; Expenses'!BJ161:$BJ$258)</f>
        <v>#NAME?</v>
      </c>
      <c r="F160" s="10" t="n">
        <f aca="false">M160</f>
        <v>31015631.9244929</v>
      </c>
      <c r="G160" s="308" t="e">
        <f aca="false">IF(AND(D160=1,E160-F160&gt;0),E160-F160,0)</f>
        <v>#NAME?</v>
      </c>
      <c r="H160" s="308" t="e">
        <f aca="false">IF(AND(D160=1,F160-E160&gt;0),F160-E160,0)</f>
        <v>#NAME?</v>
      </c>
      <c r="K160" s="10" t="n">
        <f aca="false">($K$2*315000)/12</f>
        <v>1059139.94028644</v>
      </c>
      <c r="L160" s="10" t="n">
        <f aca="false">K160*'Revenues &amp; Expenses'!N161</f>
        <v>417036.195425611</v>
      </c>
      <c r="M160" s="10" t="n">
        <f aca="false">SUM(L160:$L$257)</f>
        <v>31015631.9244929</v>
      </c>
      <c r="O160" s="308" t="n">
        <f aca="false">HLOOKUP(C160,'Debt Amortization'!$H$5:$AB$9,5)</f>
        <v>76980927.1685488</v>
      </c>
    </row>
    <row r="161" customFormat="false" ht="16.5" hidden="false" customHeight="false" outlineLevel="0" collapsed="false">
      <c r="A161" s="308" t="n">
        <f aca="false">A160+1</f>
        <v>151</v>
      </c>
      <c r="B161" s="308" t="n">
        <v>31</v>
      </c>
      <c r="C161" s="324" t="n">
        <v>41274</v>
      </c>
      <c r="D161" s="315" t="n">
        <f aca="false">'Deal Depiction'!J20</f>
        <v>1</v>
      </c>
      <c r="E161" s="308" t="e">
        <f aca="false">SUM('Revenues &amp; Expenses'!BJ162:$BJ$258)</f>
        <v>#NAME?</v>
      </c>
      <c r="F161" s="10" t="n">
        <f aca="false">M161</f>
        <v>30598595.7290673</v>
      </c>
      <c r="G161" s="308" t="e">
        <f aca="false">IF(AND(D161=1,E161-F161&gt;0),E161-F161,0)</f>
        <v>#NAME?</v>
      </c>
      <c r="H161" s="308" t="e">
        <f aca="false">IF(AND(D161=1,F161-E161&gt;0),F161-E161,0)</f>
        <v>#NAME?</v>
      </c>
      <c r="K161" s="10" t="n">
        <f aca="false">($K$2*315000)/12</f>
        <v>1059139.94028644</v>
      </c>
      <c r="L161" s="10" t="n">
        <f aca="false">K161*'Revenues &amp; Expenses'!N162</f>
        <v>414571.905229413</v>
      </c>
      <c r="M161" s="10" t="n">
        <f aca="false">SUM(L161:$L$257)</f>
        <v>30598595.7290673</v>
      </c>
      <c r="O161" s="308" t="n">
        <f aca="false">HLOOKUP(C161,'Debt Amortization'!$H$5:$AB$9,5)</f>
        <v>71006424.4908324</v>
      </c>
    </row>
    <row r="162" customFormat="false" ht="16.5" hidden="false" customHeight="false" outlineLevel="0" collapsed="false">
      <c r="A162" s="308" t="n">
        <f aca="false">A161+1</f>
        <v>152</v>
      </c>
      <c r="B162" s="308" t="n">
        <v>31</v>
      </c>
      <c r="C162" s="324" t="n">
        <v>41305</v>
      </c>
      <c r="D162" s="315" t="n">
        <f aca="false">D173</f>
        <v>1</v>
      </c>
      <c r="E162" s="308" t="e">
        <f aca="false">SUM('Revenues &amp; Expenses'!BJ163:$BJ$258)</f>
        <v>#NAME?</v>
      </c>
      <c r="F162" s="10" t="n">
        <f aca="false">M162</f>
        <v>30184023.8238379</v>
      </c>
      <c r="G162" s="308" t="e">
        <f aca="false">IF(AND(D162=1,E162-F162&gt;0),E162-F162,0)</f>
        <v>#NAME?</v>
      </c>
      <c r="H162" s="308" t="e">
        <f aca="false">IF(AND(D162=1,F162-E162&gt;0),F162-E162,0)</f>
        <v>#NAME?</v>
      </c>
      <c r="K162" s="10" t="n">
        <f aca="false">($K$2*315000)/12</f>
        <v>1059139.94028644</v>
      </c>
      <c r="L162" s="10" t="n">
        <f aca="false">K162*'Revenues &amp; Expenses'!N163</f>
        <v>412041.112149647</v>
      </c>
      <c r="M162" s="10" t="n">
        <f aca="false">SUM(L162:$L$257)</f>
        <v>30184023.8238379</v>
      </c>
      <c r="O162" s="308" t="n">
        <f aca="false">HLOOKUP(C162,'Debt Amortization'!$H$5:$AB$9,5)</f>
        <v>71006424.4908324</v>
      </c>
    </row>
    <row r="163" customFormat="false" ht="16.5" hidden="false" customHeight="false" outlineLevel="0" collapsed="false">
      <c r="A163" s="308" t="n">
        <f aca="false">A162+1</f>
        <v>153</v>
      </c>
      <c r="B163" s="308" t="n">
        <v>28</v>
      </c>
      <c r="C163" s="324" t="n">
        <v>41333</v>
      </c>
      <c r="D163" s="315" t="n">
        <f aca="false">D173</f>
        <v>1</v>
      </c>
      <c r="E163" s="308" t="e">
        <f aca="false">SUM('Revenues &amp; Expenses'!BJ164:$BJ$258)</f>
        <v>#NAME?</v>
      </c>
      <c r="F163" s="10" t="n">
        <f aca="false">M163</f>
        <v>29771982.7116883</v>
      </c>
      <c r="G163" s="308" t="e">
        <f aca="false">IF(AND(D163=1,E163-F163&gt;0),E163-F163,0)</f>
        <v>#NAME?</v>
      </c>
      <c r="H163" s="308" t="e">
        <f aca="false">IF(AND(D163=1,F163-E163&gt;0),F163-E163,0)</f>
        <v>#NAME?</v>
      </c>
      <c r="K163" s="10" t="n">
        <f aca="false">($K$2*315000)/12</f>
        <v>1059139.94028644</v>
      </c>
      <c r="L163" s="10" t="n">
        <f aca="false">K163*'Revenues &amp; Expenses'!N164</f>
        <v>409526.115362306</v>
      </c>
      <c r="M163" s="10" t="n">
        <f aca="false">SUM(L163:$L$257)</f>
        <v>29771982.7116883</v>
      </c>
      <c r="O163" s="308" t="n">
        <f aca="false">HLOOKUP(C163,'Debt Amortization'!$H$5:$AB$9,5)</f>
        <v>71006424.4908324</v>
      </c>
    </row>
    <row r="164" customFormat="false" ht="16.5" hidden="false" customHeight="false" outlineLevel="0" collapsed="false">
      <c r="A164" s="308" t="n">
        <f aca="false">A163+1</f>
        <v>154</v>
      </c>
      <c r="B164" s="308" t="n">
        <v>31</v>
      </c>
      <c r="C164" s="324" t="n">
        <v>41364</v>
      </c>
      <c r="D164" s="315" t="n">
        <f aca="false">D173</f>
        <v>1</v>
      </c>
      <c r="E164" s="308" t="e">
        <f aca="false">SUM('Revenues &amp; Expenses'!BJ165:$BJ$258)</f>
        <v>#NAME?</v>
      </c>
      <c r="F164" s="10" t="n">
        <f aca="false">M164</f>
        <v>29362456.596326</v>
      </c>
      <c r="G164" s="308" t="e">
        <f aca="false">IF(AND(D164=1,E164-F164&gt;0),E164-F164,0)</f>
        <v>#NAME?</v>
      </c>
      <c r="H164" s="308" t="e">
        <f aca="false">IF(AND(D164=1,F164-E164&gt;0),F164-E164,0)</f>
        <v>#NAME?</v>
      </c>
      <c r="K164" s="10" t="n">
        <f aca="false">($K$2*315000)/12</f>
        <v>1059139.94028644</v>
      </c>
      <c r="L164" s="10" t="n">
        <f aca="false">K164*'Revenues &amp; Expenses'!N165</f>
        <v>407267.998867595</v>
      </c>
      <c r="M164" s="10" t="n">
        <f aca="false">SUM(L164:$L$257)</f>
        <v>29362456.596326</v>
      </c>
      <c r="O164" s="308" t="n">
        <f aca="false">HLOOKUP(C164,'Debt Amortization'!$H$5:$AB$9,5)</f>
        <v>71006424.4908324</v>
      </c>
    </row>
    <row r="165" customFormat="false" ht="16.5" hidden="false" customHeight="false" outlineLevel="0" collapsed="false">
      <c r="A165" s="308" t="n">
        <f aca="false">A164+1</f>
        <v>155</v>
      </c>
      <c r="B165" s="308" t="n">
        <v>30</v>
      </c>
      <c r="C165" s="324" t="n">
        <v>41394</v>
      </c>
      <c r="D165" s="315" t="n">
        <f aca="false">D173</f>
        <v>1</v>
      </c>
      <c r="E165" s="308" t="e">
        <f aca="false">SUM('Revenues &amp; Expenses'!BJ166:$BJ$258)</f>
        <v>#NAME?</v>
      </c>
      <c r="F165" s="10" t="n">
        <f aca="false">M165</f>
        <v>28955188.5974584</v>
      </c>
      <c r="G165" s="308" t="e">
        <f aca="false">IF(AND(D165=1,E165-F165&gt;0),E165-F165,0)</f>
        <v>#NAME?</v>
      </c>
      <c r="H165" s="308" t="e">
        <f aca="false">IF(AND(D165=1,F165-E165&gt;0),F165-E165,0)</f>
        <v>#NAME?</v>
      </c>
      <c r="K165" s="10" t="n">
        <f aca="false">($K$2*315000)/12</f>
        <v>1059139.94028644</v>
      </c>
      <c r="L165" s="10" t="n">
        <f aca="false">K165*'Revenues &amp; Expenses'!N166</f>
        <v>404782.78843139</v>
      </c>
      <c r="M165" s="10" t="n">
        <f aca="false">SUM(L165:$L$257)</f>
        <v>28955188.5974584</v>
      </c>
      <c r="O165" s="308" t="n">
        <f aca="false">HLOOKUP(C165,'Debt Amortization'!$H$5:$AB$9,5)</f>
        <v>71006424.4908324</v>
      </c>
    </row>
    <row r="166" customFormat="false" ht="16.5" hidden="false" customHeight="false" outlineLevel="0" collapsed="false">
      <c r="A166" s="308" t="n">
        <f aca="false">A165+1</f>
        <v>156</v>
      </c>
      <c r="B166" s="308" t="n">
        <v>31</v>
      </c>
      <c r="C166" s="324" t="n">
        <v>41425</v>
      </c>
      <c r="D166" s="315" t="n">
        <f aca="false">D173</f>
        <v>1</v>
      </c>
      <c r="E166" s="308" t="e">
        <f aca="false">SUM('Revenues &amp; Expenses'!BJ167:$BJ$258)</f>
        <v>#NAME?</v>
      </c>
      <c r="F166" s="10" t="n">
        <f aca="false">M166</f>
        <v>28550405.809027</v>
      </c>
      <c r="G166" s="308" t="e">
        <f aca="false">IF(AND(D166=1,E166-F166&gt;0),E166-F166,0)</f>
        <v>#NAME?</v>
      </c>
      <c r="H166" s="308" t="e">
        <f aca="false">IF(AND(D166=1,F166-E166&gt;0),F166-E166,0)</f>
        <v>#NAME?</v>
      </c>
      <c r="K166" s="10" t="n">
        <f aca="false">($K$2*315000)/12</f>
        <v>1059139.94028644</v>
      </c>
      <c r="L166" s="10" t="n">
        <f aca="false">K166*'Revenues &amp; Expenses'!N167</f>
        <v>402392.510721827</v>
      </c>
      <c r="M166" s="10" t="n">
        <f aca="false">SUM(L166:$L$257)</f>
        <v>28550405.809027</v>
      </c>
      <c r="O166" s="308" t="n">
        <f aca="false">HLOOKUP(C166,'Debt Amortization'!$H$5:$AB$9,5)</f>
        <v>71006424.4908324</v>
      </c>
    </row>
    <row r="167" customFormat="false" ht="16.5" hidden="false" customHeight="false" outlineLevel="0" collapsed="false">
      <c r="A167" s="308" t="n">
        <f aca="false">A166+1</f>
        <v>157</v>
      </c>
      <c r="B167" s="308" t="n">
        <v>30</v>
      </c>
      <c r="C167" s="324" t="n">
        <v>41455</v>
      </c>
      <c r="D167" s="315" t="n">
        <f aca="false">D173</f>
        <v>1</v>
      </c>
      <c r="E167" s="308" t="e">
        <f aca="false">SUM('Revenues &amp; Expenses'!BJ168:$BJ$258)</f>
        <v>#NAME?</v>
      </c>
      <c r="F167" s="10" t="n">
        <f aca="false">M167</f>
        <v>28148013.2983051</v>
      </c>
      <c r="G167" s="308" t="e">
        <f aca="false">IF(AND(D167=1,E167-F167&gt;0),E167-F167,0)</f>
        <v>#NAME?</v>
      </c>
      <c r="H167" s="308" t="e">
        <f aca="false">IF(AND(D167=1,F167-E167&gt;0),F167-E167,0)</f>
        <v>#NAME?</v>
      </c>
      <c r="K167" s="10" t="n">
        <f aca="false">($K$2*315000)/12</f>
        <v>1059139.94028644</v>
      </c>
      <c r="L167" s="10" t="n">
        <f aca="false">K167*'Revenues &amp; Expenses'!N168</f>
        <v>399937.717744431</v>
      </c>
      <c r="M167" s="10" t="n">
        <f aca="false">SUM(L167:$L$257)</f>
        <v>28148013.2983051</v>
      </c>
      <c r="O167" s="308" t="n">
        <f aca="false">HLOOKUP(C167,'Debt Amortization'!$H$5:$AB$9,5)</f>
        <v>71006424.4908324</v>
      </c>
    </row>
    <row r="168" customFormat="false" ht="16.5" hidden="false" customHeight="false" outlineLevel="0" collapsed="false">
      <c r="A168" s="308" t="n">
        <f aca="false">A167+1</f>
        <v>158</v>
      </c>
      <c r="B168" s="308" t="n">
        <v>31</v>
      </c>
      <c r="C168" s="324" t="n">
        <v>41486</v>
      </c>
      <c r="D168" s="315" t="n">
        <f aca="false">D173</f>
        <v>1</v>
      </c>
      <c r="E168" s="308" t="e">
        <f aca="false">SUM('Revenues &amp; Expenses'!BJ169:$BJ$258)</f>
        <v>#NAME?</v>
      </c>
      <c r="F168" s="10" t="n">
        <f aca="false">M168</f>
        <v>27748075.5805607</v>
      </c>
      <c r="G168" s="308" t="e">
        <f aca="false">IF(AND(D168=1,E168-F168&gt;0),E168-F168,0)</f>
        <v>#NAME?</v>
      </c>
      <c r="H168" s="308" t="e">
        <f aca="false">IF(AND(D168=1,F168-E168&gt;0),F168-E168,0)</f>
        <v>#NAME?</v>
      </c>
      <c r="K168" s="10" t="n">
        <f aca="false">($K$2*315000)/12</f>
        <v>1059139.94028644</v>
      </c>
      <c r="L168" s="10" t="n">
        <f aca="false">K168*'Revenues &amp; Expenses'!N169</f>
        <v>397576.69179362</v>
      </c>
      <c r="M168" s="10" t="n">
        <f aca="false">SUM(L168:$L$257)</f>
        <v>27748075.5805607</v>
      </c>
      <c r="O168" s="308" t="n">
        <f aca="false">HLOOKUP(C168,'Debt Amortization'!$H$5:$AB$9,5)</f>
        <v>71006424.4908324</v>
      </c>
    </row>
    <row r="169" customFormat="false" ht="16.5" hidden="false" customHeight="false" outlineLevel="0" collapsed="false">
      <c r="A169" s="308" t="n">
        <f aca="false">A168+1</f>
        <v>159</v>
      </c>
      <c r="B169" s="308" t="n">
        <v>31</v>
      </c>
      <c r="C169" s="324" t="n">
        <v>41517</v>
      </c>
      <c r="D169" s="315" t="n">
        <f aca="false">D173</f>
        <v>1</v>
      </c>
      <c r="E169" s="308" t="e">
        <f aca="false">SUM('Revenues &amp; Expenses'!BJ170:$BJ$258)</f>
        <v>#NAME?</v>
      </c>
      <c r="F169" s="10" t="n">
        <f aca="false">M169</f>
        <v>27350498.8887671</v>
      </c>
      <c r="G169" s="308" t="e">
        <f aca="false">IF(AND(D169=1,E169-F169&gt;0),E169-F169,0)</f>
        <v>#NAME?</v>
      </c>
      <c r="H169" s="308" t="e">
        <f aca="false">IF(AND(D169=1,F169-E169&gt;0),F169-E169,0)</f>
        <v>#NAME?</v>
      </c>
      <c r="K169" s="10" t="n">
        <f aca="false">($K$2*315000)/12</f>
        <v>1059139.94028644</v>
      </c>
      <c r="L169" s="10" t="n">
        <f aca="false">K169*'Revenues &amp; Expenses'!N170</f>
        <v>395151.936217196</v>
      </c>
      <c r="M169" s="10" t="n">
        <f aca="false">SUM(L169:$L$257)</f>
        <v>27350498.8887671</v>
      </c>
      <c r="O169" s="308" t="n">
        <f aca="false">HLOOKUP(C169,'Debt Amortization'!$H$5:$AB$9,5)</f>
        <v>71006424.4908324</v>
      </c>
    </row>
    <row r="170" customFormat="false" ht="16.5" hidden="false" customHeight="false" outlineLevel="0" collapsed="false">
      <c r="A170" s="308" t="n">
        <f aca="false">A169+1</f>
        <v>160</v>
      </c>
      <c r="B170" s="308" t="n">
        <v>30</v>
      </c>
      <c r="C170" s="324" t="n">
        <v>41547</v>
      </c>
      <c r="D170" s="315" t="n">
        <f aca="false">D173</f>
        <v>1</v>
      </c>
      <c r="E170" s="308" t="e">
        <f aca="false">SUM('Revenues &amp; Expenses'!BJ171:$BJ$258)</f>
        <v>#NAME?</v>
      </c>
      <c r="F170" s="10" t="n">
        <f aca="false">M170</f>
        <v>26955346.9525499</v>
      </c>
      <c r="G170" s="308" t="e">
        <f aca="false">IF(AND(D170=1,E170-F170&gt;0),E170-F170,0)</f>
        <v>#NAME?</v>
      </c>
      <c r="H170" s="308" t="e">
        <f aca="false">IF(AND(D170=1,F170-E170&gt;0),F170-E170,0)</f>
        <v>#NAME?</v>
      </c>
      <c r="K170" s="10" t="n">
        <f aca="false">($K$2*315000)/12</f>
        <v>1059139.94028644</v>
      </c>
      <c r="L170" s="10" t="n">
        <f aca="false">K170*'Revenues &amp; Expenses'!N171</f>
        <v>392742.301453583</v>
      </c>
      <c r="M170" s="10" t="n">
        <f aca="false">SUM(L170:$L$257)</f>
        <v>26955346.9525499</v>
      </c>
      <c r="O170" s="308" t="n">
        <f aca="false">HLOOKUP(C170,'Debt Amortization'!$H$5:$AB$9,5)</f>
        <v>71006424.4908324</v>
      </c>
    </row>
    <row r="171" customFormat="false" ht="16.5" hidden="false" customHeight="false" outlineLevel="0" collapsed="false">
      <c r="A171" s="308" t="n">
        <f aca="false">A170+1</f>
        <v>161</v>
      </c>
      <c r="B171" s="308" t="n">
        <v>31</v>
      </c>
      <c r="C171" s="324" t="n">
        <v>41578</v>
      </c>
      <c r="D171" s="315" t="n">
        <f aca="false">D173</f>
        <v>1</v>
      </c>
      <c r="E171" s="308" t="e">
        <f aca="false">SUM('Revenues &amp; Expenses'!BJ172:$BJ$258)</f>
        <v>#NAME?</v>
      </c>
      <c r="F171" s="10" t="n">
        <f aca="false">M171</f>
        <v>26562604.6510963</v>
      </c>
      <c r="G171" s="308" t="e">
        <f aca="false">IF(AND(D171=1,E171-F171&gt;0),E171-F171,0)</f>
        <v>#NAME?</v>
      </c>
      <c r="H171" s="308" t="e">
        <f aca="false">IF(AND(D171=1,F171-E171&gt;0),F171-E171,0)</f>
        <v>#NAME?</v>
      </c>
      <c r="K171" s="10" t="n">
        <f aca="false">($K$2*315000)/12</f>
        <v>1059139.94028644</v>
      </c>
      <c r="L171" s="10" t="n">
        <f aca="false">K171*'Revenues &amp; Expenses'!N172</f>
        <v>390424.703186181</v>
      </c>
      <c r="M171" s="10" t="n">
        <f aca="false">SUM(L171:$L$257)</f>
        <v>26562604.6510963</v>
      </c>
      <c r="O171" s="308" t="n">
        <f aca="false">HLOOKUP(C171,'Debt Amortization'!$H$5:$AB$9,5)</f>
        <v>71006424.4908324</v>
      </c>
    </row>
    <row r="172" customFormat="false" ht="16.5" hidden="false" customHeight="false" outlineLevel="0" collapsed="false">
      <c r="A172" s="308" t="n">
        <f aca="false">A171+1</f>
        <v>162</v>
      </c>
      <c r="B172" s="308" t="n">
        <v>30</v>
      </c>
      <c r="C172" s="324" t="n">
        <v>41608</v>
      </c>
      <c r="D172" s="315" t="n">
        <f aca="false">D173</f>
        <v>1</v>
      </c>
      <c r="E172" s="308" t="e">
        <f aca="false">SUM('Revenues &amp; Expenses'!BJ173:$BJ$258)</f>
        <v>#NAME?</v>
      </c>
      <c r="F172" s="10" t="n">
        <f aca="false">M172</f>
        <v>26172179.9479101</v>
      </c>
      <c r="G172" s="308" t="e">
        <f aca="false">IF(AND(D172=1,E172-F172&gt;0),E172-F172,0)</f>
        <v>#NAME?</v>
      </c>
      <c r="H172" s="308" t="e">
        <f aca="false">IF(AND(D172=1,F172-E172&gt;0),F172-E172,0)</f>
        <v>#NAME?</v>
      </c>
      <c r="K172" s="10" t="n">
        <f aca="false">($K$2*315000)/12</f>
        <v>1059139.94028644</v>
      </c>
      <c r="L172" s="10" t="n">
        <f aca="false">K172*'Revenues &amp; Expenses'!N173</f>
        <v>388044.541759237</v>
      </c>
      <c r="M172" s="10" t="n">
        <f aca="false">SUM(L172:$L$257)</f>
        <v>26172179.9479101</v>
      </c>
      <c r="O172" s="308" t="n">
        <f aca="false">HLOOKUP(C172,'Debt Amortization'!$H$5:$AB$9,5)</f>
        <v>71006424.4908324</v>
      </c>
    </row>
    <row r="173" customFormat="false" ht="16.5" hidden="false" customHeight="false" outlineLevel="0" collapsed="false">
      <c r="A173" s="308" t="n">
        <f aca="false">A172+1</f>
        <v>163</v>
      </c>
      <c r="B173" s="308" t="n">
        <v>31</v>
      </c>
      <c r="C173" s="324" t="n">
        <v>41639</v>
      </c>
      <c r="D173" s="315" t="n">
        <f aca="false">'Deal Depiction'!J21</f>
        <v>1</v>
      </c>
      <c r="E173" s="308" t="e">
        <f aca="false">SUM('Revenues &amp; Expenses'!BJ174:$BJ$258)</f>
        <v>#NAME?</v>
      </c>
      <c r="F173" s="10" t="n">
        <f aca="false">M173</f>
        <v>25784135.4061509</v>
      </c>
      <c r="G173" s="308" t="e">
        <f aca="false">IF(AND(D173=1,E173-F173&gt;0),E173-F173,0)</f>
        <v>#NAME?</v>
      </c>
      <c r="H173" s="308" t="e">
        <f aca="false">IF(AND(D173=1,F173-E173&gt;0),F173-E173,0)</f>
        <v>#NAME?</v>
      </c>
      <c r="K173" s="10" t="n">
        <f aca="false">($K$2*315000)/12</f>
        <v>1059139.94028644</v>
      </c>
      <c r="L173" s="10" t="n">
        <f aca="false">K173*'Revenues &amp; Expenses'!N174</f>
        <v>385755.28742191</v>
      </c>
      <c r="M173" s="10" t="n">
        <f aca="false">SUM(L173:$L$257)</f>
        <v>25784135.4061509</v>
      </c>
      <c r="O173" s="308" t="n">
        <f aca="false">HLOOKUP(C173,'Debt Amortization'!$H$5:$AB$9,5)</f>
        <v>71006424.4908324</v>
      </c>
    </row>
    <row r="174" customFormat="false" ht="16.5" hidden="false" customHeight="false" outlineLevel="0" collapsed="false">
      <c r="A174" s="308" t="n">
        <f aca="false">A173+1</f>
        <v>164</v>
      </c>
      <c r="B174" s="308" t="n">
        <v>31</v>
      </c>
      <c r="C174" s="324" t="n">
        <v>41670</v>
      </c>
      <c r="D174" s="315" t="n">
        <f aca="false">D185</f>
        <v>1</v>
      </c>
      <c r="E174" s="308" t="e">
        <f aca="false">SUM('Revenues &amp; Expenses'!BJ175:$BJ$258)</f>
        <v>#NAME?</v>
      </c>
      <c r="F174" s="10" t="n">
        <f aca="false">M174</f>
        <v>25398380.118729</v>
      </c>
      <c r="G174" s="308" t="e">
        <f aca="false">IF(AND(D174=1,E174-F174&gt;0),E174-F174,0)</f>
        <v>#NAME?</v>
      </c>
      <c r="H174" s="308" t="e">
        <f aca="false">IF(AND(D174=1,F174-E174&gt;0),F174-E174,0)</f>
        <v>#NAME?</v>
      </c>
      <c r="K174" s="10" t="n">
        <f aca="false">($K$2*315000)/12</f>
        <v>1059139.94028644</v>
      </c>
      <c r="L174" s="10" t="n">
        <f aca="false">K174*'Revenues &amp; Expenses'!N175</f>
        <v>383404.231299331</v>
      </c>
      <c r="M174" s="10" t="n">
        <f aca="false">SUM(L174:$L$257)</f>
        <v>25398380.118729</v>
      </c>
      <c r="O174" s="308" t="n">
        <f aca="false">HLOOKUP(C174,'Debt Amortization'!$H$5:$AB$9,5)</f>
        <v>64509203.6263414</v>
      </c>
    </row>
    <row r="175" customFormat="false" ht="16.5" hidden="false" customHeight="false" outlineLevel="0" collapsed="false">
      <c r="A175" s="308" t="n">
        <f aca="false">A174+1</f>
        <v>165</v>
      </c>
      <c r="B175" s="308" t="n">
        <v>28</v>
      </c>
      <c r="C175" s="324" t="n">
        <v>41698</v>
      </c>
      <c r="D175" s="315" t="n">
        <f aca="false">D185</f>
        <v>1</v>
      </c>
      <c r="E175" s="308" t="e">
        <f aca="false">SUM('Revenues &amp; Expenses'!BJ176:$BJ$258)</f>
        <v>#NAME?</v>
      </c>
      <c r="F175" s="10" t="n">
        <f aca="false">M175</f>
        <v>25014975.8874297</v>
      </c>
      <c r="G175" s="308" t="e">
        <f aca="false">IF(AND(D175=1,E175-F175&gt;0),E175-F175,0)</f>
        <v>#NAME?</v>
      </c>
      <c r="H175" s="308" t="e">
        <f aca="false">IF(AND(D175=1,F175-E175&gt;0),F175-E175,0)</f>
        <v>#NAME?</v>
      </c>
      <c r="K175" s="10" t="n">
        <f aca="false">($K$2*315000)/12</f>
        <v>1059139.94028644</v>
      </c>
      <c r="L175" s="10" t="n">
        <f aca="false">K175*'Revenues &amp; Expenses'!N176</f>
        <v>381067.826859625</v>
      </c>
      <c r="M175" s="10" t="n">
        <f aca="false">SUM(L175:$L$257)</f>
        <v>25014975.8874297</v>
      </c>
      <c r="O175" s="308" t="n">
        <f aca="false">HLOOKUP(C175,'Debt Amortization'!$H$5:$AB$9,5)</f>
        <v>64509203.6263414</v>
      </c>
    </row>
    <row r="176" customFormat="false" ht="16.5" hidden="false" customHeight="false" outlineLevel="0" collapsed="false">
      <c r="A176" s="308" t="n">
        <f aca="false">A175+1</f>
        <v>166</v>
      </c>
      <c r="B176" s="308" t="n">
        <v>31</v>
      </c>
      <c r="C176" s="324" t="n">
        <v>41729</v>
      </c>
      <c r="D176" s="315" t="n">
        <f aca="false">D185</f>
        <v>1</v>
      </c>
      <c r="E176" s="308" t="e">
        <f aca="false">SUM('Revenues &amp; Expenses'!BJ177:$BJ$258)</f>
        <v>#NAME?</v>
      </c>
      <c r="F176" s="10" t="n">
        <f aca="false">M176</f>
        <v>24633908.06057</v>
      </c>
      <c r="G176" s="308" t="e">
        <f aca="false">IF(AND(D176=1,E176-F176&gt;0),E176-F176,0)</f>
        <v>#NAME?</v>
      </c>
      <c r="H176" s="308" t="e">
        <f aca="false">IF(AND(D176=1,F176-E176&gt;0),F176-E176,0)</f>
        <v>#NAME?</v>
      </c>
      <c r="K176" s="10" t="n">
        <f aca="false">($K$2*315000)/12</f>
        <v>1059139.94028644</v>
      </c>
      <c r="L176" s="10" t="n">
        <f aca="false">K176*'Revenues &amp; Expenses'!N177</f>
        <v>378970.041949451</v>
      </c>
      <c r="M176" s="10" t="n">
        <f aca="false">SUM(L176:$L$257)</f>
        <v>24633908.06057</v>
      </c>
      <c r="O176" s="308" t="n">
        <f aca="false">HLOOKUP(C176,'Debt Amortization'!$H$5:$AB$9,5)</f>
        <v>64509203.6263414</v>
      </c>
    </row>
    <row r="177" customFormat="false" ht="16.5" hidden="false" customHeight="false" outlineLevel="0" collapsed="false">
      <c r="A177" s="308" t="n">
        <f aca="false">A176+1</f>
        <v>167</v>
      </c>
      <c r="B177" s="308" t="n">
        <v>30</v>
      </c>
      <c r="C177" s="324" t="n">
        <v>41759</v>
      </c>
      <c r="D177" s="315" t="n">
        <f aca="false">D185</f>
        <v>1</v>
      </c>
      <c r="E177" s="308" t="e">
        <f aca="false">SUM('Revenues &amp; Expenses'!BJ178:$BJ$258)</f>
        <v>#NAME?</v>
      </c>
      <c r="F177" s="10" t="n">
        <f aca="false">M177</f>
        <v>24254938.0186206</v>
      </c>
      <c r="G177" s="308" t="e">
        <f aca="false">IF(AND(D177=1,E177-F177&gt;0),E177-F177,0)</f>
        <v>#NAME?</v>
      </c>
      <c r="H177" s="308" t="e">
        <f aca="false">IF(AND(D177=1,F177-E177&gt;0),F177-E177,0)</f>
        <v>#NAME?</v>
      </c>
      <c r="K177" s="10" t="n">
        <f aca="false">($K$2*315000)/12</f>
        <v>1059139.94028644</v>
      </c>
      <c r="L177" s="10" t="n">
        <f aca="false">K177*'Revenues &amp; Expenses'!N178</f>
        <v>376661.265904805</v>
      </c>
      <c r="M177" s="10" t="n">
        <f aca="false">SUM(L177:$L$257)</f>
        <v>24254938.0186206</v>
      </c>
      <c r="O177" s="308" t="n">
        <f aca="false">HLOOKUP(C177,'Debt Amortization'!$H$5:$AB$9,5)</f>
        <v>64509203.6263414</v>
      </c>
    </row>
    <row r="178" customFormat="false" ht="16.5" hidden="false" customHeight="false" outlineLevel="0" collapsed="false">
      <c r="A178" s="308" t="n">
        <f aca="false">A177+1</f>
        <v>168</v>
      </c>
      <c r="B178" s="308" t="n">
        <v>31</v>
      </c>
      <c r="C178" s="324" t="n">
        <v>41790</v>
      </c>
      <c r="D178" s="315" t="n">
        <f aca="false">D185</f>
        <v>1</v>
      </c>
      <c r="E178" s="308" t="e">
        <f aca="false">SUM('Revenues &amp; Expenses'!BJ179:$BJ$258)</f>
        <v>#NAME?</v>
      </c>
      <c r="F178" s="10" t="n">
        <f aca="false">M178</f>
        <v>23878276.7527158</v>
      </c>
      <c r="G178" s="308" t="e">
        <f aca="false">IF(AND(D178=1,E178-F178&gt;0),E178-F178,0)</f>
        <v>#NAME?</v>
      </c>
      <c r="H178" s="308" t="e">
        <f aca="false">IF(AND(D178=1,F178-E178&gt;0),F178-E178,0)</f>
        <v>#NAME?</v>
      </c>
      <c r="K178" s="10" t="n">
        <f aca="false">($K$2*315000)/12</f>
        <v>1059139.94028644</v>
      </c>
      <c r="L178" s="10" t="n">
        <f aca="false">K178*'Revenues &amp; Expenses'!N179</f>
        <v>374440.661676725</v>
      </c>
      <c r="M178" s="10" t="n">
        <f aca="false">SUM(L178:$L$257)</f>
        <v>23878276.7527158</v>
      </c>
      <c r="O178" s="308" t="n">
        <f aca="false">HLOOKUP(C178,'Debt Amortization'!$H$5:$AB$9,5)</f>
        <v>64509203.6263414</v>
      </c>
    </row>
    <row r="179" customFormat="false" ht="16.5" hidden="false" customHeight="false" outlineLevel="0" collapsed="false">
      <c r="A179" s="308" t="n">
        <f aca="false">A178+1</f>
        <v>169</v>
      </c>
      <c r="B179" s="308" t="n">
        <v>30</v>
      </c>
      <c r="C179" s="324" t="n">
        <v>41820</v>
      </c>
      <c r="D179" s="315" t="n">
        <f aca="false">D185</f>
        <v>1</v>
      </c>
      <c r="E179" s="308" t="e">
        <f aca="false">SUM('Revenues &amp; Expenses'!BJ180:$BJ$258)</f>
        <v>#NAME?</v>
      </c>
      <c r="F179" s="10" t="n">
        <f aca="false">M179</f>
        <v>23503836.0910391</v>
      </c>
      <c r="G179" s="308" t="e">
        <f aca="false">IF(AND(D179=1,E179-F179&gt;0),E179-F179,0)</f>
        <v>#NAME?</v>
      </c>
      <c r="H179" s="308" t="e">
        <f aca="false">IF(AND(D179=1,F179-E179&gt;0),F179-E179,0)</f>
        <v>#NAME?</v>
      </c>
      <c r="K179" s="10" t="n">
        <f aca="false">($K$2*315000)/12</f>
        <v>1059139.94028644</v>
      </c>
      <c r="L179" s="10" t="n">
        <f aca="false">K179*'Revenues &amp; Expenses'!N180</f>
        <v>372160.099933277</v>
      </c>
      <c r="M179" s="10" t="n">
        <f aca="false">SUM(L179:$L$257)</f>
        <v>23503836.0910391</v>
      </c>
      <c r="O179" s="308" t="n">
        <f aca="false">HLOOKUP(C179,'Debt Amortization'!$H$5:$AB$9,5)</f>
        <v>64509203.6263414</v>
      </c>
    </row>
    <row r="180" customFormat="false" ht="16.5" hidden="false" customHeight="false" outlineLevel="0" collapsed="false">
      <c r="A180" s="308" t="n">
        <f aca="false">A179+1</f>
        <v>170</v>
      </c>
      <c r="B180" s="308" t="n">
        <v>31</v>
      </c>
      <c r="C180" s="324" t="n">
        <v>41851</v>
      </c>
      <c r="D180" s="315" t="n">
        <f aca="false">D185</f>
        <v>1</v>
      </c>
      <c r="E180" s="308" t="e">
        <f aca="false">SUM('Revenues &amp; Expenses'!BJ181:$BJ$258)</f>
        <v>#NAME?</v>
      </c>
      <c r="F180" s="10" t="n">
        <f aca="false">M180</f>
        <v>23131675.9911058</v>
      </c>
      <c r="G180" s="308" t="e">
        <f aca="false">IF(AND(D180=1,E180-F180&gt;0),E180-F180,0)</f>
        <v>#NAME?</v>
      </c>
      <c r="H180" s="308" t="e">
        <f aca="false">IF(AND(D180=1,F180-E180&gt;0),F180-E180,0)</f>
        <v>#NAME?</v>
      </c>
      <c r="K180" s="10" t="n">
        <f aca="false">($K$2*315000)/12</f>
        <v>1059139.94028644</v>
      </c>
      <c r="L180" s="10" t="n">
        <f aca="false">K180*'Revenues &amp; Expenses'!N181</f>
        <v>369966.628993444</v>
      </c>
      <c r="M180" s="10" t="n">
        <f aca="false">SUM(L180:$L$257)</f>
        <v>23131675.9911058</v>
      </c>
      <c r="O180" s="308" t="n">
        <f aca="false">HLOOKUP(C180,'Debt Amortization'!$H$5:$AB$9,5)</f>
        <v>64509203.6263414</v>
      </c>
    </row>
    <row r="181" customFormat="false" ht="16.5" hidden="false" customHeight="false" outlineLevel="0" collapsed="false">
      <c r="A181" s="308" t="n">
        <f aca="false">A180+1</f>
        <v>171</v>
      </c>
      <c r="B181" s="308" t="n">
        <v>31</v>
      </c>
      <c r="C181" s="324" t="n">
        <v>41882</v>
      </c>
      <c r="D181" s="315" t="n">
        <f aca="false">D185</f>
        <v>1</v>
      </c>
      <c r="E181" s="308" t="e">
        <f aca="false">SUM('Revenues &amp; Expenses'!BJ182:$BJ$258)</f>
        <v>#NAME?</v>
      </c>
      <c r="F181" s="10" t="n">
        <f aca="false">M181</f>
        <v>22761709.3621123</v>
      </c>
      <c r="G181" s="308" t="e">
        <f aca="false">IF(AND(D181=1,E181-F181&gt;0),E181-F181,0)</f>
        <v>#NAME?</v>
      </c>
      <c r="H181" s="308" t="e">
        <f aca="false">IF(AND(D181=1,F181-E181&gt;0),F181-E181,0)</f>
        <v>#NAME?</v>
      </c>
      <c r="K181" s="10" t="n">
        <f aca="false">($K$2*315000)/12</f>
        <v>1059139.94028644</v>
      </c>
      <c r="L181" s="10" t="n">
        <f aca="false">K181*'Revenues &amp; Expenses'!N182</f>
        <v>367713.929544154</v>
      </c>
      <c r="M181" s="10" t="n">
        <f aca="false">SUM(L181:$L$257)</f>
        <v>22761709.3621123</v>
      </c>
      <c r="O181" s="308" t="n">
        <f aca="false">HLOOKUP(C181,'Debt Amortization'!$H$5:$AB$9,5)</f>
        <v>64509203.6263414</v>
      </c>
    </row>
    <row r="182" customFormat="false" ht="16.5" hidden="false" customHeight="false" outlineLevel="0" collapsed="false">
      <c r="A182" s="308" t="n">
        <f aca="false">A181+1</f>
        <v>172</v>
      </c>
      <c r="B182" s="308" t="n">
        <v>30</v>
      </c>
      <c r="C182" s="324" t="n">
        <v>41912</v>
      </c>
      <c r="D182" s="315" t="n">
        <f aca="false">D185</f>
        <v>1</v>
      </c>
      <c r="E182" s="308" t="e">
        <f aca="false">SUM('Revenues &amp; Expenses'!BJ183:$BJ$258)</f>
        <v>#NAME?</v>
      </c>
      <c r="F182" s="10" t="n">
        <f aca="false">M182</f>
        <v>22393995.4325682</v>
      </c>
      <c r="G182" s="308" t="e">
        <f aca="false">IF(AND(D182=1,E182-F182&gt;0),E182-F182,0)</f>
        <v>#NAME?</v>
      </c>
      <c r="H182" s="308" t="e">
        <f aca="false">IF(AND(D182=1,F182-E182&gt;0),F182-E182,0)</f>
        <v>#NAME?</v>
      </c>
      <c r="K182" s="10" t="n">
        <f aca="false">($K$2*315000)/12</f>
        <v>1059139.94028644</v>
      </c>
      <c r="L182" s="10" t="n">
        <f aca="false">K182*'Revenues &amp; Expenses'!N183</f>
        <v>365475.256158712</v>
      </c>
      <c r="M182" s="10" t="n">
        <f aca="false">SUM(L182:$L$257)</f>
        <v>22393995.4325682</v>
      </c>
      <c r="O182" s="308" t="n">
        <f aca="false">HLOOKUP(C182,'Debt Amortization'!$H$5:$AB$9,5)</f>
        <v>64509203.6263414</v>
      </c>
    </row>
    <row r="183" customFormat="false" ht="16.5" hidden="false" customHeight="false" outlineLevel="0" collapsed="false">
      <c r="A183" s="308" t="n">
        <f aca="false">A182+1</f>
        <v>173</v>
      </c>
      <c r="B183" s="308" t="n">
        <v>31</v>
      </c>
      <c r="C183" s="324" t="n">
        <v>41943</v>
      </c>
      <c r="D183" s="315" t="n">
        <f aca="false">D185</f>
        <v>1</v>
      </c>
      <c r="E183" s="308" t="e">
        <f aca="false">SUM('Revenues &amp; Expenses'!BJ184:$BJ$258)</f>
        <v>#NAME?</v>
      </c>
      <c r="F183" s="10" t="n">
        <f aca="false">M183</f>
        <v>22028520.1764095</v>
      </c>
      <c r="G183" s="308" t="e">
        <f aca="false">IF(AND(D183=1,E183-F183&gt;0),E183-F183,0)</f>
        <v>#NAME?</v>
      </c>
      <c r="H183" s="308" t="e">
        <f aca="false">IF(AND(D183=1,F183-E183&gt;0),F183-E183,0)</f>
        <v>#NAME?</v>
      </c>
      <c r="K183" s="10" t="n">
        <f aca="false">($K$2*315000)/12</f>
        <v>1059139.94028644</v>
      </c>
      <c r="L183" s="10" t="n">
        <f aca="false">K183*'Revenues &amp; Expenses'!N184</f>
        <v>363322.06873031</v>
      </c>
      <c r="M183" s="10" t="n">
        <f aca="false">SUM(L183:$L$257)</f>
        <v>22028520.1764095</v>
      </c>
      <c r="O183" s="308" t="n">
        <f aca="false">HLOOKUP(C183,'Debt Amortization'!$H$5:$AB$9,5)</f>
        <v>64509203.6263414</v>
      </c>
    </row>
    <row r="184" customFormat="false" ht="16.5" hidden="false" customHeight="false" outlineLevel="0" collapsed="false">
      <c r="A184" s="308" t="n">
        <f aca="false">A183+1</f>
        <v>174</v>
      </c>
      <c r="B184" s="308" t="n">
        <v>30</v>
      </c>
      <c r="C184" s="324" t="n">
        <v>41973</v>
      </c>
      <c r="D184" s="315" t="n">
        <f aca="false">D185</f>
        <v>1</v>
      </c>
      <c r="E184" s="308" t="e">
        <f aca="false">SUM('Revenues &amp; Expenses'!BJ185:$BJ$258)</f>
        <v>#NAME?</v>
      </c>
      <c r="F184" s="10" t="n">
        <f aca="false">M184</f>
        <v>21665198.1076792</v>
      </c>
      <c r="G184" s="308" t="e">
        <f aca="false">IF(AND(D184=1,E184-F184&gt;0),E184-F184,0)</f>
        <v>#NAME?</v>
      </c>
      <c r="H184" s="308" t="e">
        <f aca="false">IF(AND(D184=1,F184-E184&gt;0),F184-E184,0)</f>
        <v>#NAME?</v>
      </c>
      <c r="K184" s="10" t="n">
        <f aca="false">($K$2*315000)/12</f>
        <v>1059139.94028644</v>
      </c>
      <c r="L184" s="10" t="n">
        <f aca="false">K184*'Revenues &amp; Expenses'!N185</f>
        <v>361110.735194359</v>
      </c>
      <c r="M184" s="10" t="n">
        <f aca="false">SUM(L184:$L$257)</f>
        <v>21665198.1076792</v>
      </c>
      <c r="O184" s="308" t="n">
        <f aca="false">HLOOKUP(C184,'Debt Amortization'!$H$5:$AB$9,5)</f>
        <v>64509203.6263414</v>
      </c>
    </row>
    <row r="185" customFormat="false" ht="16.5" hidden="false" customHeight="false" outlineLevel="0" collapsed="false">
      <c r="A185" s="308" t="n">
        <f aca="false">A184+1</f>
        <v>175</v>
      </c>
      <c r="B185" s="308" t="n">
        <v>31</v>
      </c>
      <c r="C185" s="324" t="n">
        <v>42004</v>
      </c>
      <c r="D185" s="315" t="n">
        <f aca="false">'Deal Depiction'!J22</f>
        <v>1</v>
      </c>
      <c r="E185" s="308" t="e">
        <f aca="false">SUM('Revenues &amp; Expenses'!BJ186:$BJ$258)</f>
        <v>#NAME?</v>
      </c>
      <c r="F185" s="10" t="n">
        <f aca="false">M185</f>
        <v>21304087.3724848</v>
      </c>
      <c r="G185" s="308" t="e">
        <f aca="false">IF(AND(D185=1,E185-F185&gt;0),E185-F185,0)</f>
        <v>#NAME?</v>
      </c>
      <c r="H185" s="308" t="e">
        <f aca="false">IF(AND(D185=1,F185-E185&gt;0),F185-E185,0)</f>
        <v>#NAME?</v>
      </c>
      <c r="K185" s="10" t="n">
        <f aca="false">($K$2*315000)/12</f>
        <v>1059139.94028644</v>
      </c>
      <c r="L185" s="10" t="n">
        <f aca="false">K185*'Revenues &amp; Expenses'!N186</f>
        <v>358983.840209992</v>
      </c>
      <c r="M185" s="10" t="n">
        <f aca="false">SUM(L185:$L$257)</f>
        <v>21304087.3724848</v>
      </c>
      <c r="O185" s="308" t="n">
        <f aca="false">HLOOKUP(C185,'Debt Amortization'!$H$5:$AB$9,5)</f>
        <v>64509203.6263414</v>
      </c>
    </row>
    <row r="186" customFormat="false" ht="16.5" hidden="false" customHeight="false" outlineLevel="0" collapsed="false">
      <c r="A186" s="308" t="n">
        <f aca="false">A185+1</f>
        <v>176</v>
      </c>
      <c r="B186" s="308" t="n">
        <v>31</v>
      </c>
      <c r="C186" s="324" t="n">
        <v>42035</v>
      </c>
      <c r="D186" s="315" t="n">
        <f aca="false">D197</f>
        <v>1</v>
      </c>
      <c r="E186" s="308" t="e">
        <f aca="false">SUM('Revenues &amp; Expenses'!BJ187:$BJ$258)</f>
        <v>#NAME?</v>
      </c>
      <c r="F186" s="10" t="n">
        <f aca="false">M186</f>
        <v>20945103.5322748</v>
      </c>
      <c r="G186" s="308" t="e">
        <f aca="false">IF(AND(D186=1,E186-F186&gt;0),E186-F186,0)</f>
        <v>#NAME?</v>
      </c>
      <c r="H186" s="308" t="e">
        <f aca="false">IF(AND(D186=1,F186-E186&gt;0),F186-E186,0)</f>
        <v>#NAME?</v>
      </c>
      <c r="K186" s="10" t="n">
        <f aca="false">($K$2*315000)/12</f>
        <v>1059139.94028644</v>
      </c>
      <c r="L186" s="10" t="n">
        <f aca="false">K186*'Revenues &amp; Expenses'!N187</f>
        <v>356799.505638715</v>
      </c>
      <c r="M186" s="10" t="n">
        <f aca="false">SUM(L186:$L$257)</f>
        <v>20945103.5322748</v>
      </c>
      <c r="O186" s="308" t="n">
        <f aca="false">HLOOKUP(C186,'Debt Amortization'!$H$5:$AB$9,5)</f>
        <v>57443531.1780845</v>
      </c>
    </row>
    <row r="187" customFormat="false" ht="16.5" hidden="false" customHeight="false" outlineLevel="0" collapsed="false">
      <c r="A187" s="308" t="n">
        <f aca="false">A186+1</f>
        <v>177</v>
      </c>
      <c r="B187" s="308" t="n">
        <v>28</v>
      </c>
      <c r="C187" s="324" t="n">
        <v>42063</v>
      </c>
      <c r="D187" s="315" t="n">
        <f aca="false">D197</f>
        <v>1</v>
      </c>
      <c r="E187" s="308" t="e">
        <f aca="false">SUM('Revenues &amp; Expenses'!BJ188:$BJ$258)</f>
        <v>#NAME?</v>
      </c>
      <c r="F187" s="10" t="n">
        <f aca="false">M187</f>
        <v>20588304.0266361</v>
      </c>
      <c r="G187" s="308" t="e">
        <f aca="false">IF(AND(D187=1,E187-F187&gt;0),E187-F187,0)</f>
        <v>#NAME?</v>
      </c>
      <c r="H187" s="308" t="e">
        <f aca="false">IF(AND(D187=1,F187-E187&gt;0),F187-E187,0)</f>
        <v>#NAME?</v>
      </c>
      <c r="K187" s="10" t="n">
        <f aca="false">($K$2*315000)/12</f>
        <v>1059139.94028644</v>
      </c>
      <c r="L187" s="10" t="n">
        <f aca="false">K187*'Revenues &amp; Expenses'!N188</f>
        <v>354628.76260621</v>
      </c>
      <c r="M187" s="10" t="n">
        <f aca="false">SUM(L187:$L$257)</f>
        <v>20588304.0266361</v>
      </c>
      <c r="O187" s="308" t="n">
        <f aca="false">HLOOKUP(C187,'Debt Amortization'!$H$5:$AB$9,5)</f>
        <v>57443531.1780845</v>
      </c>
    </row>
    <row r="188" customFormat="false" ht="16.5" hidden="false" customHeight="false" outlineLevel="0" collapsed="false">
      <c r="A188" s="308" t="n">
        <f aca="false">A187+1</f>
        <v>178</v>
      </c>
      <c r="B188" s="308" t="n">
        <v>31</v>
      </c>
      <c r="C188" s="324" t="n">
        <v>42094</v>
      </c>
      <c r="D188" s="315" t="n">
        <f aca="false">D197</f>
        <v>1</v>
      </c>
      <c r="E188" s="308" t="e">
        <f aca="false">SUM('Revenues &amp; Expenses'!BJ189:$BJ$258)</f>
        <v>#NAME?</v>
      </c>
      <c r="F188" s="10" t="n">
        <f aca="false">M188</f>
        <v>20233675.2640299</v>
      </c>
      <c r="G188" s="308" t="e">
        <f aca="false">IF(AND(D188=1,E188-F188&gt;0),E188-F188,0)</f>
        <v>#NAME?</v>
      </c>
      <c r="H188" s="308" t="e">
        <f aca="false">IF(AND(D188=1,F188-E188&gt;0),F188-E188,0)</f>
        <v>#NAME?</v>
      </c>
      <c r="K188" s="10" t="n">
        <f aca="false">($K$2*315000)/12</f>
        <v>1059139.94028644</v>
      </c>
      <c r="L188" s="10" t="n">
        <f aca="false">K188*'Revenues &amp; Expenses'!N189</f>
        <v>352679.701856817</v>
      </c>
      <c r="M188" s="10" t="n">
        <f aca="false">SUM(L188:$L$257)</f>
        <v>20233675.2640299</v>
      </c>
      <c r="O188" s="308" t="n">
        <f aca="false">HLOOKUP(C188,'Debt Amortization'!$H$5:$AB$9,5)</f>
        <v>57443531.1780845</v>
      </c>
    </row>
    <row r="189" customFormat="false" ht="16.5" hidden="false" customHeight="false" outlineLevel="0" collapsed="false">
      <c r="A189" s="308" t="n">
        <f aca="false">A188+1</f>
        <v>179</v>
      </c>
      <c r="B189" s="308" t="n">
        <v>30</v>
      </c>
      <c r="C189" s="324" t="n">
        <v>42124</v>
      </c>
      <c r="D189" s="315" t="n">
        <f aca="false">D197</f>
        <v>1</v>
      </c>
      <c r="E189" s="308" t="e">
        <f aca="false">SUM('Revenues &amp; Expenses'!BJ190:$BJ$258)</f>
        <v>#NAME?</v>
      </c>
      <c r="F189" s="10" t="n">
        <f aca="false">M189</f>
        <v>19880995.5621731</v>
      </c>
      <c r="G189" s="308" t="e">
        <f aca="false">IF(AND(D189=1,E189-F189&gt;0),E189-F189,0)</f>
        <v>#NAME?</v>
      </c>
      <c r="H189" s="308" t="e">
        <f aca="false">IF(AND(D189=1,F189-E189&gt;0),F189-E189,0)</f>
        <v>#NAME?</v>
      </c>
      <c r="K189" s="10" t="n">
        <f aca="false">($K$2*315000)/12</f>
        <v>1059139.94028644</v>
      </c>
      <c r="L189" s="10" t="n">
        <f aca="false">K189*'Revenues &amp; Expenses'!N190</f>
        <v>350534.588480641</v>
      </c>
      <c r="M189" s="10" t="n">
        <f aca="false">SUM(L189:$L$257)</f>
        <v>19880995.5621731</v>
      </c>
      <c r="O189" s="308" t="n">
        <f aca="false">HLOOKUP(C189,'Debt Amortization'!$H$5:$AB$9,5)</f>
        <v>57443531.1780845</v>
      </c>
    </row>
    <row r="190" customFormat="false" ht="16.5" hidden="false" customHeight="false" outlineLevel="0" collapsed="false">
      <c r="A190" s="308" t="n">
        <f aca="false">A189+1</f>
        <v>180</v>
      </c>
      <c r="B190" s="308" t="n">
        <v>31</v>
      </c>
      <c r="C190" s="324" t="n">
        <v>42155</v>
      </c>
      <c r="D190" s="315" t="n">
        <f aca="false">D197</f>
        <v>1</v>
      </c>
      <c r="E190" s="308" t="e">
        <f aca="false">SUM('Revenues &amp; Expenses'!BJ191:$BJ$258)</f>
        <v>#NAME?</v>
      </c>
      <c r="F190" s="10" t="n">
        <f aca="false">M190</f>
        <v>19530460.9736924</v>
      </c>
      <c r="G190" s="308" t="e">
        <f aca="false">IF(AND(D190=1,E190-F190&gt;0),E190-F190,0)</f>
        <v>#NAME?</v>
      </c>
      <c r="H190" s="308" t="e">
        <f aca="false">IF(AND(D190=1,F190-E190&gt;0),F190-E190,0)</f>
        <v>#NAME?</v>
      </c>
      <c r="K190" s="10" t="n">
        <f aca="false">($K$2*315000)/12</f>
        <v>1059139.94028644</v>
      </c>
      <c r="L190" s="10" t="n">
        <f aca="false">K190*'Revenues &amp; Expenses'!N191</f>
        <v>348471.376896397</v>
      </c>
      <c r="M190" s="10" t="n">
        <f aca="false">SUM(L190:$L$257)</f>
        <v>19530460.9736924</v>
      </c>
      <c r="O190" s="308" t="n">
        <f aca="false">HLOOKUP(C190,'Debt Amortization'!$H$5:$AB$9,5)</f>
        <v>57443531.1780845</v>
      </c>
    </row>
    <row r="191" customFormat="false" ht="16.5" hidden="false" customHeight="false" outlineLevel="0" collapsed="false">
      <c r="A191" s="308" t="n">
        <f aca="false">A190+1</f>
        <v>181</v>
      </c>
      <c r="B191" s="308" t="n">
        <v>30</v>
      </c>
      <c r="C191" s="324" t="n">
        <v>42185</v>
      </c>
      <c r="D191" s="315" t="n">
        <f aca="false">D197</f>
        <v>1</v>
      </c>
      <c r="E191" s="308" t="e">
        <f aca="false">SUM('Revenues &amp; Expenses'!BJ192:$BJ$258)</f>
        <v>#NAME?</v>
      </c>
      <c r="F191" s="10" t="n">
        <f aca="false">M191</f>
        <v>19181989.596796</v>
      </c>
      <c r="G191" s="308" t="e">
        <f aca="false">IF(AND(D191=1,E191-F191&gt;0),E191-F191,0)</f>
        <v>#NAME?</v>
      </c>
      <c r="H191" s="308" t="e">
        <f aca="false">IF(AND(D191=1,F191-E191&gt;0),F191-E191,0)</f>
        <v>#NAME?</v>
      </c>
      <c r="K191" s="10" t="n">
        <f aca="false">($K$2*315000)/12</f>
        <v>1059139.94028644</v>
      </c>
      <c r="L191" s="10" t="n">
        <f aca="false">K191*'Revenues &amp; Expenses'!N192</f>
        <v>346352.437179231</v>
      </c>
      <c r="M191" s="10" t="n">
        <f aca="false">SUM(L191:$L$257)</f>
        <v>19181989.596796</v>
      </c>
      <c r="O191" s="308" t="n">
        <f aca="false">HLOOKUP(C191,'Debt Amortization'!$H$5:$AB$9,5)</f>
        <v>57443531.1780845</v>
      </c>
    </row>
    <row r="192" customFormat="false" ht="16.5" hidden="false" customHeight="false" outlineLevel="0" collapsed="false">
      <c r="A192" s="308" t="n">
        <f aca="false">A191+1</f>
        <v>182</v>
      </c>
      <c r="B192" s="308" t="n">
        <v>31</v>
      </c>
      <c r="C192" s="324" t="n">
        <v>42216</v>
      </c>
      <c r="D192" s="315" t="n">
        <f aca="false">D197</f>
        <v>1</v>
      </c>
      <c r="E192" s="308" t="e">
        <f aca="false">SUM('Revenues &amp; Expenses'!BJ193:$BJ$258)</f>
        <v>#NAME?</v>
      </c>
      <c r="F192" s="10" t="n">
        <f aca="false">M192</f>
        <v>18835637.1596168</v>
      </c>
      <c r="G192" s="308" t="e">
        <f aca="false">IF(AND(D192=1,E192-F192&gt;0),E192-F192,0)</f>
        <v>#NAME?</v>
      </c>
      <c r="H192" s="308" t="e">
        <f aca="false">IF(AND(D192=1,F192-E192&gt;0),F192-E192,0)</f>
        <v>#NAME?</v>
      </c>
      <c r="K192" s="10" t="n">
        <f aca="false">($K$2*315000)/12</f>
        <v>1059139.94028644</v>
      </c>
      <c r="L192" s="10" t="n">
        <f aca="false">K192*'Revenues &amp; Expenses'!N193</f>
        <v>344314.396663147</v>
      </c>
      <c r="M192" s="10" t="n">
        <f aca="false">SUM(L192:$L$257)</f>
        <v>18835637.1596168</v>
      </c>
      <c r="O192" s="308" t="n">
        <f aca="false">HLOOKUP(C192,'Debt Amortization'!$H$5:$AB$9,5)</f>
        <v>57443531.1780845</v>
      </c>
    </row>
    <row r="193" customFormat="false" ht="16.5" hidden="false" customHeight="false" outlineLevel="0" collapsed="false">
      <c r="A193" s="308" t="n">
        <f aca="false">A192+1</f>
        <v>183</v>
      </c>
      <c r="B193" s="308" t="n">
        <v>31</v>
      </c>
      <c r="C193" s="324" t="n">
        <v>42247</v>
      </c>
      <c r="D193" s="315" t="n">
        <f aca="false">D197</f>
        <v>1</v>
      </c>
      <c r="E193" s="308" t="e">
        <f aca="false">SUM('Revenues &amp; Expenses'!BJ194:$BJ$258)</f>
        <v>#NAME?</v>
      </c>
      <c r="F193" s="10" t="n">
        <f aca="false">M193</f>
        <v>18491322.7629536</v>
      </c>
      <c r="G193" s="308" t="e">
        <f aca="false">IF(AND(D193=1,E193-F193&gt;0),E193-F193,0)</f>
        <v>#NAME?</v>
      </c>
      <c r="H193" s="308" t="e">
        <f aca="false">IF(AND(D193=1,F193-E193&gt;0),F193-E193,0)</f>
        <v>#NAME?</v>
      </c>
      <c r="K193" s="10" t="n">
        <f aca="false">($K$2*315000)/12</f>
        <v>1059139.94028644</v>
      </c>
      <c r="L193" s="10" t="n">
        <f aca="false">K193*'Revenues &amp; Expenses'!N194</f>
        <v>342221.304542477</v>
      </c>
      <c r="M193" s="10" t="n">
        <f aca="false">SUM(L193:$L$257)</f>
        <v>18491322.7629536</v>
      </c>
      <c r="O193" s="308" t="n">
        <f aca="false">HLOOKUP(C193,'Debt Amortization'!$H$5:$AB$9,5)</f>
        <v>57443531.1780845</v>
      </c>
    </row>
    <row r="194" customFormat="false" ht="16.5" hidden="false" customHeight="false" outlineLevel="0" collapsed="false">
      <c r="A194" s="308" t="n">
        <f aca="false">A193+1</f>
        <v>184</v>
      </c>
      <c r="B194" s="308" t="n">
        <v>30</v>
      </c>
      <c r="C194" s="324" t="n">
        <v>42277</v>
      </c>
      <c r="D194" s="315" t="n">
        <f aca="false">D197</f>
        <v>1</v>
      </c>
      <c r="E194" s="308" t="e">
        <f aca="false">SUM('Revenues &amp; Expenses'!BJ195:$BJ$258)</f>
        <v>#NAME?</v>
      </c>
      <c r="F194" s="10" t="n">
        <f aca="false">M194</f>
        <v>18149101.4584112</v>
      </c>
      <c r="G194" s="308" t="e">
        <f aca="false">IF(AND(D194=1,E194-F194&gt;0),E194-F194,0)</f>
        <v>#NAME?</v>
      </c>
      <c r="H194" s="308" t="e">
        <f aca="false">IF(AND(D194=1,F194-E194&gt;0),F194-E194,0)</f>
        <v>#NAME?</v>
      </c>
      <c r="K194" s="10" t="n">
        <f aca="false">($K$2*315000)/12</f>
        <v>1059139.94028644</v>
      </c>
      <c r="L194" s="10" t="n">
        <f aca="false">K194*'Revenues &amp; Expenses'!N195</f>
        <v>340141.224457804</v>
      </c>
      <c r="M194" s="10" t="n">
        <f aca="false">SUM(L194:$L$257)</f>
        <v>18149101.4584112</v>
      </c>
      <c r="O194" s="308" t="n">
        <f aca="false">HLOOKUP(C194,'Debt Amortization'!$H$5:$AB$9,5)</f>
        <v>57443531.1780845</v>
      </c>
    </row>
    <row r="195" customFormat="false" ht="16.5" hidden="false" customHeight="false" outlineLevel="0" collapsed="false">
      <c r="A195" s="308" t="n">
        <f aca="false">A194+1</f>
        <v>185</v>
      </c>
      <c r="B195" s="308" t="n">
        <v>31</v>
      </c>
      <c r="C195" s="324" t="n">
        <v>42308</v>
      </c>
      <c r="D195" s="315" t="n">
        <f aca="false">D197</f>
        <v>1</v>
      </c>
      <c r="E195" s="308" t="e">
        <f aca="false">SUM('Revenues &amp; Expenses'!BJ196:$BJ$258)</f>
        <v>#NAME?</v>
      </c>
      <c r="F195" s="10" t="n">
        <f aca="false">M195</f>
        <v>17808960.2339534</v>
      </c>
      <c r="G195" s="308" t="e">
        <f aca="false">IF(AND(D195=1,E195-F195&gt;0),E195-F195,0)</f>
        <v>#NAME?</v>
      </c>
      <c r="H195" s="308" t="e">
        <f aca="false">IF(AND(D195=1,F195-E195&gt;0),F195-E195,0)</f>
        <v>#NAME?</v>
      </c>
      <c r="K195" s="10" t="n">
        <f aca="false">($K$2*315000)/12</f>
        <v>1059139.94028644</v>
      </c>
      <c r="L195" s="10" t="n">
        <f aca="false">K195*'Revenues &amp; Expenses'!N196</f>
        <v>338140.5551163</v>
      </c>
      <c r="M195" s="10" t="n">
        <f aca="false">SUM(L195:$L$257)</f>
        <v>17808960.2339534</v>
      </c>
      <c r="O195" s="308" t="n">
        <f aca="false">HLOOKUP(C195,'Debt Amortization'!$H$5:$AB$9,5)</f>
        <v>57443531.1780845</v>
      </c>
    </row>
    <row r="196" customFormat="false" ht="16.5" hidden="false" customHeight="false" outlineLevel="0" collapsed="false">
      <c r="A196" s="308" t="n">
        <f aca="false">A195+1</f>
        <v>186</v>
      </c>
      <c r="B196" s="308" t="n">
        <v>30</v>
      </c>
      <c r="C196" s="324" t="n">
        <v>42338</v>
      </c>
      <c r="D196" s="315" t="n">
        <f aca="false">D197</f>
        <v>1</v>
      </c>
      <c r="E196" s="308" t="e">
        <f aca="false">SUM('Revenues &amp; Expenses'!BJ197:$BJ$258)</f>
        <v>#NAME?</v>
      </c>
      <c r="F196" s="10" t="n">
        <f aca="false">M196</f>
        <v>17470819.6788371</v>
      </c>
      <c r="G196" s="308" t="e">
        <f aca="false">IF(AND(D196=1,E196-F196&gt;0),E196-F196,0)</f>
        <v>#NAME?</v>
      </c>
      <c r="H196" s="308" t="e">
        <f aca="false">IF(AND(D196=1,F196-E196&gt;0),F196-E196,0)</f>
        <v>#NAME?</v>
      </c>
      <c r="K196" s="10" t="n">
        <f aca="false">($K$2*315000)/12</f>
        <v>1059139.94028644</v>
      </c>
      <c r="L196" s="10" t="n">
        <f aca="false">K196*'Revenues &amp; Expenses'!N197</f>
        <v>336085.838678852</v>
      </c>
      <c r="M196" s="10" t="n">
        <f aca="false">SUM(L196:$L$257)</f>
        <v>17470819.6788371</v>
      </c>
      <c r="O196" s="308" t="n">
        <f aca="false">HLOOKUP(C196,'Debt Amortization'!$H$5:$AB$9,5)</f>
        <v>57443531.1780845</v>
      </c>
    </row>
    <row r="197" customFormat="false" ht="16.5" hidden="false" customHeight="false" outlineLevel="0" collapsed="false">
      <c r="A197" s="308" t="n">
        <f aca="false">A196+1</f>
        <v>187</v>
      </c>
      <c r="B197" s="308" t="n">
        <v>31</v>
      </c>
      <c r="C197" s="324" t="n">
        <v>42369</v>
      </c>
      <c r="D197" s="315" t="n">
        <f aca="false">'Deal Depiction'!J23</f>
        <v>1</v>
      </c>
      <c r="E197" s="308" t="e">
        <f aca="false">SUM('Revenues &amp; Expenses'!BJ198:$BJ$258)</f>
        <v>#NAME?</v>
      </c>
      <c r="F197" s="10" t="n">
        <f aca="false">M197</f>
        <v>17134733.8401582</v>
      </c>
      <c r="G197" s="308" t="e">
        <f aca="false">IF(AND(D197=1,E197-F197&gt;0),E197-F197,0)</f>
        <v>#NAME?</v>
      </c>
      <c r="H197" s="308" t="e">
        <f aca="false">IF(AND(D197=1,F197-E197&gt;0),F197-E197,0)</f>
        <v>#NAME?</v>
      </c>
      <c r="K197" s="10" t="n">
        <f aca="false">($K$2*315000)/12</f>
        <v>1059139.94028644</v>
      </c>
      <c r="L197" s="10" t="n">
        <f aca="false">K197*'Revenues &amp; Expenses'!N198</f>
        <v>334109.561517443</v>
      </c>
      <c r="M197" s="10" t="n">
        <f aca="false">SUM(L197:$L$257)</f>
        <v>17134733.8401582</v>
      </c>
      <c r="O197" s="308" t="n">
        <f aca="false">HLOOKUP(C197,'Debt Amortization'!$H$5:$AB$9,5)</f>
        <v>57443531.1780845</v>
      </c>
    </row>
    <row r="198" customFormat="false" ht="16.5" hidden="false" customHeight="false" outlineLevel="0" collapsed="false">
      <c r="A198" s="308" t="n">
        <f aca="false">A197+1</f>
        <v>188</v>
      </c>
      <c r="B198" s="308" t="n">
        <v>31</v>
      </c>
      <c r="C198" s="324" t="n">
        <v>42400</v>
      </c>
      <c r="D198" s="315" t="n">
        <f aca="false">D209</f>
        <v>1</v>
      </c>
      <c r="E198" s="308" t="e">
        <f aca="false">SUM('Revenues &amp; Expenses'!BJ199:$BJ$258)</f>
        <v>#NAME?</v>
      </c>
      <c r="F198" s="10" t="n">
        <f aca="false">M198</f>
        <v>16800624.2786408</v>
      </c>
      <c r="G198" s="308" t="e">
        <f aca="false">IF(AND(D198=1,E198-F198&gt;0),E198-F198,0)</f>
        <v>#NAME?</v>
      </c>
      <c r="H198" s="308" t="e">
        <f aca="false">IF(AND(D198=1,F198-E198&gt;0),F198-E198,0)</f>
        <v>#NAME?</v>
      </c>
      <c r="K198" s="10" t="n">
        <f aca="false">($K$2*315000)/12</f>
        <v>1059139.94028644</v>
      </c>
      <c r="L198" s="10" t="n">
        <f aca="false">K198*'Revenues &amp; Expenses'!N199</f>
        <v>332079.892952585</v>
      </c>
      <c r="M198" s="10" t="n">
        <f aca="false">SUM(L198:$L$257)</f>
        <v>16800624.2786408</v>
      </c>
      <c r="O198" s="308" t="n">
        <f aca="false">HLOOKUP(C198,'Debt Amortization'!$H$5:$AB$9,5)</f>
        <v>49759672.465677</v>
      </c>
    </row>
    <row r="199" customFormat="false" ht="16.5" hidden="false" customHeight="false" outlineLevel="0" collapsed="false">
      <c r="A199" s="308" t="n">
        <f aca="false">A198+1</f>
        <v>189</v>
      </c>
      <c r="B199" s="308" t="n">
        <v>29</v>
      </c>
      <c r="C199" s="324" t="n">
        <v>42429</v>
      </c>
      <c r="D199" s="315" t="n">
        <f aca="false">D209</f>
        <v>1</v>
      </c>
      <c r="E199" s="308" t="e">
        <f aca="false">SUM('Revenues &amp; Expenses'!BJ200:$BJ$258)</f>
        <v>#NAME?</v>
      </c>
      <c r="F199" s="10" t="n">
        <f aca="false">M199</f>
        <v>16468544.3856882</v>
      </c>
      <c r="G199" s="308" t="e">
        <f aca="false">IF(AND(D199=1,E199-F199&gt;0),E199-F199,0)</f>
        <v>#NAME?</v>
      </c>
      <c r="H199" s="308" t="e">
        <f aca="false">IF(AND(D199=1,F199-E199&gt;0),F199-E199,0)</f>
        <v>#NAME?</v>
      </c>
      <c r="K199" s="10" t="n">
        <f aca="false">($K$2*315000)/12</f>
        <v>1059139.94028644</v>
      </c>
      <c r="L199" s="10" t="n">
        <f aca="false">K199*'Revenues &amp; Expenses'!N200</f>
        <v>330062.833906578</v>
      </c>
      <c r="M199" s="10" t="n">
        <f aca="false">SUM(L199:$L$257)</f>
        <v>16468544.3856882</v>
      </c>
      <c r="O199" s="308" t="n">
        <f aca="false">HLOOKUP(C199,'Debt Amortization'!$H$5:$AB$9,5)</f>
        <v>49759672.465677</v>
      </c>
    </row>
    <row r="200" customFormat="false" ht="16.5" hidden="false" customHeight="false" outlineLevel="0" collapsed="false">
      <c r="A200" s="308" t="n">
        <f aca="false">A199+1</f>
        <v>190</v>
      </c>
      <c r="B200" s="308" t="n">
        <v>31</v>
      </c>
      <c r="C200" s="324" t="n">
        <v>42460</v>
      </c>
      <c r="D200" s="315" t="n">
        <f aca="false">D209</f>
        <v>1</v>
      </c>
      <c r="E200" s="308" t="e">
        <f aca="false">SUM('Revenues &amp; Expenses'!BJ201:$BJ$258)</f>
        <v>#NAME?</v>
      </c>
      <c r="F200" s="10" t="n">
        <f aca="false">M200</f>
        <v>16138481.5517816</v>
      </c>
      <c r="G200" s="308" t="e">
        <f aca="false">IF(AND(D200=1,E200-F200&gt;0),E200-F200,0)</f>
        <v>#NAME?</v>
      </c>
      <c r="H200" s="308" t="e">
        <f aca="false">IF(AND(D200=1,F200-E200&gt;0),F200-E200,0)</f>
        <v>#NAME?</v>
      </c>
      <c r="K200" s="10" t="n">
        <f aca="false">($K$2*315000)/12</f>
        <v>1059139.94028644</v>
      </c>
      <c r="L200" s="10" t="n">
        <f aca="false">K200*'Revenues &amp; Expenses'!N201</f>
        <v>328187.252316686</v>
      </c>
      <c r="M200" s="10" t="n">
        <f aca="false">SUM(L200:$L$257)</f>
        <v>16138481.5517816</v>
      </c>
      <c r="O200" s="308" t="n">
        <f aca="false">HLOOKUP(C200,'Debt Amortization'!$H$5:$AB$9,5)</f>
        <v>49759672.465677</v>
      </c>
    </row>
    <row r="201" customFormat="false" ht="16.5" hidden="false" customHeight="false" outlineLevel="0" collapsed="false">
      <c r="A201" s="308" t="n">
        <f aca="false">A200+1</f>
        <v>191</v>
      </c>
      <c r="B201" s="308" t="n">
        <v>30</v>
      </c>
      <c r="C201" s="324" t="n">
        <v>42490</v>
      </c>
      <c r="D201" s="315" t="n">
        <f aca="false">D209</f>
        <v>1</v>
      </c>
      <c r="E201" s="308" t="e">
        <f aca="false">SUM('Revenues &amp; Expenses'!BJ202:$BJ$258)</f>
        <v>#NAME?</v>
      </c>
      <c r="F201" s="10" t="n">
        <f aca="false">M201</f>
        <v>15810294.2994649</v>
      </c>
      <c r="G201" s="308" t="e">
        <f aca="false">IF(AND(D201=1,E201-F201&gt;0),E201-F201,0)</f>
        <v>#NAME?</v>
      </c>
      <c r="H201" s="308" t="e">
        <f aca="false">IF(AND(D201=1,F201-E201&gt;0),F201-E201,0)</f>
        <v>#NAME?</v>
      </c>
      <c r="K201" s="10" t="n">
        <f aca="false">($K$2*315000)/12</f>
        <v>1059139.94028644</v>
      </c>
      <c r="L201" s="10" t="n">
        <f aca="false">K201*'Revenues &amp; Expenses'!N202</f>
        <v>326194.371997735</v>
      </c>
      <c r="M201" s="10" t="n">
        <f aca="false">SUM(L201:$L$257)</f>
        <v>15810294.2994649</v>
      </c>
      <c r="O201" s="308" t="n">
        <f aca="false">HLOOKUP(C201,'Debt Amortization'!$H$5:$AB$9,5)</f>
        <v>49759672.465677</v>
      </c>
    </row>
    <row r="202" customFormat="false" ht="16.5" hidden="false" customHeight="false" outlineLevel="0" collapsed="false">
      <c r="A202" s="308" t="n">
        <f aca="false">A201+1</f>
        <v>192</v>
      </c>
      <c r="B202" s="308" t="n">
        <v>31</v>
      </c>
      <c r="C202" s="324" t="n">
        <v>42521</v>
      </c>
      <c r="D202" s="315" t="n">
        <f aca="false">D209</f>
        <v>1</v>
      </c>
      <c r="E202" s="308" t="e">
        <f aca="false">SUM('Revenues &amp; Expenses'!BJ203:$BJ$258)</f>
        <v>#NAME?</v>
      </c>
      <c r="F202" s="10" t="n">
        <f aca="false">M202</f>
        <v>15484099.9274672</v>
      </c>
      <c r="G202" s="308" t="e">
        <f aca="false">IF(AND(D202=1,E202-F202&gt;0),E202-F202,0)</f>
        <v>#NAME?</v>
      </c>
      <c r="H202" s="308" t="e">
        <f aca="false">IF(AND(D202=1,F202-E202&gt;0),F202-E202,0)</f>
        <v>#NAME?</v>
      </c>
      <c r="K202" s="10" t="n">
        <f aca="false">($K$2*315000)/12</f>
        <v>1059139.94028644</v>
      </c>
      <c r="L202" s="10" t="n">
        <f aca="false">K202*'Revenues &amp; Expenses'!N203</f>
        <v>324277.562697637</v>
      </c>
      <c r="M202" s="10" t="n">
        <f aca="false">SUM(L202:$L$257)</f>
        <v>15484099.9274672</v>
      </c>
      <c r="O202" s="308" t="n">
        <f aca="false">HLOOKUP(C202,'Debt Amortization'!$H$5:$AB$9,5)</f>
        <v>49759672.465677</v>
      </c>
    </row>
    <row r="203" customFormat="false" ht="16.5" hidden="false" customHeight="false" outlineLevel="0" collapsed="false">
      <c r="A203" s="308" t="n">
        <f aca="false">A202+1</f>
        <v>193</v>
      </c>
      <c r="B203" s="308" t="n">
        <v>30</v>
      </c>
      <c r="C203" s="324" t="n">
        <v>42551</v>
      </c>
      <c r="D203" s="315" t="n">
        <f aca="false">D209</f>
        <v>1</v>
      </c>
      <c r="E203" s="308" t="e">
        <f aca="false">SUM('Revenues &amp; Expenses'!BJ204:$BJ$258)</f>
        <v>#NAME?</v>
      </c>
      <c r="F203" s="10" t="n">
        <f aca="false">M203</f>
        <v>15159822.3647696</v>
      </c>
      <c r="G203" s="308" t="e">
        <f aca="false">IF(AND(D203=1,E203-F203&gt;0),E203-F203,0)</f>
        <v>#NAME?</v>
      </c>
      <c r="H203" s="308" t="e">
        <f aca="false">IF(AND(D203=1,F203-E203&gt;0),F203-E203,0)</f>
        <v>#NAME?</v>
      </c>
      <c r="K203" s="10" t="n">
        <f aca="false">($K$2*315000)/12</f>
        <v>1059139.94028644</v>
      </c>
      <c r="L203" s="10" t="n">
        <f aca="false">K203*'Revenues &amp; Expenses'!N204</f>
        <v>322308.960731679</v>
      </c>
      <c r="M203" s="10" t="n">
        <f aca="false">SUM(L203:$L$257)</f>
        <v>15159822.3647696</v>
      </c>
      <c r="O203" s="308" t="n">
        <f aca="false">HLOOKUP(C203,'Debt Amortization'!$H$5:$AB$9,5)</f>
        <v>49759672.465677</v>
      </c>
    </row>
    <row r="204" customFormat="false" ht="16.5" hidden="false" customHeight="false" outlineLevel="0" collapsed="false">
      <c r="A204" s="308" t="n">
        <f aca="false">A203+1</f>
        <v>194</v>
      </c>
      <c r="B204" s="308" t="n">
        <v>31</v>
      </c>
      <c r="C204" s="324" t="n">
        <v>42582</v>
      </c>
      <c r="D204" s="315" t="n">
        <f aca="false">D209</f>
        <v>1</v>
      </c>
      <c r="E204" s="308" t="e">
        <f aca="false">SUM('Revenues &amp; Expenses'!BJ205:$BJ$258)</f>
        <v>#NAME?</v>
      </c>
      <c r="F204" s="10" t="n">
        <f aca="false">M204</f>
        <v>14837513.4040379</v>
      </c>
      <c r="G204" s="308" t="e">
        <f aca="false">IF(AND(D204=1,E204-F204&gt;0),E204-F204,0)</f>
        <v>#NAME?</v>
      </c>
      <c r="H204" s="308" t="e">
        <f aca="false">IF(AND(D204=1,F204-E204&gt;0),F204-E204,0)</f>
        <v>#NAME?</v>
      </c>
      <c r="K204" s="10" t="n">
        <f aca="false">($K$2*315000)/12</f>
        <v>1059139.94028644</v>
      </c>
      <c r="L204" s="10" t="n">
        <f aca="false">K204*'Revenues &amp; Expenses'!N205</f>
        <v>320415.500013753</v>
      </c>
      <c r="M204" s="10" t="n">
        <f aca="false">SUM(L204:$L$257)</f>
        <v>14837513.4040379</v>
      </c>
      <c r="O204" s="308" t="n">
        <f aca="false">HLOOKUP(C204,'Debt Amortization'!$H$5:$AB$9,5)</f>
        <v>49759672.465677</v>
      </c>
    </row>
    <row r="205" customFormat="false" ht="16.5" hidden="false" customHeight="false" outlineLevel="0" collapsed="false">
      <c r="A205" s="308" t="n">
        <f aca="false">A204+1</f>
        <v>195</v>
      </c>
      <c r="B205" s="308" t="n">
        <v>31</v>
      </c>
      <c r="C205" s="324" t="n">
        <v>42613</v>
      </c>
      <c r="D205" s="315" t="n">
        <f aca="false">D209</f>
        <v>1</v>
      </c>
      <c r="E205" s="308" t="e">
        <f aca="false">SUM('Revenues &amp; Expenses'!BJ206:$BJ$258)</f>
        <v>#NAME?</v>
      </c>
      <c r="F205" s="10" t="n">
        <f aca="false">M205</f>
        <v>14517097.9040241</v>
      </c>
      <c r="G205" s="308" t="e">
        <f aca="false">IF(AND(D205=1,E205-F205&gt;0),E205-F205,0)</f>
        <v>#NAME?</v>
      </c>
      <c r="H205" s="308" t="e">
        <f aca="false">IF(AND(D205=1,F205-E205&gt;0),F205-E205,0)</f>
        <v>#NAME?</v>
      </c>
      <c r="K205" s="10" t="n">
        <f aca="false">($K$2*315000)/12</f>
        <v>1059139.94028644</v>
      </c>
      <c r="L205" s="10" t="n">
        <f aca="false">K205*'Revenues &amp; Expenses'!N206</f>
        <v>318470.874400511</v>
      </c>
      <c r="M205" s="10" t="n">
        <f aca="false">SUM(L205:$L$257)</f>
        <v>14517097.9040241</v>
      </c>
      <c r="O205" s="308" t="n">
        <f aca="false">HLOOKUP(C205,'Debt Amortization'!$H$5:$AB$9,5)</f>
        <v>49759672.465677</v>
      </c>
    </row>
    <row r="206" customFormat="false" ht="16.5" hidden="false" customHeight="false" outlineLevel="0" collapsed="false">
      <c r="A206" s="308" t="n">
        <f aca="false">A205+1</f>
        <v>196</v>
      </c>
      <c r="B206" s="308" t="n">
        <v>30</v>
      </c>
      <c r="C206" s="324" t="n">
        <v>42643</v>
      </c>
      <c r="D206" s="315" t="n">
        <f aca="false">D209</f>
        <v>1</v>
      </c>
      <c r="E206" s="308" t="e">
        <f aca="false">SUM('Revenues &amp; Expenses'!BJ207:$BJ$258)</f>
        <v>#NAME?</v>
      </c>
      <c r="F206" s="10" t="n">
        <f aca="false">M206</f>
        <v>14198627.0296236</v>
      </c>
      <c r="G206" s="308" t="e">
        <f aca="false">IF(AND(D206=1,E206-F206&gt;0),E206-F206,0)</f>
        <v>#NAME?</v>
      </c>
      <c r="H206" s="308" t="e">
        <f aca="false">IF(AND(D206=1,F206-E206&gt;0),F206-E206,0)</f>
        <v>#NAME?</v>
      </c>
      <c r="K206" s="10" t="n">
        <f aca="false">($K$2*315000)/12</f>
        <v>1059139.94028644</v>
      </c>
      <c r="L206" s="10" t="n">
        <f aca="false">K206*'Revenues &amp; Expenses'!N207</f>
        <v>316538.318984825</v>
      </c>
      <c r="M206" s="10" t="n">
        <f aca="false">SUM(L206:$L$257)</f>
        <v>14198627.0296236</v>
      </c>
      <c r="O206" s="308" t="n">
        <f aca="false">HLOOKUP(C206,'Debt Amortization'!$H$5:$AB$9,5)</f>
        <v>49759672.465677</v>
      </c>
    </row>
    <row r="207" customFormat="false" ht="16.5" hidden="false" customHeight="false" outlineLevel="0" collapsed="false">
      <c r="A207" s="308" t="n">
        <f aca="false">A206+1</f>
        <v>197</v>
      </c>
      <c r="B207" s="308" t="n">
        <v>31</v>
      </c>
      <c r="C207" s="324" t="n">
        <v>42674</v>
      </c>
      <c r="D207" s="315" t="n">
        <f aca="false">D209</f>
        <v>1</v>
      </c>
      <c r="E207" s="308" t="e">
        <f aca="false">SUM('Revenues &amp; Expenses'!BJ208:$BJ$258)</f>
        <v>#NAME?</v>
      </c>
      <c r="F207" s="10" t="n">
        <f aca="false">M207</f>
        <v>13882088.7106388</v>
      </c>
      <c r="G207" s="308" t="e">
        <f aca="false">IF(AND(D207=1,E207-F207&gt;0),E207-F207,0)</f>
        <v>#NAME?</v>
      </c>
      <c r="H207" s="308" t="e">
        <f aca="false">IF(AND(D207=1,F207-E207&gt;0),F207-E207,0)</f>
        <v>#NAME?</v>
      </c>
      <c r="K207" s="10" t="n">
        <f aca="false">($K$2*315000)/12</f>
        <v>1059139.94028644</v>
      </c>
      <c r="L207" s="10" t="n">
        <f aca="false">K207*'Revenues &amp; Expenses'!N208</f>
        <v>314679.524436158</v>
      </c>
      <c r="M207" s="10" t="n">
        <f aca="false">SUM(L207:$L$257)</f>
        <v>13882088.7106388</v>
      </c>
      <c r="O207" s="308" t="n">
        <f aca="false">HLOOKUP(C207,'Debt Amortization'!$H$5:$AB$9,5)</f>
        <v>49759672.465677</v>
      </c>
    </row>
    <row r="208" customFormat="false" ht="16.5" hidden="false" customHeight="false" outlineLevel="0" collapsed="false">
      <c r="A208" s="308" t="n">
        <f aca="false">A207+1</f>
        <v>198</v>
      </c>
      <c r="B208" s="308" t="n">
        <v>30</v>
      </c>
      <c r="C208" s="324" t="n">
        <v>42704</v>
      </c>
      <c r="D208" s="315" t="n">
        <f aca="false">D209</f>
        <v>1</v>
      </c>
      <c r="E208" s="308" t="e">
        <f aca="false">SUM('Revenues &amp; Expenses'!BJ209:$BJ$258)</f>
        <v>#NAME?</v>
      </c>
      <c r="F208" s="10" t="n">
        <f aca="false">M208</f>
        <v>13567409.1862026</v>
      </c>
      <c r="G208" s="308" t="e">
        <f aca="false">IF(AND(D208=1,E208-F208&gt;0),E208-F208,0)</f>
        <v>#NAME?</v>
      </c>
      <c r="H208" s="308" t="e">
        <f aca="false">IF(AND(D208=1,F208-E208&gt;0),F208-E208,0)</f>
        <v>#NAME?</v>
      </c>
      <c r="K208" s="10" t="n">
        <f aca="false">($K$2*315000)/12</f>
        <v>1059139.94028644</v>
      </c>
      <c r="L208" s="10" t="n">
        <f aca="false">K208*'Revenues &amp; Expenses'!N209</f>
        <v>312770.497127252</v>
      </c>
      <c r="M208" s="10" t="n">
        <f aca="false">SUM(L208:$L$257)</f>
        <v>13567409.1862026</v>
      </c>
      <c r="O208" s="308" t="n">
        <f aca="false">HLOOKUP(C208,'Debt Amortization'!$H$5:$AB$9,5)</f>
        <v>49759672.465677</v>
      </c>
    </row>
    <row r="209" customFormat="false" ht="16.5" hidden="false" customHeight="false" outlineLevel="0" collapsed="false">
      <c r="A209" s="308" t="n">
        <f aca="false">A208+1</f>
        <v>199</v>
      </c>
      <c r="B209" s="308" t="n">
        <v>31</v>
      </c>
      <c r="C209" s="324" t="n">
        <v>42735</v>
      </c>
      <c r="D209" s="315" t="n">
        <f aca="false">'Deal Depiction'!J24</f>
        <v>1</v>
      </c>
      <c r="E209" s="308" t="e">
        <f aca="false">SUM('Revenues &amp; Expenses'!BJ210:$BJ$258)</f>
        <v>#NAME?</v>
      </c>
      <c r="F209" s="10" t="n">
        <f aca="false">M209</f>
        <v>13254638.6890754</v>
      </c>
      <c r="G209" s="308" t="e">
        <f aca="false">IF(AND(D209=1,E209-F209&gt;0),E209-F209,0)</f>
        <v>#NAME?</v>
      </c>
      <c r="H209" s="308" t="e">
        <f aca="false">IF(AND(D209=1,F209-E209&gt;0),F209-E209,0)</f>
        <v>#NAME?</v>
      </c>
      <c r="K209" s="10" t="n">
        <f aca="false">($K$2*315000)/12</f>
        <v>1059139.94028644</v>
      </c>
      <c r="L209" s="10" t="n">
        <f aca="false">K209*'Revenues &amp; Expenses'!N210</f>
        <v>310934.329735169</v>
      </c>
      <c r="M209" s="10" t="n">
        <f aca="false">SUM(L209:$L$257)</f>
        <v>13254638.6890754</v>
      </c>
      <c r="O209" s="308" t="n">
        <f aca="false">HLOOKUP(C209,'Debt Amortization'!$H$5:$AB$9,5)</f>
        <v>41403541.4470635</v>
      </c>
    </row>
    <row r="210" customFormat="false" ht="16.5" hidden="false" customHeight="false" outlineLevel="0" collapsed="false">
      <c r="A210" s="308" t="n">
        <f aca="false">A209+1</f>
        <v>200</v>
      </c>
      <c r="B210" s="308" t="n">
        <v>31</v>
      </c>
      <c r="C210" s="324" t="n">
        <v>42766</v>
      </c>
      <c r="D210" s="315" t="n">
        <f aca="false">D221</f>
        <v>1</v>
      </c>
      <c r="E210" s="308" t="e">
        <f aca="false">SUM('Revenues &amp; Expenses'!BJ211:$BJ$258)</f>
        <v>#NAME?</v>
      </c>
      <c r="F210" s="10" t="n">
        <f aca="false">M210</f>
        <v>12943704.3593402</v>
      </c>
      <c r="G210" s="308" t="e">
        <f aca="false">IF(AND(D210=1,E210-F210&gt;0),E210-F210,0)</f>
        <v>#NAME?</v>
      </c>
      <c r="H210" s="308" t="e">
        <f aca="false">IF(AND(D210=1,F210-E210&gt;0),F210-E210,0)</f>
        <v>#NAME?</v>
      </c>
      <c r="K210" s="10" t="n">
        <f aca="false">($K$2*315000)/12</f>
        <v>1059139.94028644</v>
      </c>
      <c r="L210" s="10" t="n">
        <f aca="false">K210*'Revenues &amp; Expenses'!N211</f>
        <v>309048.538047878</v>
      </c>
      <c r="M210" s="10" t="n">
        <f aca="false">SUM(L210:$L$257)</f>
        <v>12943704.3593402</v>
      </c>
      <c r="O210" s="308" t="n">
        <f aca="false">HLOOKUP(C210,'Debt Amortization'!$H$5:$AB$9,5)</f>
        <v>41403541.4470635</v>
      </c>
    </row>
    <row r="211" customFormat="false" ht="16.5" hidden="false" customHeight="false" outlineLevel="0" collapsed="false">
      <c r="A211" s="308" t="n">
        <f aca="false">A210+1</f>
        <v>201</v>
      </c>
      <c r="B211" s="308" t="n">
        <v>28</v>
      </c>
      <c r="C211" s="324" t="n">
        <v>42794</v>
      </c>
      <c r="D211" s="315" t="n">
        <f aca="false">D221</f>
        <v>1</v>
      </c>
      <c r="E211" s="308" t="e">
        <f aca="false">SUM('Revenues &amp; Expenses'!BJ212:$BJ$258)</f>
        <v>#NAME?</v>
      </c>
      <c r="F211" s="10" t="n">
        <f aca="false">M211</f>
        <v>12634655.8212923</v>
      </c>
      <c r="G211" s="308" t="e">
        <f aca="false">IF(AND(D211=1,E211-F211&gt;0),E211-F211,0)</f>
        <v>#NAME?</v>
      </c>
      <c r="H211" s="308" t="e">
        <f aca="false">IF(AND(D211=1,F211-E211&gt;0),F211-E211,0)</f>
        <v>#NAME?</v>
      </c>
      <c r="K211" s="10" t="n">
        <f aca="false">($K$2*315000)/12</f>
        <v>1059139.94028644</v>
      </c>
      <c r="L211" s="10" t="n">
        <f aca="false">K211*'Revenues &amp; Expenses'!N212</f>
        <v>307174.443728071</v>
      </c>
      <c r="M211" s="10" t="n">
        <f aca="false">SUM(L211:$L$257)</f>
        <v>12634655.8212923</v>
      </c>
      <c r="O211" s="308" t="n">
        <f aca="false">HLOOKUP(C211,'Debt Amortization'!$H$5:$AB$9,5)</f>
        <v>41403541.4470635</v>
      </c>
    </row>
    <row r="212" customFormat="false" ht="16.5" hidden="false" customHeight="false" outlineLevel="0" collapsed="false">
      <c r="A212" s="308" t="n">
        <f aca="false">A211+1</f>
        <v>202</v>
      </c>
      <c r="B212" s="308" t="n">
        <v>31</v>
      </c>
      <c r="C212" s="324" t="n">
        <v>42825</v>
      </c>
      <c r="D212" s="315" t="n">
        <f aca="false">D221</f>
        <v>1</v>
      </c>
      <c r="E212" s="308" t="e">
        <f aca="false">SUM('Revenues &amp; Expenses'!BJ213:$BJ$258)</f>
        <v>#NAME?</v>
      </c>
      <c r="F212" s="10" t="n">
        <f aca="false">M212</f>
        <v>12327481.3775643</v>
      </c>
      <c r="G212" s="308" t="e">
        <f aca="false">IF(AND(D212=1,E212-F212&gt;0),E212-F212,0)</f>
        <v>#NAME?</v>
      </c>
      <c r="H212" s="308" t="e">
        <f aca="false">IF(AND(D212=1,F212-E212&gt;0),F212-E212,0)</f>
        <v>#NAME?</v>
      </c>
      <c r="K212" s="10" t="n">
        <f aca="false">($K$2*315000)/12</f>
        <v>1059139.94028644</v>
      </c>
      <c r="L212" s="10" t="n">
        <f aca="false">K212*'Revenues &amp; Expenses'!N213</f>
        <v>305491.705867532</v>
      </c>
      <c r="M212" s="10" t="n">
        <f aca="false">SUM(L212:$L$257)</f>
        <v>12327481.3775643</v>
      </c>
      <c r="O212" s="308" t="n">
        <f aca="false">HLOOKUP(C212,'Debt Amortization'!$H$5:$AB$9,5)</f>
        <v>41403541.4470635</v>
      </c>
    </row>
    <row r="213" customFormat="false" ht="16.5" hidden="false" customHeight="false" outlineLevel="0" collapsed="false">
      <c r="A213" s="308" t="n">
        <f aca="false">A212+1</f>
        <v>203</v>
      </c>
      <c r="B213" s="308" t="n">
        <v>30</v>
      </c>
      <c r="C213" s="324" t="n">
        <v>42855</v>
      </c>
      <c r="D213" s="315" t="n">
        <f aca="false">D221</f>
        <v>1</v>
      </c>
      <c r="E213" s="308" t="e">
        <f aca="false">SUM('Revenues &amp; Expenses'!BJ214:$BJ$258)</f>
        <v>#NAME?</v>
      </c>
      <c r="F213" s="10" t="n">
        <f aca="false">M213</f>
        <v>12021989.6716967</v>
      </c>
      <c r="G213" s="308" t="e">
        <f aca="false">IF(AND(D213=1,E213-F213&gt;0),E213-F213,0)</f>
        <v>#NAME?</v>
      </c>
      <c r="H213" s="308" t="e">
        <f aca="false">IF(AND(D213=1,F213-E213&gt;0),F213-E213,0)</f>
        <v>#NAME?</v>
      </c>
      <c r="K213" s="10" t="n">
        <f aca="false">($K$2*315000)/12</f>
        <v>1059139.94028644</v>
      </c>
      <c r="L213" s="10" t="n">
        <f aca="false">K213*'Revenues &amp; Expenses'!N214</f>
        <v>303639.669963442</v>
      </c>
      <c r="M213" s="10" t="n">
        <f aca="false">SUM(L213:$L$257)</f>
        <v>12021989.6716967</v>
      </c>
      <c r="O213" s="308" t="n">
        <f aca="false">HLOOKUP(C213,'Debt Amortization'!$H$5:$AB$9,5)</f>
        <v>41403541.4470635</v>
      </c>
    </row>
    <row r="214" customFormat="false" ht="16.5" hidden="false" customHeight="false" outlineLevel="0" collapsed="false">
      <c r="A214" s="308" t="n">
        <f aca="false">A213+1</f>
        <v>204</v>
      </c>
      <c r="B214" s="308" t="n">
        <v>31</v>
      </c>
      <c r="C214" s="324" t="n">
        <v>42886</v>
      </c>
      <c r="D214" s="315" t="n">
        <f aca="false">D221</f>
        <v>1</v>
      </c>
      <c r="E214" s="308" t="e">
        <f aca="false">SUM('Revenues &amp; Expenses'!BJ215:$BJ$258)</f>
        <v>#NAME?</v>
      </c>
      <c r="F214" s="10" t="n">
        <f aca="false">M214</f>
        <v>11718350.0017333</v>
      </c>
      <c r="G214" s="308" t="e">
        <f aca="false">IF(AND(D214=1,E214-F214&gt;0),E214-F214,0)</f>
        <v>#NAME?</v>
      </c>
      <c r="H214" s="308" t="e">
        <f aca="false">IF(AND(D214=1,F214-E214&gt;0),F214-E214,0)</f>
        <v>#NAME?</v>
      </c>
      <c r="K214" s="10" t="n">
        <f aca="false">($K$2*315000)/12</f>
        <v>1059139.94028644</v>
      </c>
      <c r="L214" s="10" t="n">
        <f aca="false">K214*'Revenues &amp; Expenses'!N215</f>
        <v>301858.311781302</v>
      </c>
      <c r="M214" s="10" t="n">
        <f aca="false">SUM(L214:$L$257)</f>
        <v>11718350.0017333</v>
      </c>
      <c r="O214" s="308" t="n">
        <f aca="false">HLOOKUP(C214,'Debt Amortization'!$H$5:$AB$9,5)</f>
        <v>41403541.4470635</v>
      </c>
    </row>
    <row r="215" customFormat="false" ht="16.5" hidden="false" customHeight="false" outlineLevel="0" collapsed="false">
      <c r="A215" s="308" t="n">
        <f aca="false">A214+1</f>
        <v>205</v>
      </c>
      <c r="B215" s="308" t="n">
        <v>30</v>
      </c>
      <c r="C215" s="324" t="n">
        <v>42916</v>
      </c>
      <c r="D215" s="315" t="n">
        <f aca="false">D221</f>
        <v>1</v>
      </c>
      <c r="E215" s="308" t="e">
        <f aca="false">SUM('Revenues &amp; Expenses'!BJ216:$BJ$258)</f>
        <v>#NAME?</v>
      </c>
      <c r="F215" s="10" t="n">
        <f aca="false">M215</f>
        <v>11416491.689952</v>
      </c>
      <c r="G215" s="308" t="e">
        <f aca="false">IF(AND(D215=1,E215-F215&gt;0),E215-F215,0)</f>
        <v>#NAME?</v>
      </c>
      <c r="H215" s="308" t="e">
        <f aca="false">IF(AND(D215=1,F215-E215&gt;0),F215-E215,0)</f>
        <v>#NAME?</v>
      </c>
      <c r="K215" s="10" t="n">
        <f aca="false">($K$2*315000)/12</f>
        <v>1059139.94028644</v>
      </c>
      <c r="L215" s="10" t="n">
        <f aca="false">K215*'Revenues &amp; Expenses'!N216</f>
        <v>300028.803326837</v>
      </c>
      <c r="M215" s="10" t="n">
        <f aca="false">SUM(L215:$L$257)</f>
        <v>11416491.689952</v>
      </c>
      <c r="O215" s="308" t="n">
        <f aca="false">HLOOKUP(C215,'Debt Amortization'!$H$5:$AB$9,5)</f>
        <v>41403541.4470635</v>
      </c>
    </row>
    <row r="216" customFormat="false" ht="16.5" hidden="false" customHeight="false" outlineLevel="0" collapsed="false">
      <c r="A216" s="308" t="n">
        <f aca="false">A215+1</f>
        <v>206</v>
      </c>
      <c r="B216" s="308" t="n">
        <v>31</v>
      </c>
      <c r="C216" s="324" t="n">
        <v>42947</v>
      </c>
      <c r="D216" s="315" t="n">
        <f aca="false">D221</f>
        <v>1</v>
      </c>
      <c r="E216" s="308" t="e">
        <f aca="false">SUM('Revenues &amp; Expenses'!BJ217:$BJ$258)</f>
        <v>#NAME?</v>
      </c>
      <c r="F216" s="10" t="n">
        <f aca="false">M216</f>
        <v>11116462.8866251</v>
      </c>
      <c r="G216" s="308" t="e">
        <f aca="false">IF(AND(D216=1,E216-F216&gt;0),E216-F216,0)</f>
        <v>#NAME?</v>
      </c>
      <c r="H216" s="308" t="e">
        <f aca="false">IF(AND(D216=1,F216-E216&gt;0),F216-E216,0)</f>
        <v>#NAME?</v>
      </c>
      <c r="K216" s="10" t="n">
        <f aca="false">($K$2*315000)/12</f>
        <v>1059139.94028644</v>
      </c>
      <c r="L216" s="10" t="n">
        <f aca="false">K216*'Revenues &amp; Expenses'!N217</f>
        <v>298269.110079857</v>
      </c>
      <c r="M216" s="10" t="n">
        <f aca="false">SUM(L216:$L$257)</f>
        <v>11116462.8866251</v>
      </c>
      <c r="O216" s="308" t="n">
        <f aca="false">HLOOKUP(C216,'Debt Amortization'!$H$5:$AB$9,5)</f>
        <v>41403541.4470635</v>
      </c>
    </row>
    <row r="217" customFormat="false" ht="16.5" hidden="false" customHeight="false" outlineLevel="0" collapsed="false">
      <c r="A217" s="308" t="n">
        <f aca="false">A216+1</f>
        <v>207</v>
      </c>
      <c r="B217" s="308" t="n">
        <v>31</v>
      </c>
      <c r="C217" s="324" t="n">
        <v>42978</v>
      </c>
      <c r="D217" s="315" t="n">
        <f aca="false">D221</f>
        <v>1</v>
      </c>
      <c r="E217" s="308" t="e">
        <f aca="false">SUM('Revenues &amp; Expenses'!BJ218:$BJ$258)</f>
        <v>#NAME?</v>
      </c>
      <c r="F217" s="10" t="n">
        <f aca="false">M217</f>
        <v>10818193.7765453</v>
      </c>
      <c r="G217" s="308" t="e">
        <f aca="false">IF(AND(D217=1,E217-F217&gt;0),E217-F217,0)</f>
        <v>#NAME?</v>
      </c>
      <c r="H217" s="308" t="e">
        <f aca="false">IF(AND(D217=1,F217-E217&gt;0),F217-E217,0)</f>
        <v>#NAME?</v>
      </c>
      <c r="K217" s="10" t="n">
        <f aca="false">($K$2*315000)/12</f>
        <v>1059139.94028644</v>
      </c>
      <c r="L217" s="10" t="n">
        <f aca="false">K217*'Revenues &amp; Expenses'!N218</f>
        <v>296461.849271804</v>
      </c>
      <c r="M217" s="10" t="n">
        <f aca="false">SUM(L217:$L$257)</f>
        <v>10818193.7765453</v>
      </c>
      <c r="O217" s="308" t="n">
        <f aca="false">HLOOKUP(C217,'Debt Amortization'!$H$5:$AB$9,5)</f>
        <v>41403541.4470635</v>
      </c>
    </row>
    <row r="218" customFormat="false" ht="16.5" hidden="false" customHeight="false" outlineLevel="0" collapsed="false">
      <c r="A218" s="308" t="n">
        <f aca="false">A217+1</f>
        <v>208</v>
      </c>
      <c r="B218" s="308" t="n">
        <v>30</v>
      </c>
      <c r="C218" s="324" t="n">
        <v>43008</v>
      </c>
      <c r="D218" s="315" t="n">
        <f aca="false">D221</f>
        <v>1</v>
      </c>
      <c r="E218" s="308" t="e">
        <f aca="false">SUM('Revenues &amp; Expenses'!BJ219:$BJ$258)</f>
        <v>#NAME?</v>
      </c>
      <c r="F218" s="10" t="n">
        <f aca="false">M218</f>
        <v>10521731.9272735</v>
      </c>
      <c r="G218" s="308" t="e">
        <f aca="false">IF(AND(D218=1,E218-F218&gt;0),E218-F218,0)</f>
        <v>#NAME?</v>
      </c>
      <c r="H218" s="308" t="e">
        <f aca="false">IF(AND(D218=1,F218-E218&gt;0),F218-E218,0)</f>
        <v>#NAME?</v>
      </c>
      <c r="K218" s="10" t="n">
        <f aca="false">($K$2*315000)/12</f>
        <v>1059139.94028644</v>
      </c>
      <c r="L218" s="10" t="n">
        <f aca="false">K218*'Revenues &amp; Expenses'!N219</f>
        <v>294665.788553021</v>
      </c>
      <c r="M218" s="10" t="n">
        <f aca="false">SUM(L218:$L$257)</f>
        <v>10521731.9272735</v>
      </c>
      <c r="O218" s="308" t="n">
        <f aca="false">HLOOKUP(C218,'Debt Amortization'!$H$5:$AB$9,5)</f>
        <v>41403541.4470635</v>
      </c>
    </row>
    <row r="219" customFormat="false" ht="16.5" hidden="false" customHeight="false" outlineLevel="0" collapsed="false">
      <c r="A219" s="308" t="n">
        <f aca="false">A218+1</f>
        <v>209</v>
      </c>
      <c r="B219" s="308" t="n">
        <v>31</v>
      </c>
      <c r="C219" s="324" t="n">
        <v>43039</v>
      </c>
      <c r="D219" s="315" t="n">
        <f aca="false">D221</f>
        <v>1</v>
      </c>
      <c r="E219" s="308" t="e">
        <f aca="false">SUM('Revenues &amp; Expenses'!BJ220:$BJ$258)</f>
        <v>#NAME?</v>
      </c>
      <c r="F219" s="10" t="n">
        <f aca="false">M219</f>
        <v>10227066.1387205</v>
      </c>
      <c r="G219" s="308" t="e">
        <f aca="false">IF(AND(D219=1,E219-F219&gt;0),E219-F219,0)</f>
        <v>#NAME?</v>
      </c>
      <c r="H219" s="308" t="e">
        <f aca="false">IF(AND(D219=1,F219-E219&gt;0),F219-E219,0)</f>
        <v>#NAME?</v>
      </c>
      <c r="K219" s="10" t="n">
        <f aca="false">($K$2*315000)/12</f>
        <v>1059139.94028644</v>
      </c>
      <c r="L219" s="10" t="n">
        <f aca="false">K219*'Revenues &amp; Expenses'!N220</f>
        <v>292938.262482539</v>
      </c>
      <c r="M219" s="10" t="n">
        <f aca="false">SUM(L219:$L$257)</f>
        <v>10227066.1387205</v>
      </c>
      <c r="O219" s="308" t="n">
        <f aca="false">HLOOKUP(C219,'Debt Amortization'!$H$5:$AB$9,5)</f>
        <v>41403541.4470635</v>
      </c>
    </row>
    <row r="220" customFormat="false" ht="16.5" hidden="false" customHeight="false" outlineLevel="0" collapsed="false">
      <c r="A220" s="308" t="n">
        <f aca="false">A219+1</f>
        <v>210</v>
      </c>
      <c r="B220" s="308" t="n">
        <v>30</v>
      </c>
      <c r="C220" s="324" t="n">
        <v>43069</v>
      </c>
      <c r="D220" s="315" t="n">
        <f aca="false">D221</f>
        <v>1</v>
      </c>
      <c r="E220" s="308" t="e">
        <f aca="false">SUM('Revenues &amp; Expenses'!BJ221:$BJ$258)</f>
        <v>#NAME?</v>
      </c>
      <c r="F220" s="10" t="n">
        <f aca="false">M220</f>
        <v>9934127.87623792</v>
      </c>
      <c r="G220" s="308" t="e">
        <f aca="false">IF(AND(D220=1,E220-F220&gt;0),E220-F220,0)</f>
        <v>#NAME?</v>
      </c>
      <c r="H220" s="308" t="e">
        <f aca="false">IF(AND(D220=1,F220-E220&gt;0),F220-E220,0)</f>
        <v>#NAME?</v>
      </c>
      <c r="K220" s="10" t="n">
        <f aca="false">($K$2*315000)/12</f>
        <v>1059139.94028644</v>
      </c>
      <c r="L220" s="10" t="n">
        <f aca="false">K220*'Revenues &amp; Expenses'!N221</f>
        <v>291164.034100787</v>
      </c>
      <c r="M220" s="10" t="n">
        <f aca="false">SUM(L220:$L$257)</f>
        <v>9934127.87623792</v>
      </c>
      <c r="O220" s="308" t="n">
        <f aca="false">HLOOKUP(C220,'Debt Amortization'!$H$5:$AB$9,5)</f>
        <v>41403541.4470635</v>
      </c>
    </row>
    <row r="221" customFormat="false" ht="16.5" hidden="false" customHeight="false" outlineLevel="0" collapsed="false">
      <c r="A221" s="308" t="n">
        <f aca="false">A220+1</f>
        <v>211</v>
      </c>
      <c r="B221" s="308" t="n">
        <v>31</v>
      </c>
      <c r="C221" s="324" t="n">
        <v>43100</v>
      </c>
      <c r="D221" s="315" t="n">
        <f aca="false">'Deal Depiction'!J25</f>
        <v>1</v>
      </c>
      <c r="E221" s="308" t="e">
        <f aca="false">SUM('Revenues &amp; Expenses'!BJ222:$BJ$258)</f>
        <v>#NAME?</v>
      </c>
      <c r="F221" s="10" t="n">
        <f aca="false">M221</f>
        <v>9642963.84213713</v>
      </c>
      <c r="G221" s="308" t="e">
        <f aca="false">IF(AND(D221=1,E221-F221&gt;0),E221-F221,0)</f>
        <v>#NAME?</v>
      </c>
      <c r="H221" s="308" t="e">
        <f aca="false">IF(AND(D221=1,F221-E221&gt;0),F221-E221,0)</f>
        <v>#NAME?</v>
      </c>
      <c r="K221" s="10" t="n">
        <f aca="false">($K$2*315000)/12</f>
        <v>1059139.94028644</v>
      </c>
      <c r="L221" s="10" t="n">
        <f aca="false">K221*'Revenues &amp; Expenses'!N222</f>
        <v>289457.50454941</v>
      </c>
      <c r="M221" s="10" t="n">
        <f aca="false">SUM(L221:$L$257)</f>
        <v>9642963.84213713</v>
      </c>
      <c r="O221" s="308" t="n">
        <f aca="false">HLOOKUP(C221,'Debt Amortization'!$H$5:$AB$9,5)</f>
        <v>41403541.4470635</v>
      </c>
    </row>
    <row r="222" customFormat="false" ht="16.5" hidden="false" customHeight="false" outlineLevel="0" collapsed="false">
      <c r="A222" s="308" t="n">
        <f aca="false">A221+1</f>
        <v>212</v>
      </c>
      <c r="B222" s="308" t="n">
        <v>31</v>
      </c>
      <c r="C222" s="324" t="n">
        <v>43131</v>
      </c>
      <c r="D222" s="315" t="n">
        <f aca="false">D233</f>
        <v>1</v>
      </c>
      <c r="E222" s="308" t="e">
        <f aca="false">SUM('Revenues &amp; Expenses'!BJ223:$BJ$258)</f>
        <v>#NAME?</v>
      </c>
      <c r="F222" s="10" t="n">
        <f aca="false">M222</f>
        <v>9353506.33758772</v>
      </c>
      <c r="G222" s="308" t="e">
        <f aca="false">IF(AND(D222=1,E222-F222&gt;0),E222-F222,0)</f>
        <v>#NAME?</v>
      </c>
      <c r="H222" s="308" t="e">
        <f aca="false">IF(AND(D222=1,F222-E222&gt;0),F222-E222,0)</f>
        <v>#NAME?</v>
      </c>
      <c r="K222" s="10" t="n">
        <f aca="false">($K$2*315000)/12</f>
        <v>1059139.94028644</v>
      </c>
      <c r="L222" s="10" t="n">
        <f aca="false">K222*'Revenues &amp; Expenses'!N223</f>
        <v>287704.837504711</v>
      </c>
      <c r="M222" s="10" t="n">
        <f aca="false">SUM(L222:$L$257)</f>
        <v>9353506.33758772</v>
      </c>
      <c r="O222" s="308" t="n">
        <f aca="false">HLOOKUP(C222,'Debt Amortization'!$H$5:$AB$9,5)</f>
        <v>32316320.0113694</v>
      </c>
    </row>
    <row r="223" customFormat="false" ht="16.5" hidden="false" customHeight="false" outlineLevel="0" collapsed="false">
      <c r="A223" s="308" t="n">
        <f aca="false">A222+1</f>
        <v>213</v>
      </c>
      <c r="B223" s="308" t="n">
        <v>28</v>
      </c>
      <c r="C223" s="324" t="n">
        <v>43159</v>
      </c>
      <c r="D223" s="315" t="n">
        <f aca="false">D233</f>
        <v>1</v>
      </c>
      <c r="E223" s="308" t="e">
        <f aca="false">SUM('Revenues &amp; Expenses'!BJ224:$BJ$258)</f>
        <v>#NAME?</v>
      </c>
      <c r="F223" s="10" t="n">
        <f aca="false">M223</f>
        <v>9065801.50008301</v>
      </c>
      <c r="G223" s="308" t="e">
        <f aca="false">IF(AND(D223=1,E223-F223&gt;0),E223-F223,0)</f>
        <v>#NAME?</v>
      </c>
      <c r="H223" s="308" t="e">
        <f aca="false">IF(AND(D223=1,F223-E223&gt;0),F223-E223,0)</f>
        <v>#NAME?</v>
      </c>
      <c r="K223" s="10" t="n">
        <f aca="false">($K$2*315000)/12</f>
        <v>1059139.94028644</v>
      </c>
      <c r="L223" s="10" t="n">
        <f aca="false">K223*'Revenues &amp; Expenses'!N224</f>
        <v>285963.025106348</v>
      </c>
      <c r="M223" s="10" t="n">
        <f aca="false">SUM(L223:$L$257)</f>
        <v>9065801.50008301</v>
      </c>
      <c r="O223" s="308" t="n">
        <f aca="false">HLOOKUP(C223,'Debt Amortization'!$H$5:$AB$9,5)</f>
        <v>32316320.0113694</v>
      </c>
    </row>
    <row r="224" customFormat="false" ht="16.5" hidden="false" customHeight="false" outlineLevel="0" collapsed="false">
      <c r="A224" s="308" t="n">
        <f aca="false">A223+1</f>
        <v>214</v>
      </c>
      <c r="B224" s="308" t="n">
        <v>31</v>
      </c>
      <c r="C224" s="324" t="n">
        <v>43190</v>
      </c>
      <c r="D224" s="315" t="n">
        <f aca="false">D233</f>
        <v>1</v>
      </c>
      <c r="E224" s="308" t="e">
        <f aca="false">SUM('Revenues &amp; Expenses'!BJ225:$BJ$258)</f>
        <v>#NAME?</v>
      </c>
      <c r="F224" s="10" t="n">
        <f aca="false">M224</f>
        <v>8779838.47497666</v>
      </c>
      <c r="G224" s="308" t="e">
        <f aca="false">IF(AND(D224=1,E224-F224&gt;0),E224-F224,0)</f>
        <v>#NAME?</v>
      </c>
      <c r="H224" s="308" t="e">
        <f aca="false">IF(AND(D224=1,F224-E224&gt;0),F224-E224,0)</f>
        <v>#NAME?</v>
      </c>
      <c r="K224" s="10" t="n">
        <f aca="false">($K$2*315000)/12</f>
        <v>1059139.94028644</v>
      </c>
      <c r="L224" s="10" t="n">
        <f aca="false">K224*'Revenues &amp; Expenses'!N225</f>
        <v>284399.047880835</v>
      </c>
      <c r="M224" s="10" t="n">
        <f aca="false">SUM(L224:$L$257)</f>
        <v>8779838.47497666</v>
      </c>
      <c r="O224" s="308" t="n">
        <f aca="false">HLOOKUP(C224,'Debt Amortization'!$H$5:$AB$9,5)</f>
        <v>32316320.0113694</v>
      </c>
    </row>
    <row r="225" customFormat="false" ht="16.5" hidden="false" customHeight="false" outlineLevel="0" collapsed="false">
      <c r="A225" s="308" t="n">
        <f aca="false">A224+1</f>
        <v>215</v>
      </c>
      <c r="B225" s="308" t="n">
        <v>30</v>
      </c>
      <c r="C225" s="324" t="n">
        <v>43220</v>
      </c>
      <c r="D225" s="315" t="n">
        <f aca="false">D233</f>
        <v>1</v>
      </c>
      <c r="E225" s="308" t="e">
        <f aca="false">SUM('Revenues &amp; Expenses'!BJ226:$BJ$258)</f>
        <v>#NAME?</v>
      </c>
      <c r="F225" s="10" t="n">
        <f aca="false">M225</f>
        <v>8495439.42709583</v>
      </c>
      <c r="G225" s="308" t="e">
        <f aca="false">IF(AND(D225=1,E225-F225&gt;0),E225-F225,0)</f>
        <v>#NAME?</v>
      </c>
      <c r="H225" s="308" t="e">
        <f aca="false">IF(AND(D225=1,F225-E225&gt;0),F225-E225,0)</f>
        <v>#NAME?</v>
      </c>
      <c r="K225" s="10" t="n">
        <f aca="false">($K$2*315000)/12</f>
        <v>1059139.94028644</v>
      </c>
      <c r="L225" s="10" t="n">
        <f aca="false">K225*'Revenues &amp; Expenses'!N226</f>
        <v>282677.705012284</v>
      </c>
      <c r="M225" s="10" t="n">
        <f aca="false">SUM(L225:$L$257)</f>
        <v>8495439.42709583</v>
      </c>
      <c r="O225" s="308" t="n">
        <f aca="false">HLOOKUP(C225,'Debt Amortization'!$H$5:$AB$9,5)</f>
        <v>32316320.0113694</v>
      </c>
    </row>
    <row r="226" customFormat="false" ht="16.5" hidden="false" customHeight="false" outlineLevel="0" collapsed="false">
      <c r="A226" s="308" t="n">
        <f aca="false">A225+1</f>
        <v>216</v>
      </c>
      <c r="B226" s="308" t="n">
        <v>31</v>
      </c>
      <c r="C226" s="324" t="n">
        <v>43251</v>
      </c>
      <c r="D226" s="315" t="n">
        <f aca="false">D233</f>
        <v>1</v>
      </c>
      <c r="E226" s="308" t="e">
        <f aca="false">SUM('Revenues &amp; Expenses'!BJ227:$BJ$258)</f>
        <v>#NAME?</v>
      </c>
      <c r="F226" s="10" t="n">
        <f aca="false">M226</f>
        <v>8212761.72208354</v>
      </c>
      <c r="G226" s="308" t="e">
        <f aca="false">IF(AND(D226=1,E226-F226&gt;0),E226-F226,0)</f>
        <v>#NAME?</v>
      </c>
      <c r="H226" s="308" t="e">
        <f aca="false">IF(AND(D226=1,F226-E226&gt;0),F226-E226,0)</f>
        <v>#NAME?</v>
      </c>
      <c r="K226" s="10" t="n">
        <f aca="false">($K$2*315000)/12</f>
        <v>1059139.94028644</v>
      </c>
      <c r="L226" s="10" t="n">
        <f aca="false">K226*'Revenues &amp; Expenses'!N227</f>
        <v>281022.036470541</v>
      </c>
      <c r="M226" s="10" t="n">
        <f aca="false">SUM(L226:$L$257)</f>
        <v>8212761.72208354</v>
      </c>
      <c r="O226" s="308" t="n">
        <f aca="false">HLOOKUP(C226,'Debt Amortization'!$H$5:$AB$9,5)</f>
        <v>32316320.0113694</v>
      </c>
    </row>
    <row r="227" customFormat="false" ht="16.5" hidden="false" customHeight="false" outlineLevel="0" collapsed="false">
      <c r="A227" s="308" t="n">
        <f aca="false">A226+1</f>
        <v>217</v>
      </c>
      <c r="B227" s="308" t="n">
        <v>30</v>
      </c>
      <c r="C227" s="324" t="n">
        <v>43281</v>
      </c>
      <c r="D227" s="315" t="n">
        <f aca="false">D233</f>
        <v>1</v>
      </c>
      <c r="E227" s="308" t="e">
        <f aca="false">SUM('Revenues &amp; Expenses'!BJ228:$BJ$258)</f>
        <v>#NAME?</v>
      </c>
      <c r="F227" s="10" t="n">
        <f aca="false">M227</f>
        <v>7931739.685613</v>
      </c>
      <c r="G227" s="308" t="e">
        <f aca="false">IF(AND(D227=1,E227-F227&gt;0),E227-F227,0)</f>
        <v>#NAME?</v>
      </c>
      <c r="H227" s="308" t="e">
        <f aca="false">IF(AND(D227=1,F227-E227&gt;0),F227-E227,0)</f>
        <v>#NAME?</v>
      </c>
      <c r="K227" s="10" t="n">
        <f aca="false">($K$2*315000)/12</f>
        <v>1059139.94028644</v>
      </c>
      <c r="L227" s="10" t="n">
        <f aca="false">K227*'Revenues &amp; Expenses'!N228</f>
        <v>279321.59876657</v>
      </c>
      <c r="M227" s="10" t="n">
        <f aca="false">SUM(L227:$L$257)</f>
        <v>7931739.685613</v>
      </c>
      <c r="O227" s="308" t="n">
        <f aca="false">HLOOKUP(C227,'Debt Amortization'!$H$5:$AB$9,5)</f>
        <v>32316320.0113694</v>
      </c>
    </row>
    <row r="228" customFormat="false" ht="16.5" hidden="false" customHeight="false" outlineLevel="0" collapsed="false">
      <c r="A228" s="308" t="n">
        <f aca="false">A227+1</f>
        <v>218</v>
      </c>
      <c r="B228" s="308" t="n">
        <v>31</v>
      </c>
      <c r="C228" s="324" t="n">
        <v>43312</v>
      </c>
      <c r="D228" s="315" t="n">
        <f aca="false">D233</f>
        <v>1</v>
      </c>
      <c r="E228" s="308" t="e">
        <f aca="false">SUM('Revenues &amp; Expenses'!BJ229:$BJ$258)</f>
        <v>#NAME?</v>
      </c>
      <c r="F228" s="10" t="n">
        <f aca="false">M228</f>
        <v>7652418.08684643</v>
      </c>
      <c r="G228" s="308" t="e">
        <f aca="false">IF(AND(D228=1,E228-F228&gt;0),E228-F228,0)</f>
        <v>#NAME?</v>
      </c>
      <c r="H228" s="308" t="e">
        <f aca="false">IF(AND(D228=1,F228-E228&gt;0),F228-E228,0)</f>
        <v>#NAME?</v>
      </c>
      <c r="K228" s="10" t="n">
        <f aca="false">($K$2*315000)/12</f>
        <v>1059139.94028644</v>
      </c>
      <c r="L228" s="10" t="n">
        <f aca="false">K228*'Revenues &amp; Expenses'!N229</f>
        <v>277686.035176411</v>
      </c>
      <c r="M228" s="10" t="n">
        <f aca="false">SUM(L228:$L$257)</f>
        <v>7652418.08684643</v>
      </c>
      <c r="O228" s="308" t="n">
        <f aca="false">HLOOKUP(C228,'Debt Amortization'!$H$5:$AB$9,5)</f>
        <v>32316320.0113694</v>
      </c>
    </row>
    <row r="229" customFormat="false" ht="16.5" hidden="false" customHeight="false" outlineLevel="0" collapsed="false">
      <c r="A229" s="308" t="n">
        <f aca="false">A228+1</f>
        <v>219</v>
      </c>
      <c r="B229" s="308" t="n">
        <v>31</v>
      </c>
      <c r="C229" s="324" t="n">
        <v>43343</v>
      </c>
      <c r="D229" s="315" t="n">
        <f aca="false">D233</f>
        <v>1</v>
      </c>
      <c r="E229" s="308" t="e">
        <f aca="false">SUM('Revenues &amp; Expenses'!BJ230:$BJ$258)</f>
        <v>#NAME?</v>
      </c>
      <c r="F229" s="10" t="n">
        <f aca="false">M229</f>
        <v>7374732.05167002</v>
      </c>
      <c r="G229" s="308" t="e">
        <f aca="false">IF(AND(D229=1,E229-F229&gt;0),E229-F229,0)</f>
        <v>#NAME?</v>
      </c>
      <c r="H229" s="308" t="e">
        <f aca="false">IF(AND(D229=1,F229-E229&gt;0),F229-E229,0)</f>
        <v>#NAME?</v>
      </c>
      <c r="K229" s="10" t="n">
        <f aca="false">($K$2*315000)/12</f>
        <v>1059139.94028644</v>
      </c>
      <c r="L229" s="10" t="n">
        <f aca="false">K229*'Revenues &amp; Expenses'!N230</f>
        <v>276006.243370817</v>
      </c>
      <c r="M229" s="10" t="n">
        <f aca="false">SUM(L229:$L$257)</f>
        <v>7374732.05167002</v>
      </c>
      <c r="O229" s="308" t="n">
        <f aca="false">HLOOKUP(C229,'Debt Amortization'!$H$5:$AB$9,5)</f>
        <v>32316320.0113694</v>
      </c>
    </row>
    <row r="230" customFormat="false" ht="16.5" hidden="false" customHeight="false" outlineLevel="0" collapsed="false">
      <c r="A230" s="308" t="n">
        <f aca="false">A229+1</f>
        <v>220</v>
      </c>
      <c r="B230" s="308" t="n">
        <v>30</v>
      </c>
      <c r="C230" s="324" t="n">
        <v>43373</v>
      </c>
      <c r="D230" s="315" t="n">
        <f aca="false">D233</f>
        <v>1</v>
      </c>
      <c r="E230" s="308" t="e">
        <f aca="false">SUM('Revenues &amp; Expenses'!BJ231:$BJ$258)</f>
        <v>#NAME?</v>
      </c>
      <c r="F230" s="10" t="n">
        <f aca="false">M230</f>
        <v>7098725.8082992</v>
      </c>
      <c r="G230" s="308" t="e">
        <f aca="false">IF(AND(D230=1,E230-F230&gt;0),E230-F230,0)</f>
        <v>#NAME?</v>
      </c>
      <c r="H230" s="308" t="e">
        <f aca="false">IF(AND(D230=1,F230-E230&gt;0),F230-E230,0)</f>
        <v>#NAME?</v>
      </c>
      <c r="K230" s="10" t="n">
        <f aca="false">($K$2*315000)/12</f>
        <v>1059139.94028644</v>
      </c>
      <c r="L230" s="10" t="n">
        <f aca="false">K230*'Revenues &amp; Expenses'!N231</f>
        <v>274336.845436814</v>
      </c>
      <c r="M230" s="10" t="n">
        <f aca="false">SUM(L230:$L$257)</f>
        <v>7098725.8082992</v>
      </c>
      <c r="O230" s="308" t="n">
        <f aca="false">HLOOKUP(C230,'Debt Amortization'!$H$5:$AB$9,5)</f>
        <v>32316320.0113694</v>
      </c>
    </row>
    <row r="231" customFormat="false" ht="16.5" hidden="false" customHeight="false" outlineLevel="0" collapsed="false">
      <c r="A231" s="308" t="n">
        <f aca="false">A230+1</f>
        <v>221</v>
      </c>
      <c r="B231" s="308" t="n">
        <v>31</v>
      </c>
      <c r="C231" s="324" t="n">
        <v>43404</v>
      </c>
      <c r="D231" s="315" t="n">
        <f aca="false">D233</f>
        <v>1</v>
      </c>
      <c r="E231" s="308" t="e">
        <f aca="false">SUM('Revenues &amp; Expenses'!BJ232:$BJ$258)</f>
        <v>#NAME?</v>
      </c>
      <c r="F231" s="10" t="n">
        <f aca="false">M231</f>
        <v>6824388.96286239</v>
      </c>
      <c r="G231" s="308" t="e">
        <f aca="false">IF(AND(D231=1,E231-F231&gt;0),E231-F231,0)</f>
        <v>#NAME?</v>
      </c>
      <c r="H231" s="308" t="e">
        <f aca="false">IF(AND(D231=1,F231-E231&gt;0),F231-E231,0)</f>
        <v>#NAME?</v>
      </c>
      <c r="K231" s="10" t="n">
        <f aca="false">($K$2*315000)/12</f>
        <v>1059139.94028644</v>
      </c>
      <c r="L231" s="10" t="n">
        <f aca="false">K231*'Revenues &amp; Expenses'!N232</f>
        <v>272731.133527363</v>
      </c>
      <c r="M231" s="10" t="n">
        <f aca="false">SUM(L231:$L$257)</f>
        <v>6824388.96286239</v>
      </c>
      <c r="O231" s="308" t="n">
        <f aca="false">HLOOKUP(C231,'Debt Amortization'!$H$5:$AB$9,5)</f>
        <v>32316320.0113694</v>
      </c>
    </row>
    <row r="232" customFormat="false" ht="16.5" hidden="false" customHeight="false" outlineLevel="0" collapsed="false">
      <c r="A232" s="308" t="n">
        <f aca="false">A231+1</f>
        <v>222</v>
      </c>
      <c r="B232" s="308" t="n">
        <v>30</v>
      </c>
      <c r="C232" s="324" t="n">
        <v>43434</v>
      </c>
      <c r="D232" s="315" t="n">
        <f aca="false">D233</f>
        <v>1</v>
      </c>
      <c r="E232" s="308" t="e">
        <f aca="false">SUM('Revenues &amp; Expenses'!BJ233:$BJ$258)</f>
        <v>#NAME?</v>
      </c>
      <c r="F232" s="10" t="n">
        <f aca="false">M232</f>
        <v>6551657.82933503</v>
      </c>
      <c r="G232" s="308" t="e">
        <f aca="false">IF(AND(D232=1,E232-F232&gt;0),E232-F232,0)</f>
        <v>#NAME?</v>
      </c>
      <c r="H232" s="308" t="e">
        <f aca="false">IF(AND(D232=1,F232-E232&gt;0),F232-E232,0)</f>
        <v>#NAME?</v>
      </c>
      <c r="K232" s="10" t="n">
        <f aca="false">($K$2*315000)/12</f>
        <v>1059139.94028644</v>
      </c>
      <c r="L232" s="10" t="n">
        <f aca="false">K232*'Revenues &amp; Expenses'!N233</f>
        <v>271081.996656388</v>
      </c>
      <c r="M232" s="10" t="n">
        <f aca="false">SUM(L232:$L$257)</f>
        <v>6551657.82933503</v>
      </c>
      <c r="O232" s="308" t="n">
        <f aca="false">HLOOKUP(C232,'Debt Amortization'!$H$5:$AB$9,5)</f>
        <v>32316320.0113694</v>
      </c>
    </row>
    <row r="233" customFormat="false" ht="16.5" hidden="false" customHeight="false" outlineLevel="0" collapsed="false">
      <c r="A233" s="308" t="n">
        <f aca="false">A232+1</f>
        <v>223</v>
      </c>
      <c r="B233" s="308" t="n">
        <v>31</v>
      </c>
      <c r="C233" s="324" t="n">
        <v>43465</v>
      </c>
      <c r="D233" s="315" t="n">
        <f aca="false">'Deal Depiction'!J26</f>
        <v>1</v>
      </c>
      <c r="E233" s="308" t="e">
        <f aca="false">SUM('Revenues &amp; Expenses'!BJ234:$BJ$258)</f>
        <v>#NAME?</v>
      </c>
      <c r="F233" s="10" t="n">
        <f aca="false">M233</f>
        <v>6280575.83267864</v>
      </c>
      <c r="G233" s="308" t="e">
        <f aca="false">IF(AND(D233=1,E233-F233&gt;0),E233-F233,0)</f>
        <v>#NAME?</v>
      </c>
      <c r="H233" s="308" t="e">
        <f aca="false">IF(AND(D233=1,F233-E233&gt;0),F233-E233,0)</f>
        <v>#NAME?</v>
      </c>
      <c r="K233" s="10" t="n">
        <f aca="false">($K$2*315000)/12</f>
        <v>1059139.94028644</v>
      </c>
      <c r="L233" s="10" t="n">
        <f aca="false">K233*'Revenues &amp; Expenses'!N234</f>
        <v>269495.770328673</v>
      </c>
      <c r="M233" s="10" t="n">
        <f aca="false">SUM(L233:$L$257)</f>
        <v>6280575.83267864</v>
      </c>
      <c r="O233" s="308" t="n">
        <f aca="false">HLOOKUP(C233,'Debt Amortization'!$H$5:$AB$9,5)</f>
        <v>32316320.0113694</v>
      </c>
    </row>
    <row r="234" customFormat="false" ht="16.5" hidden="false" customHeight="false" outlineLevel="0" collapsed="false">
      <c r="A234" s="308" t="n">
        <f aca="false">A233+1</f>
        <v>224</v>
      </c>
      <c r="B234" s="308" t="n">
        <v>31</v>
      </c>
      <c r="C234" s="324" t="n">
        <v>43496</v>
      </c>
      <c r="D234" s="315" t="n">
        <f aca="false">D245</f>
        <v>1</v>
      </c>
      <c r="E234" s="308" t="e">
        <f aca="false">SUM('Revenues &amp; Expenses'!BJ235:$BJ$258)</f>
        <v>#NAME?</v>
      </c>
      <c r="F234" s="10" t="n">
        <f aca="false">M234</f>
        <v>6011080.06234997</v>
      </c>
      <c r="G234" s="308" t="e">
        <f aca="false">IF(AND(D234=1,E234-F234&gt;0),E234-F234,0)</f>
        <v>#NAME?</v>
      </c>
      <c r="H234" s="308" t="e">
        <f aca="false">IF(AND(D234=1,F234-E234&gt;0),F234-E234,0)</f>
        <v>#NAME?</v>
      </c>
      <c r="K234" s="10" t="n">
        <f aca="false">($K$2*315000)/12</f>
        <v>1059139.94028644</v>
      </c>
      <c r="L234" s="10" t="n">
        <f aca="false">K234*'Revenues &amp; Expenses'!N235</f>
        <v>267866.643399992</v>
      </c>
      <c r="M234" s="10" t="n">
        <f aca="false">SUM(L234:$L$257)</f>
        <v>6011080.06234997</v>
      </c>
      <c r="O234" s="308" t="n">
        <f aca="false">HLOOKUP(C234,'Debt Amortization'!$H$5:$AB$9,5)</f>
        <v>22434043.9631129</v>
      </c>
    </row>
    <row r="235" customFormat="false" ht="16.5" hidden="false" customHeight="false" outlineLevel="0" collapsed="false">
      <c r="A235" s="308" t="n">
        <f aca="false">A234+1</f>
        <v>225</v>
      </c>
      <c r="B235" s="308" t="n">
        <v>28</v>
      </c>
      <c r="C235" s="324" t="n">
        <v>43524</v>
      </c>
      <c r="D235" s="315" t="n">
        <f aca="false">D245</f>
        <v>1</v>
      </c>
      <c r="E235" s="308" t="e">
        <f aca="false">SUM('Revenues &amp; Expenses'!BJ236:$BJ$258)</f>
        <v>#NAME?</v>
      </c>
      <c r="F235" s="10" t="n">
        <f aca="false">M235</f>
        <v>5743213.41894997</v>
      </c>
      <c r="G235" s="308" t="e">
        <f aca="false">IF(AND(D235=1,E235-F235&gt;0),E235-F235,0)</f>
        <v>#NAME?</v>
      </c>
      <c r="H235" s="308" t="e">
        <f aca="false">IF(AND(D235=1,F235-E235&gt;0),F235-E235,0)</f>
        <v>#NAME?</v>
      </c>
      <c r="K235" s="10" t="n">
        <f aca="false">($K$2*315000)/12</f>
        <v>1059139.94028644</v>
      </c>
      <c r="L235" s="10" t="n">
        <f aca="false">K235*'Revenues &amp; Expenses'!N236</f>
        <v>266247.59024016</v>
      </c>
      <c r="M235" s="10" t="n">
        <f aca="false">SUM(L235:$L$257)</f>
        <v>5743213.41894997</v>
      </c>
      <c r="O235" s="308" t="n">
        <f aca="false">HLOOKUP(C235,'Debt Amortization'!$H$5:$AB$9,5)</f>
        <v>22434043.9631129</v>
      </c>
    </row>
    <row r="236" customFormat="false" ht="16.5" hidden="false" customHeight="false" outlineLevel="0" collapsed="false">
      <c r="A236" s="308" t="n">
        <f aca="false">A235+1</f>
        <v>226</v>
      </c>
      <c r="B236" s="308" t="n">
        <v>31</v>
      </c>
      <c r="C236" s="324" t="n">
        <v>43555</v>
      </c>
      <c r="D236" s="315" t="n">
        <f aca="false">D245</f>
        <v>1</v>
      </c>
      <c r="E236" s="308" t="e">
        <f aca="false">SUM('Revenues &amp; Expenses'!BJ237:$BJ$258)</f>
        <v>#NAME?</v>
      </c>
      <c r="F236" s="10" t="n">
        <f aca="false">M236</f>
        <v>5476965.82870981</v>
      </c>
      <c r="G236" s="308" t="e">
        <f aca="false">IF(AND(D236=1,E236-F236&gt;0),E236-F236,0)</f>
        <v>#NAME?</v>
      </c>
      <c r="H236" s="308" t="e">
        <f aca="false">IF(AND(D236=1,F236-E236&gt;0),F236-E236,0)</f>
        <v>#NAME?</v>
      </c>
      <c r="K236" s="10" t="n">
        <f aca="false">($K$2*315000)/12</f>
        <v>1059139.94028644</v>
      </c>
      <c r="L236" s="10" t="n">
        <f aca="false">K236*'Revenues &amp; Expenses'!N237</f>
        <v>264793.82533427</v>
      </c>
      <c r="M236" s="10" t="n">
        <f aca="false">SUM(L236:$L$257)</f>
        <v>5476965.82870981</v>
      </c>
      <c r="O236" s="308" t="n">
        <f aca="false">HLOOKUP(C236,'Debt Amortization'!$H$5:$AB$9,5)</f>
        <v>22434043.9631129</v>
      </c>
    </row>
    <row r="237" customFormat="false" ht="16.5" hidden="false" customHeight="false" outlineLevel="0" collapsed="false">
      <c r="A237" s="308" t="n">
        <f aca="false">A236+1</f>
        <v>227</v>
      </c>
      <c r="B237" s="308" t="n">
        <v>30</v>
      </c>
      <c r="C237" s="324" t="n">
        <v>43585</v>
      </c>
      <c r="D237" s="315" t="n">
        <f aca="false">D245</f>
        <v>1</v>
      </c>
      <c r="E237" s="308" t="e">
        <f aca="false">SUM('Revenues &amp; Expenses'!BJ238:$BJ$258)</f>
        <v>#NAME?</v>
      </c>
      <c r="F237" s="10" t="n">
        <f aca="false">M237</f>
        <v>5212172.00337554</v>
      </c>
      <c r="G237" s="308" t="e">
        <f aca="false">IF(AND(D237=1,E237-F237&gt;0),E237-F237,0)</f>
        <v>#NAME?</v>
      </c>
      <c r="H237" s="308" t="e">
        <f aca="false">IF(AND(D237=1,F237-E237&gt;0),F237-E237,0)</f>
        <v>#NAME?</v>
      </c>
      <c r="K237" s="10" t="n">
        <f aca="false">($K$2*315000)/12</f>
        <v>1059139.94028644</v>
      </c>
      <c r="L237" s="10" t="n">
        <f aca="false">K237*'Revenues &amp; Expenses'!N238</f>
        <v>263193.769399571</v>
      </c>
      <c r="M237" s="10" t="n">
        <f aca="false">SUM(L237:$L$257)</f>
        <v>5212172.00337554</v>
      </c>
      <c r="O237" s="308" t="n">
        <f aca="false">HLOOKUP(C237,'Debt Amortization'!$H$5:$AB$9,5)</f>
        <v>22434043.9631129</v>
      </c>
    </row>
    <row r="238" customFormat="false" ht="16.5" hidden="false" customHeight="false" outlineLevel="0" collapsed="false">
      <c r="A238" s="308" t="n">
        <f aca="false">A237+1</f>
        <v>228</v>
      </c>
      <c r="B238" s="308" t="n">
        <v>31</v>
      </c>
      <c r="C238" s="324" t="n">
        <v>43616</v>
      </c>
      <c r="D238" s="315" t="n">
        <f aca="false">D245</f>
        <v>1</v>
      </c>
      <c r="E238" s="308" t="e">
        <f aca="false">SUM('Revenues &amp; Expenses'!BJ239:$BJ$258)</f>
        <v>#NAME?</v>
      </c>
      <c r="F238" s="10" t="n">
        <f aca="false">M238</f>
        <v>4948978.23397597</v>
      </c>
      <c r="G238" s="308" t="e">
        <f aca="false">IF(AND(D238=1,E238-F238&gt;0),E238-F238,0)</f>
        <v>#NAME?</v>
      </c>
      <c r="H238" s="308" t="e">
        <f aca="false">IF(AND(D238=1,F238-E238&gt;0),F238-E238,0)</f>
        <v>#NAME?</v>
      </c>
      <c r="K238" s="10" t="n">
        <f aca="false">($K$2*315000)/12</f>
        <v>1059139.94028644</v>
      </c>
      <c r="L238" s="10" t="n">
        <f aca="false">K238*'Revenues &amp; Expenses'!N239</f>
        <v>261654.745589867</v>
      </c>
      <c r="M238" s="10" t="n">
        <f aca="false">SUM(L238:$L$257)</f>
        <v>4948978.23397597</v>
      </c>
      <c r="O238" s="308" t="n">
        <f aca="false">HLOOKUP(C238,'Debt Amortization'!$H$5:$AB$9,5)</f>
        <v>22434043.9631129</v>
      </c>
    </row>
    <row r="239" customFormat="false" ht="16.5" hidden="false" customHeight="false" outlineLevel="0" collapsed="false">
      <c r="A239" s="308" t="n">
        <f aca="false">A238+1</f>
        <v>229</v>
      </c>
      <c r="B239" s="308" t="n">
        <v>30</v>
      </c>
      <c r="C239" s="324" t="n">
        <v>43646</v>
      </c>
      <c r="D239" s="315" t="n">
        <f aca="false">D245</f>
        <v>1</v>
      </c>
      <c r="E239" s="308" t="e">
        <f aca="false">SUM('Revenues &amp; Expenses'!BJ240:$BJ$258)</f>
        <v>#NAME?</v>
      </c>
      <c r="F239" s="10" t="n">
        <f aca="false">M239</f>
        <v>4687323.48838611</v>
      </c>
      <c r="G239" s="308" t="e">
        <f aca="false">IF(AND(D239=1,E239-F239&gt;0),E239-F239,0)</f>
        <v>#NAME?</v>
      </c>
      <c r="H239" s="308" t="e">
        <f aca="false">IF(AND(D239=1,F239-E239&gt;0),F239-E239,0)</f>
        <v>#NAME?</v>
      </c>
      <c r="K239" s="10" t="n">
        <f aca="false">($K$2*315000)/12</f>
        <v>1059139.94028644</v>
      </c>
      <c r="L239" s="10" t="n">
        <f aca="false">K239*'Revenues &amp; Expenses'!N240</f>
        <v>260074.091539363</v>
      </c>
      <c r="M239" s="10" t="n">
        <f aca="false">SUM(L239:$L$257)</f>
        <v>4687323.48838611</v>
      </c>
      <c r="O239" s="308" t="n">
        <f aca="false">HLOOKUP(C239,'Debt Amortization'!$H$5:$AB$9,5)</f>
        <v>22434043.9631129</v>
      </c>
    </row>
    <row r="240" customFormat="false" ht="16.5" hidden="false" customHeight="false" outlineLevel="0" collapsed="false">
      <c r="A240" s="308" t="n">
        <f aca="false">A239+1</f>
        <v>230</v>
      </c>
      <c r="B240" s="308" t="n">
        <v>31</v>
      </c>
      <c r="C240" s="324" t="n">
        <v>43677</v>
      </c>
      <c r="D240" s="315" t="n">
        <f aca="false">D245</f>
        <v>1</v>
      </c>
      <c r="E240" s="308" t="e">
        <f aca="false">SUM('Revenues &amp; Expenses'!BJ241:$BJ$258)</f>
        <v>#NAME?</v>
      </c>
      <c r="F240" s="10" t="n">
        <f aca="false">M240</f>
        <v>4427249.39684674</v>
      </c>
      <c r="G240" s="308" t="e">
        <f aca="false">IF(AND(D240=1,E240-F240&gt;0),E240-F240,0)</f>
        <v>#NAME?</v>
      </c>
      <c r="H240" s="308" t="e">
        <f aca="false">IF(AND(D240=1,F240-E240&gt;0),F240-E240,0)</f>
        <v>#NAME?</v>
      </c>
      <c r="K240" s="10" t="n">
        <f aca="false">($K$2*315000)/12</f>
        <v>1059139.94028644</v>
      </c>
      <c r="L240" s="10" t="n">
        <f aca="false">K240*'Revenues &amp; Expenses'!N241</f>
        <v>258553.727118834</v>
      </c>
      <c r="M240" s="10" t="n">
        <f aca="false">SUM(L240:$L$257)</f>
        <v>4427249.39684674</v>
      </c>
      <c r="O240" s="308" t="n">
        <f aca="false">HLOOKUP(C240,'Debt Amortization'!$H$5:$AB$9,5)</f>
        <v>22434043.9631129</v>
      </c>
    </row>
    <row r="241" customFormat="false" ht="16.5" hidden="false" customHeight="false" outlineLevel="0" collapsed="false">
      <c r="A241" s="308" t="n">
        <f aca="false">A240+1</f>
        <v>231</v>
      </c>
      <c r="B241" s="308" t="n">
        <v>31</v>
      </c>
      <c r="C241" s="324" t="n">
        <v>43708</v>
      </c>
      <c r="D241" s="315" t="n">
        <f aca="false">D245</f>
        <v>1</v>
      </c>
      <c r="E241" s="308" t="e">
        <f aca="false">SUM('Revenues &amp; Expenses'!BJ242:$BJ$258)</f>
        <v>#NAME?</v>
      </c>
      <c r="F241" s="10" t="n">
        <f aca="false">M241</f>
        <v>4168695.66972791</v>
      </c>
      <c r="G241" s="308" t="e">
        <f aca="false">IF(AND(D241=1,E241-F241&gt;0),E241-F241,0)</f>
        <v>#NAME?</v>
      </c>
      <c r="H241" s="308" t="e">
        <f aca="false">IF(AND(D241=1,F241-E241&gt;0),F241-E241,0)</f>
        <v>#NAME?</v>
      </c>
      <c r="K241" s="10" t="n">
        <f aca="false">($K$2*315000)/12</f>
        <v>1059139.94028644</v>
      </c>
      <c r="L241" s="10" t="n">
        <f aca="false">K241*'Revenues &amp; Expenses'!N242</f>
        <v>256992.234689498</v>
      </c>
      <c r="M241" s="10" t="n">
        <f aca="false">SUM(L241:$L$257)</f>
        <v>4168695.66972791</v>
      </c>
      <c r="O241" s="308" t="n">
        <f aca="false">HLOOKUP(C241,'Debt Amortization'!$H$5:$AB$9,5)</f>
        <v>22434043.9631129</v>
      </c>
    </row>
    <row r="242" customFormat="false" ht="16.5" hidden="false" customHeight="false" outlineLevel="0" collapsed="false">
      <c r="A242" s="308" t="n">
        <f aca="false">A241+1</f>
        <v>232</v>
      </c>
      <c r="B242" s="308" t="n">
        <v>30</v>
      </c>
      <c r="C242" s="324" t="n">
        <v>43738</v>
      </c>
      <c r="D242" s="315" t="n">
        <f aca="false">D245</f>
        <v>1</v>
      </c>
      <c r="E242" s="308" t="e">
        <f aca="false">SUM('Revenues &amp; Expenses'!BJ243:$BJ$258)</f>
        <v>#NAME?</v>
      </c>
      <c r="F242" s="10" t="n">
        <f aca="false">M242</f>
        <v>3911703.43503841</v>
      </c>
      <c r="G242" s="308" t="e">
        <f aca="false">IF(AND(D242=1,E242-F242&gt;0),E242-F242,0)</f>
        <v>#NAME?</v>
      </c>
      <c r="H242" s="308" t="e">
        <f aca="false">IF(AND(D242=1,F242-E242&gt;0),F242-E242,0)</f>
        <v>#NAME?</v>
      </c>
      <c r="K242" s="10" t="n">
        <f aca="false">($K$2*315000)/12</f>
        <v>1059139.94028644</v>
      </c>
      <c r="L242" s="10" t="n">
        <f aca="false">K242*'Revenues &amp; Expenses'!N243</f>
        <v>255440.389031</v>
      </c>
      <c r="M242" s="10" t="n">
        <f aca="false">SUM(L242:$L$257)</f>
        <v>3911703.43503841</v>
      </c>
      <c r="O242" s="308" t="n">
        <f aca="false">HLOOKUP(C242,'Debt Amortization'!$H$5:$AB$9,5)</f>
        <v>22434043.9631129</v>
      </c>
    </row>
    <row r="243" customFormat="false" ht="16.5" hidden="false" customHeight="false" outlineLevel="0" collapsed="false">
      <c r="A243" s="308" t="n">
        <f aca="false">A242+1</f>
        <v>233</v>
      </c>
      <c r="B243" s="308" t="n">
        <v>31</v>
      </c>
      <c r="C243" s="324" t="n">
        <v>43769</v>
      </c>
      <c r="D243" s="315" t="n">
        <f aca="false">D245</f>
        <v>1</v>
      </c>
      <c r="E243" s="308" t="e">
        <f aca="false">SUM('Revenues &amp; Expenses'!BJ244:$BJ$258)</f>
        <v>#NAME?</v>
      </c>
      <c r="F243" s="10" t="n">
        <f aca="false">M243</f>
        <v>3656263.04600741</v>
      </c>
      <c r="G243" s="308" t="e">
        <f aca="false">IF(AND(D243=1,E243-F243&gt;0),E243-F243,0)</f>
        <v>#NAME?</v>
      </c>
      <c r="H243" s="308" t="e">
        <f aca="false">IF(AND(D243=1,F243-E243&gt;0),F243-E243,0)</f>
        <v>#NAME?</v>
      </c>
      <c r="K243" s="10" t="n">
        <f aca="false">($K$2*315000)/12</f>
        <v>1059139.94028644</v>
      </c>
      <c r="L243" s="10" t="n">
        <f aca="false">K243*'Revenues &amp; Expenses'!N244</f>
        <v>253947.73058211</v>
      </c>
      <c r="M243" s="10" t="n">
        <f aca="false">SUM(L243:$L$257)</f>
        <v>3656263.04600741</v>
      </c>
      <c r="O243" s="308" t="n">
        <f aca="false">HLOOKUP(C243,'Debt Amortization'!$H$5:$AB$9,5)</f>
        <v>22434043.9631129</v>
      </c>
    </row>
    <row r="244" customFormat="false" ht="16.5" hidden="false" customHeight="false" outlineLevel="0" collapsed="false">
      <c r="A244" s="308" t="n">
        <f aca="false">A243+1</f>
        <v>234</v>
      </c>
      <c r="B244" s="308" t="n">
        <v>30</v>
      </c>
      <c r="C244" s="324" t="n">
        <v>43799</v>
      </c>
      <c r="D244" s="315" t="n">
        <f aca="false">D245</f>
        <v>1</v>
      </c>
      <c r="E244" s="308" t="e">
        <f aca="false">SUM('Revenues &amp; Expenses'!BJ245:$BJ$258)</f>
        <v>#NAME?</v>
      </c>
      <c r="F244" s="10" t="n">
        <f aca="false">M244</f>
        <v>3402315.3154253</v>
      </c>
      <c r="G244" s="308" t="e">
        <f aca="false">IF(AND(D244=1,E244-F244&gt;0),E244-F244,0)</f>
        <v>#NAME?</v>
      </c>
      <c r="H244" s="308" t="e">
        <f aca="false">IF(AND(D244=1,F244-E244&gt;0),F244-E244,0)</f>
        <v>#NAME?</v>
      </c>
      <c r="K244" s="10" t="n">
        <f aca="false">($K$2*315000)/12</f>
        <v>1059139.94028644</v>
      </c>
      <c r="L244" s="10" t="n">
        <f aca="false">K244*'Revenues &amp; Expenses'!N245</f>
        <v>252414.689908111</v>
      </c>
      <c r="M244" s="10" t="n">
        <f aca="false">SUM(L244:$L$257)</f>
        <v>3402315.3154253</v>
      </c>
      <c r="O244" s="308" t="n">
        <f aca="false">HLOOKUP(C244,'Debt Amortization'!$H$5:$AB$9,5)</f>
        <v>22434043.9631129</v>
      </c>
    </row>
    <row r="245" customFormat="false" ht="16.5" hidden="false" customHeight="false" outlineLevel="0" collapsed="false">
      <c r="A245" s="308" t="n">
        <f aca="false">A244+1</f>
        <v>235</v>
      </c>
      <c r="B245" s="308" t="n">
        <v>31</v>
      </c>
      <c r="C245" s="324" t="n">
        <v>43830</v>
      </c>
      <c r="D245" s="315" t="n">
        <f aca="false">'Deal Depiction'!J27</f>
        <v>1</v>
      </c>
      <c r="E245" s="308" t="e">
        <f aca="false">SUM('Revenues &amp; Expenses'!BJ246:$BJ$258)</f>
        <v>#NAME?</v>
      </c>
      <c r="F245" s="10" t="n">
        <f aca="false">M245</f>
        <v>3149900.62551719</v>
      </c>
      <c r="G245" s="308" t="e">
        <f aca="false">IF(AND(D245=1,E245-F245&gt;0),E245-F245,0)</f>
        <v>#NAME?</v>
      </c>
      <c r="H245" s="308" t="e">
        <f aca="false">IF(AND(D245=1,F245-E245&gt;0),F245-E245,0)</f>
        <v>#NAME?</v>
      </c>
      <c r="K245" s="10" t="n">
        <f aca="false">($K$2*315000)/12</f>
        <v>1059139.94028644</v>
      </c>
      <c r="L245" s="10" t="n">
        <f aca="false">K245*'Revenues &amp; Expenses'!N246</f>
        <v>250940.116862685</v>
      </c>
      <c r="M245" s="10" t="n">
        <f aca="false">SUM(L245:$L$257)</f>
        <v>3149900.62551719</v>
      </c>
      <c r="O245" s="308" t="n">
        <f aca="false">HLOOKUP(C245,'Debt Amortization'!$H$5:$AB$9,5)</f>
        <v>22434043.9631129</v>
      </c>
    </row>
    <row r="246" customFormat="false" ht="16.5" hidden="false" customHeight="false" outlineLevel="0" collapsed="false">
      <c r="A246" s="308" t="n">
        <f aca="false">A245+1</f>
        <v>236</v>
      </c>
      <c r="B246" s="308" t="n">
        <v>31</v>
      </c>
      <c r="C246" s="324" t="n">
        <v>43861</v>
      </c>
      <c r="D246" s="315" t="n">
        <f aca="false">D257</f>
        <v>1</v>
      </c>
      <c r="E246" s="308" t="e">
        <f aca="false">SUM('Revenues &amp; Expenses'!BJ247:$BJ$258)</f>
        <v>#NAME?</v>
      </c>
      <c r="F246" s="10" t="n">
        <f aca="false">M246</f>
        <v>2898960.5086545</v>
      </c>
      <c r="G246" s="308" t="e">
        <f aca="false">IF(AND(D246=1,E246-F246&gt;0),E246-F246,0)</f>
        <v>#NAME?</v>
      </c>
      <c r="H246" s="308" t="e">
        <f aca="false">IF(AND(D246=1,F246-E246&gt;0),F246-E246,0)</f>
        <v>#NAME?</v>
      </c>
      <c r="K246" s="10" t="n">
        <f aca="false">($K$2*315000)/12</f>
        <v>1059139.94028644</v>
      </c>
      <c r="L246" s="10" t="n">
        <f aca="false">K246*'Revenues &amp; Expenses'!N247</f>
        <v>249425.64844789</v>
      </c>
      <c r="M246" s="10" t="n">
        <f aca="false">SUM(L246:$L$257)</f>
        <v>2898960.5086545</v>
      </c>
      <c r="O246" s="308" t="n">
        <f aca="false">HLOOKUP(C246,'Debt Amortization'!$H$5:$AB$9,5)</f>
        <v>11687152.7835555</v>
      </c>
    </row>
    <row r="247" customFormat="false" ht="16.5" hidden="false" customHeight="false" outlineLevel="0" collapsed="false">
      <c r="A247" s="308" t="n">
        <f aca="false">A246+1</f>
        <v>237</v>
      </c>
      <c r="B247" s="308" t="n">
        <v>29</v>
      </c>
      <c r="C247" s="324" t="n">
        <v>43890</v>
      </c>
      <c r="D247" s="315" t="n">
        <f aca="false">D257</f>
        <v>1</v>
      </c>
      <c r="E247" s="308" t="e">
        <f aca="false">SUM('Revenues &amp; Expenses'!BJ248:$BJ$258)</f>
        <v>#NAME?</v>
      </c>
      <c r="F247" s="10" t="n">
        <f aca="false">M247</f>
        <v>2649534.86020661</v>
      </c>
      <c r="G247" s="308" t="e">
        <f aca="false">IF(AND(D247=1,E247-F247&gt;0),E247-F247,0)</f>
        <v>#NAME?</v>
      </c>
      <c r="H247" s="308" t="e">
        <f aca="false">IF(AND(D247=1,F247-E247&gt;0),F247-E247,0)</f>
        <v>#NAME?</v>
      </c>
      <c r="K247" s="10" t="n">
        <f aca="false">($K$2*315000)/12</f>
        <v>1059139.94028644</v>
      </c>
      <c r="L247" s="10" t="n">
        <f aca="false">K247*'Revenues &amp; Expenses'!N248</f>
        <v>247920.530149683</v>
      </c>
      <c r="M247" s="10" t="n">
        <f aca="false">SUM(L247:$L$257)</f>
        <v>2649534.86020661</v>
      </c>
      <c r="O247" s="308" t="n">
        <f aca="false">HLOOKUP(C247,'Debt Amortization'!$H$5:$AB$9,5)</f>
        <v>11687152.7835555</v>
      </c>
    </row>
    <row r="248" customFormat="false" ht="16.5" hidden="false" customHeight="false" outlineLevel="0" collapsed="false">
      <c r="A248" s="308" t="n">
        <f aca="false">A247+1</f>
        <v>238</v>
      </c>
      <c r="B248" s="308" t="n">
        <v>31</v>
      </c>
      <c r="C248" s="324" t="n">
        <v>43921</v>
      </c>
      <c r="D248" s="315" t="n">
        <f aca="false">D257</f>
        <v>1</v>
      </c>
      <c r="E248" s="308" t="e">
        <f aca="false">SUM('Revenues &amp; Expenses'!BJ249:$BJ$258)</f>
        <v>#NAME?</v>
      </c>
      <c r="F248" s="10" t="n">
        <f aca="false">M248</f>
        <v>2401614.33005693</v>
      </c>
      <c r="G248" s="308" t="e">
        <f aca="false">IF(AND(D248=1,E248-F248&gt;0),E248-F248,0)</f>
        <v>#NAME?</v>
      </c>
      <c r="H248" s="308" t="e">
        <f aca="false">IF(AND(D248=1,F248-E248&gt;0),F248-E248,0)</f>
        <v>#NAME?</v>
      </c>
      <c r="K248" s="10" t="n">
        <f aca="false">($K$2*315000)/12</f>
        <v>1059139.94028644</v>
      </c>
      <c r="L248" s="10" t="n">
        <f aca="false">K248*'Revenues &amp; Expenses'!N249</f>
        <v>246520.928746054</v>
      </c>
      <c r="M248" s="10" t="n">
        <f aca="false">SUM(L248:$L$257)</f>
        <v>2401614.33005693</v>
      </c>
      <c r="O248" s="308" t="n">
        <f aca="false">HLOOKUP(C248,'Debt Amortization'!$H$5:$AB$9,5)</f>
        <v>11687152.7835555</v>
      </c>
    </row>
    <row r="249" customFormat="false" ht="16.5" hidden="false" customHeight="false" outlineLevel="0" collapsed="false">
      <c r="A249" s="308" t="n">
        <f aca="false">A248+1</f>
        <v>239</v>
      </c>
      <c r="B249" s="308" t="n">
        <v>30</v>
      </c>
      <c r="C249" s="324" t="n">
        <v>43951</v>
      </c>
      <c r="D249" s="315" t="n">
        <f aca="false">D257</f>
        <v>1</v>
      </c>
      <c r="E249" s="308" t="e">
        <f aca="false">SUM('Revenues &amp; Expenses'!BJ250:$BJ$258)</f>
        <v>#NAME?</v>
      </c>
      <c r="F249" s="10" t="n">
        <f aca="false">M249</f>
        <v>2155093.40131088</v>
      </c>
      <c r="G249" s="308" t="e">
        <f aca="false">IF(AND(D249=1,E249-F249&gt;0),E249-F249,0)</f>
        <v>#NAME?</v>
      </c>
      <c r="H249" s="308" t="e">
        <f aca="false">IF(AND(D249=1,F249-E249&gt;0),F249-E249,0)</f>
        <v>#NAME?</v>
      </c>
      <c r="K249" s="10" t="n">
        <f aca="false">($K$2*315000)/12</f>
        <v>1059139.94028644</v>
      </c>
      <c r="L249" s="10" t="n">
        <f aca="false">K249*'Revenues &amp; Expenses'!N250</f>
        <v>245061.46231264</v>
      </c>
      <c r="M249" s="10" t="n">
        <f aca="false">SUM(L249:$L$257)</f>
        <v>2155093.40131088</v>
      </c>
      <c r="O249" s="308" t="n">
        <f aca="false">HLOOKUP(C249,'Debt Amortization'!$H$5:$AB$9,5)</f>
        <v>11687152.7835555</v>
      </c>
    </row>
    <row r="250" customFormat="false" ht="16.5" hidden="false" customHeight="false" outlineLevel="0" collapsed="false">
      <c r="A250" s="308" t="n">
        <f aca="false">A249+1</f>
        <v>240</v>
      </c>
      <c r="B250" s="308" t="n">
        <v>31</v>
      </c>
      <c r="C250" s="324" t="n">
        <v>43982</v>
      </c>
      <c r="D250" s="315" t="n">
        <f aca="false">D257</f>
        <v>1</v>
      </c>
      <c r="E250" s="308" t="e">
        <f aca="false">SUM('Revenues &amp; Expenses'!BJ251:$BJ$258)</f>
        <v>#NAME?</v>
      </c>
      <c r="F250" s="10" t="n">
        <f aca="false">M250</f>
        <v>1910031.93899824</v>
      </c>
      <c r="G250" s="308" t="e">
        <f aca="false">IF(AND(D250=1,E250-F250&gt;0),E250-F250,0)</f>
        <v>#NAME?</v>
      </c>
      <c r="H250" s="308" t="e">
        <f aca="false">IF(AND(D250=1,F250-E250&gt;0),F250-E250,0)</f>
        <v>#NAME?</v>
      </c>
      <c r="K250" s="10" t="n">
        <f aca="false">($K$2*315000)/12</f>
        <v>1059139.94028644</v>
      </c>
      <c r="L250" s="10" t="n">
        <f aca="false">K250*'Revenues &amp; Expenses'!N251</f>
        <v>243662.870988197</v>
      </c>
      <c r="M250" s="10" t="n">
        <f aca="false">SUM(L250:$L$257)</f>
        <v>1910031.93899824</v>
      </c>
      <c r="O250" s="308" t="n">
        <f aca="false">HLOOKUP(C250,'Debt Amortization'!$H$5:$AB$9,5)</f>
        <v>11687152.7835555</v>
      </c>
    </row>
    <row r="251" customFormat="false" ht="16.5" hidden="false" customHeight="false" outlineLevel="0" collapsed="false">
      <c r="A251" s="308" t="n">
        <f aca="false">A250+1</f>
        <v>241</v>
      </c>
      <c r="B251" s="308" t="n">
        <v>30</v>
      </c>
      <c r="C251" s="324" t="n">
        <v>44012</v>
      </c>
      <c r="D251" s="315" t="n">
        <f aca="false">D257</f>
        <v>1</v>
      </c>
      <c r="E251" s="308" t="e">
        <f aca="false">SUM('Revenues &amp; Expenses'!BJ252:$BJ$258)</f>
        <v>#NAME?</v>
      </c>
      <c r="F251" s="10" t="n">
        <f aca="false">M251</f>
        <v>1666369.06801004</v>
      </c>
      <c r="G251" s="308" t="e">
        <f aca="false">IF(AND(D251=1,E251-F251&gt;0),E251-F251,0)</f>
        <v>#NAME?</v>
      </c>
      <c r="H251" s="308" t="e">
        <f aca="false">IF(AND(D251=1,F251-E251&gt;0),F251-E251,0)</f>
        <v>#NAME?</v>
      </c>
      <c r="K251" s="10" t="n">
        <f aca="false">($K$2*315000)/12</f>
        <v>1059139.94028644</v>
      </c>
      <c r="L251" s="10" t="n">
        <f aca="false">K251*'Revenues &amp; Expenses'!N252</f>
        <v>242226.517195334</v>
      </c>
      <c r="M251" s="10" t="n">
        <f aca="false">SUM(L251:$L$257)</f>
        <v>1666369.06801004</v>
      </c>
      <c r="O251" s="308" t="n">
        <f aca="false">HLOOKUP(C251,'Debt Amortization'!$H$5:$AB$9,5)</f>
        <v>11687152.7835555</v>
      </c>
    </row>
    <row r="252" customFormat="false" ht="16.5" hidden="false" customHeight="false" outlineLevel="0" collapsed="false">
      <c r="A252" s="308" t="n">
        <f aca="false">A251+1</f>
        <v>242</v>
      </c>
      <c r="B252" s="308" t="n">
        <v>31</v>
      </c>
      <c r="C252" s="324" t="n">
        <v>44043</v>
      </c>
      <c r="D252" s="315" t="n">
        <f aca="false">D257</f>
        <v>1</v>
      </c>
      <c r="E252" s="308" t="e">
        <f aca="false">SUM('Revenues &amp; Expenses'!BJ253:$BJ$258)</f>
        <v>#NAME?</v>
      </c>
      <c r="F252" s="10" t="n">
        <f aca="false">M252</f>
        <v>1424142.55081471</v>
      </c>
      <c r="G252" s="308" t="e">
        <f aca="false">IF(AND(D252=1,E252-F252&gt;0),E252-F252,0)</f>
        <v>#NAME?</v>
      </c>
      <c r="H252" s="308" t="e">
        <f aca="false">IF(AND(D252=1,F252-E252&gt;0),F252-E252,0)</f>
        <v>#NAME?</v>
      </c>
      <c r="K252" s="10" t="n">
        <f aca="false">($K$2*315000)/12</f>
        <v>1059139.94028644</v>
      </c>
      <c r="L252" s="10" t="n">
        <f aca="false">K252*'Revenues &amp; Expenses'!N253</f>
        <v>240845.014191113</v>
      </c>
      <c r="M252" s="10" t="n">
        <f aca="false">SUM(L252:$L$257)</f>
        <v>1424142.55081471</v>
      </c>
      <c r="O252" s="308" t="n">
        <f aca="false">HLOOKUP(C252,'Debt Amortization'!$H$5:$AB$9,5)</f>
        <v>11687152.7835555</v>
      </c>
    </row>
    <row r="253" customFormat="false" ht="16.5" hidden="false" customHeight="false" outlineLevel="0" collapsed="false">
      <c r="A253" s="308" t="n">
        <f aca="false">A252+1</f>
        <v>243</v>
      </c>
      <c r="B253" s="308" t="n">
        <v>31</v>
      </c>
      <c r="C253" s="324" t="n">
        <v>44074</v>
      </c>
      <c r="D253" s="315" t="n">
        <f aca="false">D257</f>
        <v>1</v>
      </c>
      <c r="E253" s="308" t="e">
        <f aca="false">SUM('Revenues &amp; Expenses'!BJ254:$BJ$258)</f>
        <v>#NAME?</v>
      </c>
      <c r="F253" s="10" t="n">
        <f aca="false">M253</f>
        <v>1183297.53662359</v>
      </c>
      <c r="G253" s="308" t="e">
        <f aca="false">IF(AND(D253=1,E253-F253&gt;0),E253-F253,0)</f>
        <v>#NAME?</v>
      </c>
      <c r="H253" s="308" t="e">
        <f aca="false">IF(AND(D253=1,F253-E253&gt;0),F253-E253,0)</f>
        <v>#NAME?</v>
      </c>
      <c r="K253" s="10" t="n">
        <f aca="false">($K$2*315000)/12</f>
        <v>1059139.94028644</v>
      </c>
      <c r="L253" s="10" t="n">
        <f aca="false">K253*'Revenues &amp; Expenses'!N254</f>
        <v>239426.204982164</v>
      </c>
      <c r="M253" s="10" t="n">
        <f aca="false">SUM(L253:$L$257)</f>
        <v>1183297.53662359</v>
      </c>
      <c r="O253" s="308" t="n">
        <f aca="false">HLOOKUP(C253,'Debt Amortization'!$H$5:$AB$9,5)</f>
        <v>11687152.7835555</v>
      </c>
    </row>
    <row r="254" customFormat="false" ht="16.5" hidden="false" customHeight="false" outlineLevel="0" collapsed="false">
      <c r="A254" s="308" t="n">
        <f aca="false">A253+1</f>
        <v>244</v>
      </c>
      <c r="B254" s="308" t="n">
        <v>30</v>
      </c>
      <c r="C254" s="324" t="n">
        <v>44104</v>
      </c>
      <c r="D254" s="315" t="n">
        <f aca="false">D257</f>
        <v>1</v>
      </c>
      <c r="E254" s="308" t="e">
        <f aca="false">SUM('Revenues &amp; Expenses'!BJ255:$BJ$258)</f>
        <v>#NAME?</v>
      </c>
      <c r="F254" s="10" t="n">
        <f aca="false">M254</f>
        <v>943871.33164143</v>
      </c>
      <c r="G254" s="308" t="e">
        <f aca="false">IF(AND(D254=1,E254-F254&gt;0),E254-F254,0)</f>
        <v>#NAME?</v>
      </c>
      <c r="H254" s="308" t="e">
        <f aca="false">IF(AND(D254=1,F254-E254&gt;0),F254-E254,0)</f>
        <v>#NAME?</v>
      </c>
      <c r="K254" s="10" t="n">
        <f aca="false">($K$2*315000)/12</f>
        <v>1059139.94028644</v>
      </c>
      <c r="L254" s="10" t="n">
        <f aca="false">K254*'Revenues &amp; Expenses'!N255</f>
        <v>238016.225676013</v>
      </c>
      <c r="M254" s="10" t="n">
        <f aca="false">SUM(L254:$L$257)</f>
        <v>943871.33164143</v>
      </c>
      <c r="O254" s="308" t="n">
        <f aca="false">HLOOKUP(C254,'Debt Amortization'!$H$5:$AB$9,5)</f>
        <v>11687152.7835555</v>
      </c>
    </row>
    <row r="255" customFormat="false" ht="16.5" hidden="false" customHeight="false" outlineLevel="0" collapsed="false">
      <c r="A255" s="308" t="n">
        <f aca="false">A254+1</f>
        <v>245</v>
      </c>
      <c r="B255" s="308" t="n">
        <v>31</v>
      </c>
      <c r="C255" s="324" t="n">
        <v>44135</v>
      </c>
      <c r="D255" s="315" t="n">
        <f aca="false">D257</f>
        <v>1</v>
      </c>
      <c r="E255" s="308" t="e">
        <f aca="false">SUM('Revenues &amp; Expenses'!BJ256:$BJ$258)</f>
        <v>#NAME?</v>
      </c>
      <c r="F255" s="10" t="n">
        <f aca="false">M255</f>
        <v>705855.105965416</v>
      </c>
      <c r="G255" s="308" t="e">
        <f aca="false">IF(AND(D255=1,E255-F255&gt;0),E255-F255,0)</f>
        <v>#NAME?</v>
      </c>
      <c r="H255" s="308" t="e">
        <f aca="false">IF(AND(D255=1,F255-E255&gt;0),F255-E255,0)</f>
        <v>#NAME?</v>
      </c>
      <c r="K255" s="10" t="n">
        <f aca="false">($K$2*315000)/12</f>
        <v>1059139.94028644</v>
      </c>
      <c r="L255" s="10" t="n">
        <f aca="false">K255*'Revenues &amp; Expenses'!N256</f>
        <v>236660.082591058</v>
      </c>
      <c r="M255" s="10" t="n">
        <f aca="false">SUM(L255:$L$257)</f>
        <v>705855.105965416</v>
      </c>
      <c r="O255" s="308" t="n">
        <f aca="false">HLOOKUP(C255,'Debt Amortization'!$H$5:$AB$9,5)</f>
        <v>11687152.7835555</v>
      </c>
    </row>
    <row r="256" customFormat="false" ht="16.5" hidden="false" customHeight="false" outlineLevel="0" collapsed="false">
      <c r="A256" s="308" t="n">
        <f aca="false">A255+1</f>
        <v>246</v>
      </c>
      <c r="B256" s="308" t="n">
        <v>30</v>
      </c>
      <c r="C256" s="324" t="n">
        <v>44165</v>
      </c>
      <c r="D256" s="315" t="n">
        <f aca="false">D257</f>
        <v>1</v>
      </c>
      <c r="E256" s="308" t="e">
        <f aca="false">SUM('Revenues &amp; Expenses'!BJ257:$BJ$258)</f>
        <v>#NAME?</v>
      </c>
      <c r="F256" s="10" t="n">
        <f aca="false">M256</f>
        <v>469195.023374358</v>
      </c>
      <c r="G256" s="308" t="e">
        <f aca="false">IF(AND(D256=1,E256-F256&gt;0),E256-F256,0)</f>
        <v>#NAME?</v>
      </c>
      <c r="H256" s="308" t="e">
        <f aca="false">IF(AND(D256=1,F256-E256&gt;0),F256-E256,0)</f>
        <v>#NAME?</v>
      </c>
      <c r="K256" s="10" t="n">
        <f aca="false">($K$2*315000)/12</f>
        <v>1059139.94028644</v>
      </c>
      <c r="L256" s="10" t="n">
        <f aca="false">K256*'Revenues &amp; Expenses'!N257</f>
        <v>235267.31053224</v>
      </c>
      <c r="M256" s="10" t="n">
        <f aca="false">SUM(L256:$L$257)</f>
        <v>469195.023374358</v>
      </c>
      <c r="O256" s="308" t="n">
        <f aca="false">HLOOKUP(C256,'Debt Amortization'!$H$5:$AB$9,5)</f>
        <v>11687152.7835555</v>
      </c>
    </row>
    <row r="257" customFormat="false" ht="16.5" hidden="false" customHeight="false" outlineLevel="0" collapsed="false">
      <c r="A257" s="308" t="n">
        <f aca="false">A256+1</f>
        <v>247</v>
      </c>
      <c r="B257" s="308" t="n">
        <v>31</v>
      </c>
      <c r="C257" s="324" t="n">
        <v>44196</v>
      </c>
      <c r="D257" s="315" t="n">
        <f aca="false">'Deal Depiction'!J28</f>
        <v>1</v>
      </c>
      <c r="E257" s="308" t="e">
        <f aca="false">SUM('Revenues &amp; Expenses'!BJ258:$BJ$258)</f>
        <v>#NAME?</v>
      </c>
      <c r="F257" s="10" t="n">
        <f aca="false">M257</f>
        <v>233927.712842118</v>
      </c>
      <c r="G257" s="308" t="e">
        <f aca="false">IF(AND(D257=1,E257-F257&gt;0),E257-F257,0)</f>
        <v>#NAME?</v>
      </c>
      <c r="H257" s="308" t="e">
        <f aca="false">IF(AND(D257=1,F257-E257&gt;0),F257-E257,0)</f>
        <v>#NAME?</v>
      </c>
      <c r="K257" s="10" t="n">
        <f aca="false">($K$2*315000)/12</f>
        <v>1059139.94028644</v>
      </c>
      <c r="L257" s="10" t="n">
        <f aca="false">K257*'Revenues &amp; Expenses'!N258</f>
        <v>233927.712842118</v>
      </c>
      <c r="M257" s="10" t="n">
        <f aca="false">SUM(L257:$L$257)</f>
        <v>233927.712842118</v>
      </c>
      <c r="O257" s="308" t="n">
        <f aca="false">HLOOKUP(C257,'Debt Amortization'!$H$5:$AB$9,5)</f>
        <v>-2.62632966041565E-007</v>
      </c>
    </row>
    <row r="258" customFormat="false" ht="16.5" hidden="false" customHeight="false" outlineLevel="0" collapsed="false">
      <c r="A258" s="308"/>
      <c r="C258" s="324" t="n">
        <f aca="false">C257+31</f>
        <v>44227</v>
      </c>
      <c r="D258" s="296" t="n">
        <v>1</v>
      </c>
    </row>
    <row r="259" customFormat="false" ht="16.5" hidden="false" customHeight="false" outlineLevel="0" collapsed="false">
      <c r="C259" s="326"/>
      <c r="D259" s="327"/>
    </row>
    <row r="260" customFormat="false" ht="16.5" hidden="false" customHeight="false" outlineLevel="0" collapsed="false">
      <c r="C260" s="326"/>
      <c r="D260" s="327"/>
    </row>
    <row r="261" customFormat="false" ht="16.5" hidden="false" customHeight="false" outlineLevel="0" collapsed="false">
      <c r="C261" s="326"/>
      <c r="D261" s="327"/>
    </row>
    <row r="262" customFormat="false" ht="16.5" hidden="false" customHeight="false" outlineLevel="0" collapsed="false">
      <c r="C262" s="326"/>
      <c r="D262" s="327"/>
    </row>
    <row r="263" customFormat="false" ht="16.5" hidden="false" customHeight="false" outlineLevel="0" collapsed="false">
      <c r="C263" s="326"/>
      <c r="D263" s="327"/>
    </row>
    <row r="264" customFormat="false" ht="16.5" hidden="false" customHeight="false" outlineLevel="0" collapsed="false">
      <c r="C264" s="326"/>
      <c r="D264" s="327"/>
    </row>
    <row r="265" customFormat="false" ht="16.5" hidden="false" customHeight="false" outlineLevel="0" collapsed="false">
      <c r="C265" s="326"/>
      <c r="D265" s="327"/>
    </row>
    <row r="266" customFormat="false" ht="16.5" hidden="false" customHeight="false" outlineLevel="0" collapsed="false">
      <c r="C266" s="326"/>
      <c r="D266" s="327"/>
    </row>
    <row r="267" customFormat="false" ht="16.5" hidden="false" customHeight="false" outlineLevel="0" collapsed="false">
      <c r="C267" s="326"/>
      <c r="D267" s="327"/>
    </row>
    <row r="268" customFormat="false" ht="16.5" hidden="false" customHeight="false" outlineLevel="0" collapsed="false">
      <c r="C268" s="326"/>
      <c r="D268" s="327"/>
    </row>
    <row r="269" customFormat="false" ht="16.5" hidden="false" customHeight="false" outlineLevel="0" collapsed="false">
      <c r="C269" s="326"/>
      <c r="D269" s="327"/>
    </row>
    <row r="270" customFormat="false" ht="16.5" hidden="false" customHeight="false" outlineLevel="0" collapsed="false">
      <c r="C270" s="326"/>
      <c r="D270" s="327"/>
    </row>
    <row r="271" customFormat="false" ht="16.5" hidden="false" customHeight="false" outlineLevel="0" collapsed="false">
      <c r="C271" s="326"/>
      <c r="D271" s="327"/>
    </row>
    <row r="272" customFormat="false" ht="16.5" hidden="false" customHeight="false" outlineLevel="0" collapsed="false">
      <c r="C272" s="326"/>
      <c r="D272" s="327"/>
    </row>
    <row r="273" customFormat="false" ht="16.5" hidden="false" customHeight="false" outlineLevel="0" collapsed="false">
      <c r="C273" s="326"/>
      <c r="D273" s="327"/>
    </row>
    <row r="274" customFormat="false" ht="16.5" hidden="false" customHeight="false" outlineLevel="0" collapsed="false">
      <c r="C274" s="326"/>
      <c r="D274" s="327"/>
    </row>
    <row r="275" customFormat="false" ht="16.5" hidden="false" customHeight="false" outlineLevel="0" collapsed="false">
      <c r="C275" s="326"/>
      <c r="D275" s="327"/>
    </row>
    <row r="276" customFormat="false" ht="16.5" hidden="false" customHeight="false" outlineLevel="0" collapsed="false">
      <c r="C276" s="326"/>
      <c r="D276" s="327"/>
    </row>
    <row r="277" customFormat="false" ht="16.5" hidden="false" customHeight="false" outlineLevel="0" collapsed="false">
      <c r="C277" s="326"/>
      <c r="D277" s="327"/>
    </row>
    <row r="278" customFormat="false" ht="16.5" hidden="false" customHeight="false" outlineLevel="0" collapsed="false">
      <c r="C278" s="326"/>
      <c r="D278" s="327"/>
    </row>
    <row r="279" customFormat="false" ht="16.5" hidden="false" customHeight="false" outlineLevel="0" collapsed="false">
      <c r="C279" s="326"/>
      <c r="D279" s="327"/>
    </row>
    <row r="280" customFormat="false" ht="16.5" hidden="false" customHeight="false" outlineLevel="0" collapsed="false">
      <c r="C280" s="326"/>
      <c r="D280" s="327"/>
    </row>
    <row r="281" customFormat="false" ht="16.5" hidden="false" customHeight="false" outlineLevel="0" collapsed="false">
      <c r="C281" s="326"/>
      <c r="D281" s="327"/>
    </row>
    <row r="282" customFormat="false" ht="16.5" hidden="false" customHeight="false" outlineLevel="0" collapsed="false">
      <c r="C282" s="326"/>
      <c r="D282" s="327"/>
    </row>
    <row r="283" customFormat="false" ht="16.5" hidden="false" customHeight="false" outlineLevel="0" collapsed="false">
      <c r="C283" s="326"/>
      <c r="D283" s="327"/>
    </row>
    <row r="284" customFormat="false" ht="16.5" hidden="false" customHeight="false" outlineLevel="0" collapsed="false">
      <c r="C284" s="326"/>
      <c r="D284" s="327"/>
    </row>
    <row r="285" customFormat="false" ht="16.5" hidden="false" customHeight="false" outlineLevel="0" collapsed="false">
      <c r="C285" s="326"/>
      <c r="D285" s="327"/>
    </row>
    <row r="286" customFormat="false" ht="16.5" hidden="false" customHeight="false" outlineLevel="0" collapsed="false">
      <c r="C286" s="326"/>
      <c r="D286" s="327"/>
    </row>
    <row r="287" customFormat="false" ht="16.5" hidden="false" customHeight="false" outlineLevel="0" collapsed="false">
      <c r="C287" s="326"/>
      <c r="D287" s="327"/>
    </row>
    <row r="288" customFormat="false" ht="16.5" hidden="false" customHeight="false" outlineLevel="0" collapsed="false">
      <c r="C288" s="326"/>
      <c r="D288" s="327"/>
    </row>
    <row r="289" customFormat="false" ht="16.5" hidden="false" customHeight="false" outlineLevel="0" collapsed="false">
      <c r="C289" s="326"/>
      <c r="D289" s="327"/>
    </row>
    <row r="290" customFormat="false" ht="16.5" hidden="false" customHeight="false" outlineLevel="0" collapsed="false">
      <c r="C290" s="326"/>
      <c r="D290" s="327"/>
    </row>
    <row r="291" customFormat="false" ht="16.5" hidden="false" customHeight="false" outlineLevel="0" collapsed="false">
      <c r="C291" s="326"/>
      <c r="D291" s="327"/>
    </row>
    <row r="292" customFormat="false" ht="16.5" hidden="false" customHeight="false" outlineLevel="0" collapsed="false">
      <c r="C292" s="326"/>
      <c r="D292" s="327"/>
    </row>
    <row r="293" customFormat="false" ht="16.5" hidden="false" customHeight="false" outlineLevel="0" collapsed="false">
      <c r="C293" s="326"/>
      <c r="D293" s="327"/>
    </row>
    <row r="294" customFormat="false" ht="16.5" hidden="false" customHeight="false" outlineLevel="0" collapsed="false">
      <c r="C294" s="326"/>
      <c r="D294" s="327"/>
    </row>
    <row r="295" customFormat="false" ht="16.5" hidden="false" customHeight="false" outlineLevel="0" collapsed="false">
      <c r="C295" s="326"/>
      <c r="D295" s="327"/>
    </row>
    <row r="296" customFormat="false" ht="16.5" hidden="false" customHeight="false" outlineLevel="0" collapsed="false">
      <c r="C296" s="326"/>
      <c r="D296" s="327"/>
    </row>
    <row r="297" customFormat="false" ht="16.5" hidden="false" customHeight="false" outlineLevel="0" collapsed="false">
      <c r="C297" s="326"/>
      <c r="D297" s="327"/>
    </row>
    <row r="298" customFormat="false" ht="16.5" hidden="false" customHeight="false" outlineLevel="0" collapsed="false">
      <c r="C298" s="326"/>
      <c r="D298" s="327"/>
    </row>
    <row r="299" customFormat="false" ht="16.5" hidden="false" customHeight="false" outlineLevel="0" collapsed="false">
      <c r="C299" s="326"/>
      <c r="D299" s="327"/>
    </row>
    <row r="300" customFormat="false" ht="16.5" hidden="false" customHeight="false" outlineLevel="0" collapsed="false">
      <c r="C300" s="326"/>
      <c r="D300" s="327"/>
    </row>
    <row r="301" customFormat="false" ht="16.5" hidden="false" customHeight="false" outlineLevel="0" collapsed="false">
      <c r="C301" s="326"/>
      <c r="D301" s="327"/>
    </row>
    <row r="302" customFormat="false" ht="16.5" hidden="false" customHeight="false" outlineLevel="0" collapsed="false">
      <c r="C302" s="326"/>
      <c r="D302" s="327"/>
    </row>
    <row r="303" customFormat="false" ht="16.5" hidden="false" customHeight="false" outlineLevel="0" collapsed="false">
      <c r="C303" s="326"/>
      <c r="D303" s="327"/>
    </row>
    <row r="304" customFormat="false" ht="16.5" hidden="false" customHeight="false" outlineLevel="0" collapsed="false">
      <c r="C304" s="326"/>
      <c r="D304" s="327"/>
    </row>
    <row r="305" customFormat="false" ht="16.5" hidden="false" customHeight="false" outlineLevel="0" collapsed="false">
      <c r="C305" s="326"/>
      <c r="D305" s="327"/>
    </row>
    <row r="306" customFormat="false" ht="16.5" hidden="false" customHeight="false" outlineLevel="0" collapsed="false">
      <c r="C306" s="326"/>
      <c r="D306" s="327"/>
    </row>
    <row r="307" customFormat="false" ht="16.5" hidden="false" customHeight="false" outlineLevel="0" collapsed="false">
      <c r="C307" s="326"/>
      <c r="D307" s="327"/>
    </row>
    <row r="308" customFormat="false" ht="16.5" hidden="false" customHeight="false" outlineLevel="0" collapsed="false">
      <c r="C308" s="326"/>
      <c r="D308" s="327"/>
    </row>
    <row r="309" customFormat="false" ht="16.5" hidden="false" customHeight="false" outlineLevel="0" collapsed="false">
      <c r="C309" s="326"/>
      <c r="D309" s="327"/>
    </row>
    <row r="310" customFormat="false" ht="16.5" hidden="false" customHeight="false" outlineLevel="0" collapsed="false">
      <c r="C310" s="326"/>
      <c r="D310" s="327"/>
    </row>
    <row r="311" customFormat="false" ht="16.5" hidden="false" customHeight="false" outlineLevel="0" collapsed="false">
      <c r="C311" s="326"/>
      <c r="D311" s="327"/>
    </row>
    <row r="312" customFormat="false" ht="16.5" hidden="false" customHeight="false" outlineLevel="0" collapsed="false">
      <c r="C312" s="326"/>
      <c r="D312" s="327"/>
    </row>
    <row r="313" customFormat="false" ht="16.5" hidden="false" customHeight="false" outlineLevel="0" collapsed="false">
      <c r="C313" s="326"/>
      <c r="D313" s="327"/>
    </row>
    <row r="314" customFormat="false" ht="16.5" hidden="false" customHeight="false" outlineLevel="0" collapsed="false">
      <c r="C314" s="326"/>
      <c r="D314" s="327"/>
    </row>
    <row r="315" customFormat="false" ht="16.5" hidden="false" customHeight="false" outlineLevel="0" collapsed="false">
      <c r="C315" s="326"/>
      <c r="D315" s="327"/>
    </row>
    <row r="316" customFormat="false" ht="16.5" hidden="false" customHeight="false" outlineLevel="0" collapsed="false">
      <c r="C316" s="326"/>
      <c r="D316" s="327"/>
    </row>
    <row r="317" customFormat="false" ht="16.5" hidden="false" customHeight="false" outlineLevel="0" collapsed="false">
      <c r="C317" s="326"/>
      <c r="D317" s="327"/>
    </row>
    <row r="318" customFormat="false" ht="16.5" hidden="false" customHeight="false" outlineLevel="0" collapsed="false">
      <c r="C318" s="326"/>
      <c r="D318" s="327"/>
    </row>
    <row r="319" customFormat="false" ht="16.5" hidden="false" customHeight="false" outlineLevel="0" collapsed="false">
      <c r="C319" s="326"/>
      <c r="D319" s="327"/>
    </row>
    <row r="320" customFormat="false" ht="16.5" hidden="false" customHeight="false" outlineLevel="0" collapsed="false">
      <c r="C320" s="326"/>
      <c r="D320" s="327"/>
    </row>
    <row r="321" customFormat="false" ht="16.5" hidden="false" customHeight="false" outlineLevel="0" collapsed="false">
      <c r="C321" s="326"/>
      <c r="D321" s="327"/>
    </row>
    <row r="322" customFormat="false" ht="16.5" hidden="false" customHeight="false" outlineLevel="0" collapsed="false">
      <c r="C322" s="326"/>
      <c r="D322" s="327"/>
    </row>
    <row r="323" customFormat="false" ht="16.5" hidden="false" customHeight="false" outlineLevel="0" collapsed="false">
      <c r="C323" s="326"/>
      <c r="D323" s="327"/>
    </row>
    <row r="324" customFormat="false" ht="16.5" hidden="false" customHeight="false" outlineLevel="0" collapsed="false">
      <c r="C324" s="326"/>
      <c r="D324" s="327"/>
    </row>
    <row r="325" customFormat="false" ht="16.5" hidden="false" customHeight="false" outlineLevel="0" collapsed="false">
      <c r="C325" s="326"/>
      <c r="D325" s="327"/>
    </row>
    <row r="326" customFormat="false" ht="16.5" hidden="false" customHeight="false" outlineLevel="0" collapsed="false">
      <c r="C326" s="326"/>
      <c r="D326" s="327"/>
    </row>
    <row r="327" customFormat="false" ht="16.5" hidden="false" customHeight="false" outlineLevel="0" collapsed="false">
      <c r="C327" s="326"/>
      <c r="D327" s="327"/>
    </row>
    <row r="328" customFormat="false" ht="16.5" hidden="false" customHeight="false" outlineLevel="0" collapsed="false">
      <c r="C328" s="326"/>
      <c r="D328" s="327"/>
    </row>
    <row r="329" customFormat="false" ht="16.5" hidden="false" customHeight="false" outlineLevel="0" collapsed="false">
      <c r="C329" s="326"/>
      <c r="D329" s="327"/>
    </row>
    <row r="330" customFormat="false" ht="16.5" hidden="false" customHeight="false" outlineLevel="0" collapsed="false">
      <c r="C330" s="326"/>
      <c r="D330" s="327"/>
    </row>
    <row r="331" customFormat="false" ht="16.5" hidden="false" customHeight="false" outlineLevel="0" collapsed="false">
      <c r="C331" s="326"/>
      <c r="D331" s="327"/>
    </row>
    <row r="332" customFormat="false" ht="16.5" hidden="false" customHeight="false" outlineLevel="0" collapsed="false">
      <c r="C332" s="326"/>
      <c r="D332" s="327"/>
    </row>
    <row r="333" customFormat="false" ht="16.5" hidden="false" customHeight="false" outlineLevel="0" collapsed="false">
      <c r="C333" s="326"/>
      <c r="D333" s="327"/>
    </row>
    <row r="334" customFormat="false" ht="16.5" hidden="false" customHeight="false" outlineLevel="0" collapsed="false">
      <c r="C334" s="326"/>
      <c r="D334" s="327"/>
    </row>
    <row r="335" customFormat="false" ht="16.5" hidden="false" customHeight="false" outlineLevel="0" collapsed="false">
      <c r="C335" s="326"/>
      <c r="D335" s="327"/>
    </row>
    <row r="336" customFormat="false" ht="16.5" hidden="false" customHeight="false" outlineLevel="0" collapsed="false">
      <c r="C336" s="326"/>
      <c r="D336" s="327"/>
    </row>
    <row r="337" customFormat="false" ht="16.5" hidden="false" customHeight="false" outlineLevel="0" collapsed="false">
      <c r="C337" s="326"/>
      <c r="D337" s="327"/>
    </row>
    <row r="338" customFormat="false" ht="16.5" hidden="false" customHeight="false" outlineLevel="0" collapsed="false">
      <c r="C338" s="326"/>
      <c r="D338" s="327"/>
    </row>
    <row r="339" customFormat="false" ht="16.5" hidden="false" customHeight="false" outlineLevel="0" collapsed="false">
      <c r="C339" s="326"/>
      <c r="D339" s="327"/>
    </row>
    <row r="340" customFormat="false" ht="16.5" hidden="false" customHeight="false" outlineLevel="0" collapsed="false">
      <c r="C340" s="326"/>
      <c r="D340" s="327"/>
    </row>
    <row r="341" customFormat="false" ht="16.5" hidden="false" customHeight="false" outlineLevel="0" collapsed="false">
      <c r="C341" s="326"/>
      <c r="D341" s="327"/>
    </row>
    <row r="342" customFormat="false" ht="16.5" hidden="false" customHeight="false" outlineLevel="0" collapsed="false">
      <c r="C342" s="326"/>
      <c r="D342" s="327"/>
    </row>
    <row r="343" customFormat="false" ht="16.5" hidden="false" customHeight="false" outlineLevel="0" collapsed="false">
      <c r="C343" s="326"/>
      <c r="D343" s="327"/>
    </row>
    <row r="344" customFormat="false" ht="16.5" hidden="false" customHeight="false" outlineLevel="0" collapsed="false">
      <c r="C344" s="326"/>
      <c r="D344" s="327"/>
    </row>
    <row r="345" customFormat="false" ht="16.5" hidden="false" customHeight="false" outlineLevel="0" collapsed="false">
      <c r="C345" s="326"/>
      <c r="D345" s="327"/>
    </row>
    <row r="346" customFormat="false" ht="16.5" hidden="false" customHeight="false" outlineLevel="0" collapsed="false">
      <c r="C346" s="326"/>
      <c r="D346" s="327"/>
    </row>
    <row r="347" customFormat="false" ht="16.5" hidden="false" customHeight="false" outlineLevel="0" collapsed="false">
      <c r="C347" s="326"/>
      <c r="D347" s="327"/>
    </row>
    <row r="348" customFormat="false" ht="16.5" hidden="false" customHeight="false" outlineLevel="0" collapsed="false">
      <c r="C348" s="326"/>
      <c r="D348" s="327"/>
    </row>
    <row r="349" customFormat="false" ht="16.5" hidden="false" customHeight="false" outlineLevel="0" collapsed="false">
      <c r="C349" s="326"/>
      <c r="D349" s="327"/>
    </row>
    <row r="350" customFormat="false" ht="16.5" hidden="false" customHeight="false" outlineLevel="0" collapsed="false">
      <c r="C350" s="326"/>
      <c r="D350" s="327"/>
    </row>
    <row r="351" customFormat="false" ht="16.5" hidden="false" customHeight="false" outlineLevel="0" collapsed="false">
      <c r="C351" s="326"/>
      <c r="D351" s="327"/>
    </row>
    <row r="352" customFormat="false" ht="16.5" hidden="false" customHeight="false" outlineLevel="0" collapsed="false">
      <c r="C352" s="326"/>
      <c r="D352" s="327"/>
    </row>
    <row r="353" customFormat="false" ht="16.5" hidden="false" customHeight="false" outlineLevel="0" collapsed="false">
      <c r="C353" s="326"/>
      <c r="D353" s="327"/>
    </row>
    <row r="354" customFormat="false" ht="16.5" hidden="false" customHeight="false" outlineLevel="0" collapsed="false">
      <c r="C354" s="326"/>
      <c r="D354" s="327"/>
    </row>
    <row r="355" customFormat="false" ht="16.5" hidden="false" customHeight="false" outlineLevel="0" collapsed="false">
      <c r="C355" s="326"/>
      <c r="D355" s="327"/>
    </row>
    <row r="356" customFormat="false" ht="16.5" hidden="false" customHeight="false" outlineLevel="0" collapsed="false">
      <c r="C356" s="326"/>
      <c r="D356" s="327"/>
    </row>
    <row r="357" customFormat="false" ht="16.5" hidden="false" customHeight="false" outlineLevel="0" collapsed="false">
      <c r="C357" s="326"/>
      <c r="D357" s="327"/>
    </row>
    <row r="358" customFormat="false" ht="16.5" hidden="false" customHeight="false" outlineLevel="0" collapsed="false">
      <c r="C358" s="326"/>
      <c r="D358" s="327"/>
    </row>
    <row r="359" customFormat="false" ht="16.5" hidden="false" customHeight="false" outlineLevel="0" collapsed="false">
      <c r="C359" s="326"/>
      <c r="D359" s="327"/>
    </row>
    <row r="360" customFormat="false" ht="16.5" hidden="false" customHeight="false" outlineLevel="0" collapsed="false">
      <c r="C360" s="326"/>
      <c r="D360" s="327"/>
    </row>
    <row r="361" customFormat="false" ht="16.5" hidden="false" customHeight="false" outlineLevel="0" collapsed="false">
      <c r="C361" s="326"/>
      <c r="D361" s="327"/>
    </row>
    <row r="362" customFormat="false" ht="16.5" hidden="false" customHeight="false" outlineLevel="0" collapsed="false">
      <c r="C362" s="326"/>
      <c r="D362" s="327"/>
    </row>
    <row r="363" customFormat="false" ht="16.5" hidden="false" customHeight="false" outlineLevel="0" collapsed="false">
      <c r="C363" s="326"/>
      <c r="D363" s="327"/>
    </row>
    <row r="364" customFormat="false" ht="16.5" hidden="false" customHeight="false" outlineLevel="0" collapsed="false">
      <c r="C364" s="326"/>
      <c r="D364" s="327"/>
    </row>
    <row r="365" customFormat="false" ht="16.5" hidden="false" customHeight="false" outlineLevel="0" collapsed="false">
      <c r="C365" s="326"/>
      <c r="D365" s="327"/>
    </row>
    <row r="366" customFormat="false" ht="16.5" hidden="false" customHeight="false" outlineLevel="0" collapsed="false">
      <c r="C366" s="326"/>
      <c r="D366" s="327"/>
    </row>
    <row r="367" customFormat="false" ht="16.5" hidden="false" customHeight="false" outlineLevel="0" collapsed="false">
      <c r="C367" s="326"/>
      <c r="D367" s="327"/>
    </row>
    <row r="368" customFormat="false" ht="16.5" hidden="false" customHeight="false" outlineLevel="0" collapsed="false">
      <c r="D368" s="327"/>
    </row>
    <row r="369" customFormat="false" ht="16.5" hidden="false" customHeight="false" outlineLevel="0" collapsed="false">
      <c r="D369" s="32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1999-03-19T14:04:15Z</dcterms:created>
  <dc:creator>appinst</dc:creator>
  <dc:description/>
  <dc:language>en-US</dc:language>
  <cp:lastModifiedBy>Christopher Smith</cp:lastModifiedBy>
  <cp:lastPrinted>2000-03-06T14:09:59Z</cp:lastPrinted>
  <cp:revision>0</cp:revision>
  <dc:subject/>
  <dc:title/>
</cp:coreProperties>
</file>